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DieseArbeitsmappe"/>
  <mc:AlternateContent xmlns:mc="http://schemas.openxmlformats.org/markup-compatibility/2006">
    <mc:Choice Requires="x15">
      <x15ac:absPath xmlns:x15ac="http://schemas.microsoft.com/office/spreadsheetml/2010/11/ac" url="C:\Users\at-ana\Documents\GitHub\PERSONALSHEET_DEV\"/>
    </mc:Choice>
  </mc:AlternateContent>
  <xr:revisionPtr revIDLastSave="0" documentId="13_ncr:1_{1ABB2602-5F17-4B20-BC9F-4336175DA8A7}" xr6:coauthVersionLast="47" xr6:coauthVersionMax="47" xr10:uidLastSave="{00000000-0000-0000-0000-000000000000}"/>
  <bookViews>
    <workbookView xWindow="-120" yWindow="-120" windowWidth="29040" windowHeight="17520" tabRatio="677" firstSheet="2" activeTab="7"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 name="SYSTEM_CHECK" sheetId="55" r:id="rId22"/>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28" l="1"/>
  <c r="L5" i="28"/>
  <c r="L7" i="28"/>
  <c r="L8" i="28"/>
  <c r="L10" i="28"/>
  <c r="L11" i="28"/>
  <c r="L16" i="28"/>
  <c r="L18" i="28"/>
  <c r="L19" i="28"/>
  <c r="L20" i="28"/>
  <c r="L21" i="28"/>
  <c r="L22" i="28"/>
  <c r="L24" i="28"/>
  <c r="L25" i="28"/>
  <c r="L30" i="28"/>
  <c r="L32" i="28"/>
  <c r="L33" i="28"/>
  <c r="L34" i="28"/>
  <c r="L35" i="28"/>
  <c r="L36" i="28"/>
  <c r="L38" i="28"/>
  <c r="L39" i="28"/>
  <c r="L44" i="28"/>
  <c r="L46" i="28"/>
  <c r="L47" i="28"/>
  <c r="L48" i="28"/>
  <c r="L49" i="28"/>
  <c r="L50" i="28"/>
  <c r="L52" i="28"/>
  <c r="L53" i="28"/>
  <c r="L58" i="28"/>
  <c r="L60" i="28"/>
  <c r="L61" i="28"/>
  <c r="L62" i="28"/>
  <c r="L63" i="28"/>
  <c r="L64" i="28"/>
  <c r="L66" i="28"/>
  <c r="L67" i="28"/>
  <c r="L72" i="28"/>
  <c r="L74" i="28"/>
  <c r="L75" i="28"/>
  <c r="L76" i="28"/>
  <c r="L77" i="28"/>
  <c r="L78" i="28"/>
  <c r="L80" i="28"/>
  <c r="L81" i="28"/>
  <c r="K3" i="28"/>
  <c r="L3" i="28" s="1"/>
  <c r="K4" i="28"/>
  <c r="K5" i="28"/>
  <c r="K6" i="28"/>
  <c r="L6" i="28" s="1"/>
  <c r="K7" i="28"/>
  <c r="K8" i="28"/>
  <c r="K9" i="28"/>
  <c r="L9" i="28" s="1"/>
  <c r="K10" i="28"/>
  <c r="K11" i="28"/>
  <c r="K12" i="28"/>
  <c r="L12" i="28" s="1"/>
  <c r="K13" i="28"/>
  <c r="L13" i="28" s="1"/>
  <c r="K14" i="28"/>
  <c r="L14" i="28" s="1"/>
  <c r="K15" i="28"/>
  <c r="L15" i="28" s="1"/>
  <c r="K16" i="28"/>
  <c r="K17" i="28"/>
  <c r="L17" i="28" s="1"/>
  <c r="K18" i="28"/>
  <c r="K19" i="28"/>
  <c r="K20" i="28"/>
  <c r="K21" i="28"/>
  <c r="K22" i="28"/>
  <c r="K23" i="28"/>
  <c r="L23" i="28" s="1"/>
  <c r="K24" i="28"/>
  <c r="K25" i="28"/>
  <c r="K26" i="28"/>
  <c r="L26" i="28" s="1"/>
  <c r="K27" i="28"/>
  <c r="L27" i="28" s="1"/>
  <c r="K28" i="28"/>
  <c r="L28" i="28" s="1"/>
  <c r="K29" i="28"/>
  <c r="L29" i="28" s="1"/>
  <c r="K30" i="28"/>
  <c r="K31" i="28"/>
  <c r="L31" i="28" s="1"/>
  <c r="K32" i="28"/>
  <c r="K33" i="28"/>
  <c r="K34" i="28"/>
  <c r="K35" i="28"/>
  <c r="K36" i="28"/>
  <c r="K37" i="28"/>
  <c r="L37" i="28" s="1"/>
  <c r="K38" i="28"/>
  <c r="K39" i="28"/>
  <c r="K40" i="28"/>
  <c r="L40" i="28" s="1"/>
  <c r="K41" i="28"/>
  <c r="L41" i="28" s="1"/>
  <c r="K42" i="28"/>
  <c r="L42" i="28" s="1"/>
  <c r="K43" i="28"/>
  <c r="L43" i="28" s="1"/>
  <c r="K44" i="28"/>
  <c r="K45" i="28"/>
  <c r="L45" i="28" s="1"/>
  <c r="K46" i="28"/>
  <c r="K47" i="28"/>
  <c r="K48" i="28"/>
  <c r="K49" i="28"/>
  <c r="K50" i="28"/>
  <c r="K51" i="28"/>
  <c r="L51" i="28" s="1"/>
  <c r="K52" i="28"/>
  <c r="K53" i="28"/>
  <c r="K54" i="28"/>
  <c r="L54" i="28" s="1"/>
  <c r="K55" i="28"/>
  <c r="L55" i="28" s="1"/>
  <c r="K56" i="28"/>
  <c r="L56" i="28" s="1"/>
  <c r="K57" i="28"/>
  <c r="L57" i="28" s="1"/>
  <c r="K58" i="28"/>
  <c r="K59" i="28"/>
  <c r="L59" i="28" s="1"/>
  <c r="K60" i="28"/>
  <c r="K61" i="28"/>
  <c r="K62" i="28"/>
  <c r="K63" i="28"/>
  <c r="K64" i="28"/>
  <c r="K65" i="28"/>
  <c r="L65" i="28" s="1"/>
  <c r="K66" i="28"/>
  <c r="K67" i="28"/>
  <c r="K68" i="28"/>
  <c r="L68" i="28" s="1"/>
  <c r="K69" i="28"/>
  <c r="L69" i="28" s="1"/>
  <c r="K70" i="28"/>
  <c r="L70" i="28" s="1"/>
  <c r="K71" i="28"/>
  <c r="L71" i="28" s="1"/>
  <c r="K72" i="28"/>
  <c r="K73" i="28"/>
  <c r="L73" i="28" s="1"/>
  <c r="K74" i="28"/>
  <c r="K75" i="28"/>
  <c r="K76" i="28"/>
  <c r="K77" i="28"/>
  <c r="K78" i="28"/>
  <c r="K79" i="28"/>
  <c r="L79" i="28" s="1"/>
  <c r="K80" i="28"/>
  <c r="K81" i="28"/>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3" i="27"/>
  <c r="L4" i="27"/>
  <c r="L7" i="27"/>
  <c r="L15" i="27"/>
  <c r="L16" i="27"/>
  <c r="L17" i="27"/>
  <c r="L18" i="27"/>
  <c r="L19" i="27"/>
  <c r="L21" i="27"/>
  <c r="L29" i="27"/>
  <c r="L30" i="27"/>
  <c r="L31" i="27"/>
  <c r="L32" i="27"/>
  <c r="L33" i="27"/>
  <c r="L35" i="27"/>
  <c r="L43" i="27"/>
  <c r="L44" i="27"/>
  <c r="L45" i="27"/>
  <c r="L46" i="27"/>
  <c r="L47" i="27"/>
  <c r="L49" i="27"/>
  <c r="L57" i="27"/>
  <c r="L58" i="27"/>
  <c r="L59" i="27"/>
  <c r="L60" i="27"/>
  <c r="L61" i="27"/>
  <c r="L63" i="27"/>
  <c r="L71" i="27"/>
  <c r="L72" i="27"/>
  <c r="L73" i="27"/>
  <c r="L74" i="27"/>
  <c r="L75" i="27"/>
  <c r="L77" i="27"/>
  <c r="K3" i="27"/>
  <c r="K4" i="27"/>
  <c r="K5" i="27"/>
  <c r="L5" i="27" s="1"/>
  <c r="K6" i="27"/>
  <c r="L6" i="27" s="1"/>
  <c r="K7" i="27"/>
  <c r="K8" i="27"/>
  <c r="L8" i="27" s="1"/>
  <c r="K9" i="27"/>
  <c r="L9" i="27" s="1"/>
  <c r="K10" i="27"/>
  <c r="L10" i="27" s="1"/>
  <c r="K11" i="27"/>
  <c r="L11" i="27" s="1"/>
  <c r="K12" i="27"/>
  <c r="L12" i="27" s="1"/>
  <c r="K13" i="27"/>
  <c r="L13" i="27" s="1"/>
  <c r="K14" i="27"/>
  <c r="L14" i="27" s="1"/>
  <c r="K15" i="27"/>
  <c r="K16" i="27"/>
  <c r="K17" i="27"/>
  <c r="K18" i="27"/>
  <c r="K19" i="27"/>
  <c r="K20" i="27"/>
  <c r="L20" i="27" s="1"/>
  <c r="K21" i="27"/>
  <c r="K22" i="27"/>
  <c r="L22" i="27" s="1"/>
  <c r="K23" i="27"/>
  <c r="L23" i="27" s="1"/>
  <c r="K24" i="27"/>
  <c r="L24" i="27" s="1"/>
  <c r="K25" i="27"/>
  <c r="L25" i="27" s="1"/>
  <c r="K26" i="27"/>
  <c r="L26" i="27" s="1"/>
  <c r="K27" i="27"/>
  <c r="L27" i="27" s="1"/>
  <c r="K28" i="27"/>
  <c r="L28" i="27" s="1"/>
  <c r="K29" i="27"/>
  <c r="K30" i="27"/>
  <c r="K31" i="27"/>
  <c r="K32" i="27"/>
  <c r="K33" i="27"/>
  <c r="K34" i="27"/>
  <c r="L34" i="27" s="1"/>
  <c r="K35" i="27"/>
  <c r="K36" i="27"/>
  <c r="L36" i="27" s="1"/>
  <c r="K37" i="27"/>
  <c r="L37" i="27" s="1"/>
  <c r="K38" i="27"/>
  <c r="L38" i="27" s="1"/>
  <c r="K39" i="27"/>
  <c r="L39" i="27" s="1"/>
  <c r="K40" i="27"/>
  <c r="L40" i="27" s="1"/>
  <c r="K41" i="27"/>
  <c r="L41" i="27" s="1"/>
  <c r="K42" i="27"/>
  <c r="L42" i="27" s="1"/>
  <c r="K43" i="27"/>
  <c r="K44" i="27"/>
  <c r="K45" i="27"/>
  <c r="K46" i="27"/>
  <c r="K47" i="27"/>
  <c r="K48" i="27"/>
  <c r="L48" i="27" s="1"/>
  <c r="K49" i="27"/>
  <c r="K50" i="27"/>
  <c r="L50" i="27" s="1"/>
  <c r="K51" i="27"/>
  <c r="L51" i="27" s="1"/>
  <c r="K52" i="27"/>
  <c r="L52" i="27" s="1"/>
  <c r="K53" i="27"/>
  <c r="L53" i="27" s="1"/>
  <c r="K54" i="27"/>
  <c r="L54" i="27" s="1"/>
  <c r="K55" i="27"/>
  <c r="L55" i="27" s="1"/>
  <c r="K56" i="27"/>
  <c r="L56" i="27" s="1"/>
  <c r="K57" i="27"/>
  <c r="K58" i="27"/>
  <c r="K59" i="27"/>
  <c r="K60" i="27"/>
  <c r="K61" i="27"/>
  <c r="K62" i="27"/>
  <c r="L62" i="27" s="1"/>
  <c r="K63" i="27"/>
  <c r="K64" i="27"/>
  <c r="L64" i="27" s="1"/>
  <c r="K65" i="27"/>
  <c r="L65" i="27" s="1"/>
  <c r="K66" i="27"/>
  <c r="L66" i="27" s="1"/>
  <c r="K67" i="27"/>
  <c r="L67" i="27" s="1"/>
  <c r="K68" i="27"/>
  <c r="L68" i="27" s="1"/>
  <c r="K69" i="27"/>
  <c r="L69" i="27" s="1"/>
  <c r="K70" i="27"/>
  <c r="L70" i="27" s="1"/>
  <c r="K71" i="27"/>
  <c r="K72" i="27"/>
  <c r="K73" i="27"/>
  <c r="K74" i="27"/>
  <c r="K75" i="27"/>
  <c r="K76" i="27"/>
  <c r="L76" i="27" s="1"/>
  <c r="K77" i="27"/>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4" i="26"/>
  <c r="L5" i="26"/>
  <c r="L6" i="26"/>
  <c r="L7" i="26"/>
  <c r="L8" i="26"/>
  <c r="L9" i="26"/>
  <c r="L11" i="26"/>
  <c r="L16" i="26"/>
  <c r="L18" i="26"/>
  <c r="L19" i="26"/>
  <c r="L20" i="26"/>
  <c r="L21" i="26"/>
  <c r="L22" i="26"/>
  <c r="L23" i="26"/>
  <c r="L25" i="26"/>
  <c r="L30" i="26"/>
  <c r="L32" i="26"/>
  <c r="L33" i="26"/>
  <c r="L34" i="26"/>
  <c r="L35" i="26"/>
  <c r="L36" i="26"/>
  <c r="L37" i="26"/>
  <c r="L39" i="26"/>
  <c r="L44" i="26"/>
  <c r="L46" i="26"/>
  <c r="L47" i="26"/>
  <c r="L48" i="26"/>
  <c r="L49" i="26"/>
  <c r="L50" i="26"/>
  <c r="L51" i="26"/>
  <c r="L53" i="26"/>
  <c r="L58" i="26"/>
  <c r="L60" i="26"/>
  <c r="L61" i="26"/>
  <c r="L62" i="26"/>
  <c r="L63" i="26"/>
  <c r="L64" i="26"/>
  <c r="L65" i="26"/>
  <c r="L67" i="26"/>
  <c r="L72" i="26"/>
  <c r="L74" i="26"/>
  <c r="L75" i="26"/>
  <c r="L76" i="26"/>
  <c r="L77" i="26"/>
  <c r="L78" i="26"/>
  <c r="L79" i="26"/>
  <c r="L81" i="26"/>
  <c r="K3" i="26"/>
  <c r="L3" i="26" s="1"/>
  <c r="K4" i="26"/>
  <c r="K5" i="26"/>
  <c r="K6" i="26"/>
  <c r="K7" i="26"/>
  <c r="K8" i="26"/>
  <c r="K9" i="26"/>
  <c r="K10" i="26"/>
  <c r="L10" i="26" s="1"/>
  <c r="K11" i="26"/>
  <c r="K12" i="26"/>
  <c r="L12" i="26" s="1"/>
  <c r="K13" i="26"/>
  <c r="L13" i="26" s="1"/>
  <c r="K14" i="26"/>
  <c r="L14" i="26" s="1"/>
  <c r="K15" i="26"/>
  <c r="L15" i="26" s="1"/>
  <c r="K16" i="26"/>
  <c r="K17" i="26"/>
  <c r="L17" i="26" s="1"/>
  <c r="K18" i="26"/>
  <c r="K19" i="26"/>
  <c r="K20" i="26"/>
  <c r="K21" i="26"/>
  <c r="K22" i="26"/>
  <c r="K23" i="26"/>
  <c r="K24" i="26"/>
  <c r="L24" i="26" s="1"/>
  <c r="K25" i="26"/>
  <c r="K26" i="26"/>
  <c r="L26" i="26" s="1"/>
  <c r="K27" i="26"/>
  <c r="L27" i="26" s="1"/>
  <c r="K28" i="26"/>
  <c r="L28" i="26" s="1"/>
  <c r="K29" i="26"/>
  <c r="L29" i="26" s="1"/>
  <c r="K30" i="26"/>
  <c r="K31" i="26"/>
  <c r="L31" i="26" s="1"/>
  <c r="K32" i="26"/>
  <c r="K33" i="26"/>
  <c r="K34" i="26"/>
  <c r="K35" i="26"/>
  <c r="K36" i="26"/>
  <c r="K37" i="26"/>
  <c r="K38" i="26"/>
  <c r="L38" i="26" s="1"/>
  <c r="K39" i="26"/>
  <c r="K40" i="26"/>
  <c r="L40" i="26" s="1"/>
  <c r="K41" i="26"/>
  <c r="L41" i="26" s="1"/>
  <c r="K42" i="26"/>
  <c r="L42" i="26" s="1"/>
  <c r="K43" i="26"/>
  <c r="L43" i="26" s="1"/>
  <c r="K44" i="26"/>
  <c r="K45" i="26"/>
  <c r="L45" i="26" s="1"/>
  <c r="K46" i="26"/>
  <c r="K47" i="26"/>
  <c r="K48" i="26"/>
  <c r="K49" i="26"/>
  <c r="K50" i="26"/>
  <c r="K51" i="26"/>
  <c r="K52" i="26"/>
  <c r="L52" i="26" s="1"/>
  <c r="K53" i="26"/>
  <c r="K54" i="26"/>
  <c r="L54" i="26" s="1"/>
  <c r="K55" i="26"/>
  <c r="L55" i="26" s="1"/>
  <c r="K56" i="26"/>
  <c r="L56" i="26" s="1"/>
  <c r="K57" i="26"/>
  <c r="L57" i="26" s="1"/>
  <c r="K58" i="26"/>
  <c r="K59" i="26"/>
  <c r="L59" i="26" s="1"/>
  <c r="K60" i="26"/>
  <c r="K61" i="26"/>
  <c r="K62" i="26"/>
  <c r="K63" i="26"/>
  <c r="K64" i="26"/>
  <c r="K65" i="26"/>
  <c r="K66" i="26"/>
  <c r="L66" i="26" s="1"/>
  <c r="K67" i="26"/>
  <c r="K68" i="26"/>
  <c r="L68" i="26" s="1"/>
  <c r="K69" i="26"/>
  <c r="L69" i="26" s="1"/>
  <c r="K70" i="26"/>
  <c r="L70" i="26" s="1"/>
  <c r="K71" i="26"/>
  <c r="L71" i="26" s="1"/>
  <c r="K72" i="26"/>
  <c r="K73" i="26"/>
  <c r="L73" i="26" s="1"/>
  <c r="K74" i="26"/>
  <c r="K75" i="26"/>
  <c r="K76" i="26"/>
  <c r="K77" i="26"/>
  <c r="K78" i="26"/>
  <c r="K79" i="26"/>
  <c r="K80" i="26"/>
  <c r="L80" i="26" s="1"/>
  <c r="K81" i="26"/>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8" i="25"/>
  <c r="L14" i="25"/>
  <c r="L15" i="25"/>
  <c r="L16" i="25"/>
  <c r="L21" i="25"/>
  <c r="L22" i="25"/>
  <c r="L23" i="25"/>
  <c r="L28" i="25"/>
  <c r="L29" i="25"/>
  <c r="L30" i="25"/>
  <c r="L35" i="25"/>
  <c r="L36" i="25"/>
  <c r="L37" i="25"/>
  <c r="L42" i="25"/>
  <c r="L43" i="25"/>
  <c r="L44" i="25"/>
  <c r="L49" i="25"/>
  <c r="L50" i="25"/>
  <c r="L51" i="25"/>
  <c r="L56" i="25"/>
  <c r="L57" i="25"/>
  <c r="L58" i="25"/>
  <c r="L63" i="25"/>
  <c r="L64" i="25"/>
  <c r="L65" i="25"/>
  <c r="L70" i="25"/>
  <c r="L71" i="25"/>
  <c r="L72" i="25"/>
  <c r="L77" i="25"/>
  <c r="L78" i="25"/>
  <c r="L79" i="25"/>
  <c r="K3" i="25"/>
  <c r="L3" i="25" s="1"/>
  <c r="K4" i="25"/>
  <c r="L4" i="25" s="1"/>
  <c r="K5" i="25"/>
  <c r="L5" i="25" s="1"/>
  <c r="K6" i="25"/>
  <c r="L6" i="25" s="1"/>
  <c r="K7" i="25"/>
  <c r="K8" i="25"/>
  <c r="K9" i="25"/>
  <c r="L9" i="25" s="1"/>
  <c r="K10" i="25"/>
  <c r="L10" i="25" s="1"/>
  <c r="K11" i="25"/>
  <c r="L11" i="25" s="1"/>
  <c r="K12" i="25"/>
  <c r="L12" i="25" s="1"/>
  <c r="K13" i="25"/>
  <c r="L13" i="25" s="1"/>
  <c r="K14" i="25"/>
  <c r="K15" i="25"/>
  <c r="K16" i="25"/>
  <c r="K17" i="25"/>
  <c r="L17" i="25" s="1"/>
  <c r="K18" i="25"/>
  <c r="L18" i="25" s="1"/>
  <c r="K19" i="25"/>
  <c r="L19" i="25" s="1"/>
  <c r="K20" i="25"/>
  <c r="L20" i="25" s="1"/>
  <c r="K21" i="25"/>
  <c r="K22" i="25"/>
  <c r="K23" i="25"/>
  <c r="K24" i="25"/>
  <c r="L24" i="25" s="1"/>
  <c r="K25" i="25"/>
  <c r="L25" i="25" s="1"/>
  <c r="K26" i="25"/>
  <c r="L26" i="25" s="1"/>
  <c r="K27" i="25"/>
  <c r="L27" i="25" s="1"/>
  <c r="K28" i="25"/>
  <c r="K29" i="25"/>
  <c r="K30" i="25"/>
  <c r="K31" i="25"/>
  <c r="L31" i="25" s="1"/>
  <c r="K32" i="25"/>
  <c r="L32" i="25" s="1"/>
  <c r="K33" i="25"/>
  <c r="L33" i="25" s="1"/>
  <c r="K34" i="25"/>
  <c r="L34" i="25" s="1"/>
  <c r="K35" i="25"/>
  <c r="K36" i="25"/>
  <c r="K37" i="25"/>
  <c r="K38" i="25"/>
  <c r="L38" i="25" s="1"/>
  <c r="K39" i="25"/>
  <c r="L39" i="25" s="1"/>
  <c r="K40" i="25"/>
  <c r="L40" i="25" s="1"/>
  <c r="K41" i="25"/>
  <c r="L41" i="25" s="1"/>
  <c r="K42" i="25"/>
  <c r="K43" i="25"/>
  <c r="K44" i="25"/>
  <c r="K45" i="25"/>
  <c r="L45" i="25" s="1"/>
  <c r="K46" i="25"/>
  <c r="L46" i="25" s="1"/>
  <c r="K47" i="25"/>
  <c r="L47" i="25" s="1"/>
  <c r="K48" i="25"/>
  <c r="L48" i="25" s="1"/>
  <c r="K49" i="25"/>
  <c r="K50" i="25"/>
  <c r="K51" i="25"/>
  <c r="K52" i="25"/>
  <c r="L52" i="25" s="1"/>
  <c r="K53" i="25"/>
  <c r="L53" i="25" s="1"/>
  <c r="K54" i="25"/>
  <c r="L54" i="25" s="1"/>
  <c r="K55" i="25"/>
  <c r="L55" i="25" s="1"/>
  <c r="K56" i="25"/>
  <c r="K57" i="25"/>
  <c r="K58" i="25"/>
  <c r="K59" i="25"/>
  <c r="L59" i="25" s="1"/>
  <c r="K60" i="25"/>
  <c r="L60" i="25" s="1"/>
  <c r="K61" i="25"/>
  <c r="L61" i="25" s="1"/>
  <c r="K62" i="25"/>
  <c r="L62" i="25" s="1"/>
  <c r="K63" i="25"/>
  <c r="K64" i="25"/>
  <c r="K65" i="25"/>
  <c r="K66" i="25"/>
  <c r="L66" i="25" s="1"/>
  <c r="K67" i="25"/>
  <c r="L67" i="25" s="1"/>
  <c r="K68" i="25"/>
  <c r="L68" i="25" s="1"/>
  <c r="K69" i="25"/>
  <c r="L69" i="25" s="1"/>
  <c r="K70" i="25"/>
  <c r="K71" i="25"/>
  <c r="K72" i="25"/>
  <c r="K73" i="25"/>
  <c r="L73" i="25" s="1"/>
  <c r="K74" i="25"/>
  <c r="L74" i="25" s="1"/>
  <c r="K75" i="25"/>
  <c r="L75" i="25" s="1"/>
  <c r="K76" i="25"/>
  <c r="L76" i="25" s="1"/>
  <c r="K77" i="25"/>
  <c r="K78" i="25"/>
  <c r="K79" i="25"/>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L4" i="3"/>
  <c r="L5" i="3"/>
  <c r="L6" i="3"/>
  <c r="L7" i="3"/>
  <c r="L8" i="3"/>
  <c r="L9" i="3"/>
  <c r="L16" i="3"/>
  <c r="L18" i="3"/>
  <c r="L19" i="3"/>
  <c r="L20" i="3"/>
  <c r="L21" i="3"/>
  <c r="L22" i="3"/>
  <c r="L23" i="3"/>
  <c r="L30" i="3"/>
  <c r="L32" i="3"/>
  <c r="L33" i="3"/>
  <c r="L34" i="3"/>
  <c r="L35" i="3"/>
  <c r="L36" i="3"/>
  <c r="L37" i="3"/>
  <c r="L44" i="3"/>
  <c r="L46" i="3"/>
  <c r="L47" i="3"/>
  <c r="L48" i="3"/>
  <c r="L49" i="3"/>
  <c r="L50" i="3"/>
  <c r="L51" i="3"/>
  <c r="L58" i="3"/>
  <c r="L60" i="3"/>
  <c r="L61" i="3"/>
  <c r="L62" i="3"/>
  <c r="L63" i="3"/>
  <c r="L64" i="3"/>
  <c r="L65" i="3"/>
  <c r="L72" i="3"/>
  <c r="L74" i="3"/>
  <c r="L75" i="3"/>
  <c r="L76" i="3"/>
  <c r="L77" i="3"/>
  <c r="L78" i="3"/>
  <c r="L79" i="3"/>
  <c r="K3" i="3"/>
  <c r="L3" i="3" s="1"/>
  <c r="K4" i="3"/>
  <c r="K5" i="3"/>
  <c r="K6" i="3"/>
  <c r="K7" i="3"/>
  <c r="K8" i="3"/>
  <c r="K9" i="3"/>
  <c r="K10" i="3"/>
  <c r="L10" i="3" s="1"/>
  <c r="K11" i="3"/>
  <c r="L11" i="3" s="1"/>
  <c r="K12" i="3"/>
  <c r="L12" i="3" s="1"/>
  <c r="K13" i="3"/>
  <c r="L13" i="3" s="1"/>
  <c r="K14" i="3"/>
  <c r="L14" i="3" s="1"/>
  <c r="K15" i="3"/>
  <c r="L15" i="3" s="1"/>
  <c r="K16" i="3"/>
  <c r="K17" i="3"/>
  <c r="L17" i="3" s="1"/>
  <c r="K18" i="3"/>
  <c r="K19" i="3"/>
  <c r="K20" i="3"/>
  <c r="K21" i="3"/>
  <c r="K22" i="3"/>
  <c r="K23" i="3"/>
  <c r="K24" i="3"/>
  <c r="L24" i="3" s="1"/>
  <c r="K25" i="3"/>
  <c r="L25" i="3" s="1"/>
  <c r="K26" i="3"/>
  <c r="L26" i="3" s="1"/>
  <c r="K27" i="3"/>
  <c r="L27" i="3" s="1"/>
  <c r="K28" i="3"/>
  <c r="L28" i="3" s="1"/>
  <c r="K29" i="3"/>
  <c r="L29" i="3" s="1"/>
  <c r="K30" i="3"/>
  <c r="K31" i="3"/>
  <c r="L31" i="3" s="1"/>
  <c r="K32" i="3"/>
  <c r="K33" i="3"/>
  <c r="K34" i="3"/>
  <c r="K35" i="3"/>
  <c r="K36" i="3"/>
  <c r="K37" i="3"/>
  <c r="K38" i="3"/>
  <c r="L38" i="3" s="1"/>
  <c r="K39" i="3"/>
  <c r="L39" i="3" s="1"/>
  <c r="K40" i="3"/>
  <c r="L40" i="3" s="1"/>
  <c r="K41" i="3"/>
  <c r="L41" i="3" s="1"/>
  <c r="K42" i="3"/>
  <c r="L42" i="3" s="1"/>
  <c r="K43" i="3"/>
  <c r="L43" i="3" s="1"/>
  <c r="K44" i="3"/>
  <c r="K45" i="3"/>
  <c r="L45" i="3" s="1"/>
  <c r="K46" i="3"/>
  <c r="K47" i="3"/>
  <c r="K48" i="3"/>
  <c r="K49" i="3"/>
  <c r="K50" i="3"/>
  <c r="K51" i="3"/>
  <c r="K52" i="3"/>
  <c r="L52" i="3" s="1"/>
  <c r="K53" i="3"/>
  <c r="L53" i="3" s="1"/>
  <c r="K54" i="3"/>
  <c r="L54" i="3" s="1"/>
  <c r="K55" i="3"/>
  <c r="L55" i="3" s="1"/>
  <c r="K56" i="3"/>
  <c r="L56" i="3" s="1"/>
  <c r="K57" i="3"/>
  <c r="L57" i="3" s="1"/>
  <c r="K58" i="3"/>
  <c r="K59" i="3"/>
  <c r="L59" i="3" s="1"/>
  <c r="K60" i="3"/>
  <c r="K61" i="3"/>
  <c r="K62" i="3"/>
  <c r="K63" i="3"/>
  <c r="K64" i="3"/>
  <c r="K65" i="3"/>
  <c r="K66" i="3"/>
  <c r="L66" i="3" s="1"/>
  <c r="K67" i="3"/>
  <c r="L67" i="3" s="1"/>
  <c r="K68" i="3"/>
  <c r="L68" i="3" s="1"/>
  <c r="K69" i="3"/>
  <c r="L69" i="3" s="1"/>
  <c r="K70" i="3"/>
  <c r="L70" i="3" s="1"/>
  <c r="K71" i="3"/>
  <c r="L71" i="3" s="1"/>
  <c r="K72" i="3"/>
  <c r="K73" i="3"/>
  <c r="L73" i="3" s="1"/>
  <c r="K74" i="3"/>
  <c r="K75" i="3"/>
  <c r="K76" i="3"/>
  <c r="K77" i="3"/>
  <c r="K78" i="3"/>
  <c r="K79" i="3"/>
  <c r="K80" i="3"/>
  <c r="L80" i="3" s="1"/>
  <c r="K81" i="3"/>
  <c r="L81" i="3" s="1"/>
  <c r="K82" i="3"/>
  <c r="L82" i="3" s="1"/>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S35" i="35"/>
  <c r="Q17" i="35"/>
  <c r="Q29" i="35"/>
  <c r="S35" i="36"/>
  <c r="Q17" i="36"/>
  <c r="Q29" i="36"/>
  <c r="S35" i="33"/>
  <c r="Q17" i="33"/>
  <c r="Q29" i="33"/>
  <c r="S35" i="32"/>
  <c r="Q17" i="32"/>
  <c r="Q29" i="32"/>
  <c r="S35" i="31"/>
  <c r="Q17" i="31"/>
  <c r="Q29" i="31"/>
  <c r="S35" i="30"/>
  <c r="Q17" i="30"/>
  <c r="Q29" i="30"/>
  <c r="S35" i="37"/>
  <c r="Q17" i="37"/>
  <c r="Q29" i="37"/>
  <c r="S35" i="28"/>
  <c r="Q29" i="28"/>
  <c r="S35" i="27"/>
  <c r="Q29" i="27"/>
  <c r="S35" i="26"/>
  <c r="Q29" i="26"/>
  <c r="S35" i="25"/>
  <c r="Q29" i="25"/>
  <c r="S35" i="3"/>
  <c r="Q29" i="3"/>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48" i="35"/>
  <c r="K49" i="35"/>
  <c r="K50" i="35"/>
  <c r="K51" i="35"/>
  <c r="K52" i="35"/>
  <c r="K53" i="35"/>
  <c r="K54" i="35"/>
  <c r="K55" i="35"/>
  <c r="K56" i="35"/>
  <c r="K57" i="35"/>
  <c r="K58" i="35"/>
  <c r="K59" i="35"/>
  <c r="K60" i="35"/>
  <c r="K61" i="35"/>
  <c r="K62" i="35"/>
  <c r="K63" i="35"/>
  <c r="K64" i="35"/>
  <c r="K65" i="35"/>
  <c r="K66" i="35"/>
  <c r="K67" i="35"/>
  <c r="K68" i="35"/>
  <c r="K69" i="35"/>
  <c r="K70" i="35"/>
  <c r="K71" i="35"/>
  <c r="K72" i="35"/>
  <c r="K73" i="35"/>
  <c r="K74" i="35"/>
  <c r="K75" i="35"/>
  <c r="K76" i="35"/>
  <c r="K77" i="35"/>
  <c r="K78" i="35"/>
  <c r="K79" i="35"/>
  <c r="K80" i="35"/>
  <c r="K81" i="35"/>
  <c r="K82"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5" i="36"/>
  <c r="K6" i="36"/>
  <c r="K7" i="36"/>
  <c r="K8" i="36"/>
  <c r="K9" i="36"/>
  <c r="K10" i="36"/>
  <c r="K11" i="36"/>
  <c r="K12" i="36"/>
  <c r="K13" i="36"/>
  <c r="K14" i="36"/>
  <c r="K15" i="36"/>
  <c r="K16" i="36"/>
  <c r="K17" i="36"/>
  <c r="K18" i="36"/>
  <c r="K19" i="36"/>
  <c r="K20" i="36"/>
  <c r="K21" i="36"/>
  <c r="K22" i="36"/>
  <c r="K23" i="36"/>
  <c r="K24" i="36"/>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3" i="36"/>
  <c r="K54" i="36"/>
  <c r="K55" i="36"/>
  <c r="K56" i="36"/>
  <c r="K57" i="36"/>
  <c r="K58" i="36"/>
  <c r="K59" i="36"/>
  <c r="K60" i="36"/>
  <c r="K61" i="36"/>
  <c r="K62" i="36"/>
  <c r="K63" i="36"/>
  <c r="K64" i="36"/>
  <c r="K65" i="36"/>
  <c r="K66" i="36"/>
  <c r="K67" i="36"/>
  <c r="K68" i="36"/>
  <c r="K69" i="36"/>
  <c r="K70" i="36"/>
  <c r="K71" i="36"/>
  <c r="K72" i="36"/>
  <c r="K73" i="36"/>
  <c r="K74" i="36"/>
  <c r="K75" i="36"/>
  <c r="K76" i="36"/>
  <c r="K77" i="36"/>
  <c r="K78" i="36"/>
  <c r="K79" i="36"/>
  <c r="K80" i="36"/>
  <c r="K81" i="36"/>
  <c r="K82"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5" i="33"/>
  <c r="K6" i="33"/>
  <c r="K7" i="33"/>
  <c r="K8" i="33"/>
  <c r="K9" i="33"/>
  <c r="K10" i="33"/>
  <c r="K11" i="33"/>
  <c r="K12" i="33"/>
  <c r="K13" i="33"/>
  <c r="K14" i="33"/>
  <c r="K15" i="33"/>
  <c r="K16" i="33"/>
  <c r="K17" i="33"/>
  <c r="K18" i="33"/>
  <c r="K19" i="33"/>
  <c r="K20" i="33"/>
  <c r="K21" i="33"/>
  <c r="K22" i="33"/>
  <c r="K23" i="33"/>
  <c r="K24" i="33"/>
  <c r="K25" i="33"/>
  <c r="K26" i="33"/>
  <c r="K27" i="33"/>
  <c r="K28" i="33"/>
  <c r="K29" i="33"/>
  <c r="K30" i="33"/>
  <c r="K31" i="33"/>
  <c r="K32" i="33"/>
  <c r="K33" i="33"/>
  <c r="K34" i="33"/>
  <c r="K35" i="33"/>
  <c r="K36" i="33"/>
  <c r="K37" i="33"/>
  <c r="K38" i="33"/>
  <c r="K39" i="33"/>
  <c r="K40" i="33"/>
  <c r="K41" i="33"/>
  <c r="K42" i="33"/>
  <c r="K43" i="33"/>
  <c r="K44" i="33"/>
  <c r="K45" i="33"/>
  <c r="K46" i="33"/>
  <c r="K47" i="33"/>
  <c r="K48" i="33"/>
  <c r="K49" i="33"/>
  <c r="K50" i="33"/>
  <c r="K51" i="33"/>
  <c r="K52" i="33"/>
  <c r="K53" i="33"/>
  <c r="K54" i="33"/>
  <c r="K55" i="33"/>
  <c r="K56" i="33"/>
  <c r="K57" i="33"/>
  <c r="K58" i="33"/>
  <c r="K59" i="33"/>
  <c r="K60" i="33"/>
  <c r="K61" i="33"/>
  <c r="K62" i="33"/>
  <c r="K63" i="33"/>
  <c r="K64" i="33"/>
  <c r="K65" i="33"/>
  <c r="K66" i="33"/>
  <c r="K67" i="33"/>
  <c r="K68" i="33"/>
  <c r="K69" i="33"/>
  <c r="K70" i="33"/>
  <c r="K71" i="33"/>
  <c r="K72" i="33"/>
  <c r="K73" i="33"/>
  <c r="K74" i="33"/>
  <c r="K75" i="33"/>
  <c r="K76" i="33"/>
  <c r="K77" i="33"/>
  <c r="K78" i="33"/>
  <c r="K79" i="33"/>
  <c r="K80" i="33"/>
  <c r="K81" i="33"/>
  <c r="K82"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34" i="32"/>
  <c r="K35" i="32"/>
  <c r="K36" i="32"/>
  <c r="K37" i="32"/>
  <c r="K38" i="32"/>
  <c r="K39" i="32"/>
  <c r="K40" i="32"/>
  <c r="K41" i="32"/>
  <c r="K42" i="32"/>
  <c r="K43" i="32"/>
  <c r="K44" i="32"/>
  <c r="K45" i="32"/>
  <c r="K46" i="32"/>
  <c r="K47" i="32"/>
  <c r="K48" i="32"/>
  <c r="K49" i="32"/>
  <c r="K50" i="32"/>
  <c r="K51" i="32"/>
  <c r="K52" i="32"/>
  <c r="K53" i="32"/>
  <c r="K54" i="32"/>
  <c r="K55" i="32"/>
  <c r="K56" i="32"/>
  <c r="K57" i="32"/>
  <c r="K58" i="32"/>
  <c r="K59" i="32"/>
  <c r="K60" i="32"/>
  <c r="K61" i="32"/>
  <c r="K62" i="32"/>
  <c r="K63" i="32"/>
  <c r="K64" i="32"/>
  <c r="K65" i="32"/>
  <c r="K66" i="32"/>
  <c r="K67" i="32"/>
  <c r="K68" i="32"/>
  <c r="K69" i="32"/>
  <c r="K70" i="32"/>
  <c r="K71" i="32"/>
  <c r="K72" i="32"/>
  <c r="K73" i="32"/>
  <c r="K74" i="32"/>
  <c r="K75" i="32"/>
  <c r="K76" i="32"/>
  <c r="K77" i="32"/>
  <c r="K78" i="32"/>
  <c r="K79" i="32"/>
  <c r="K80" i="32"/>
  <c r="K81" i="32"/>
  <c r="K82"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5" i="31"/>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53" i="31"/>
  <c r="K54" i="31"/>
  <c r="K55" i="31"/>
  <c r="K56" i="31"/>
  <c r="K57" i="31"/>
  <c r="K58" i="31"/>
  <c r="K59" i="31"/>
  <c r="K60" i="31"/>
  <c r="K61" i="31"/>
  <c r="K62" i="31"/>
  <c r="K63" i="31"/>
  <c r="K64" i="31"/>
  <c r="K65" i="31"/>
  <c r="K66" i="31"/>
  <c r="K67" i="31"/>
  <c r="K68" i="31"/>
  <c r="K69" i="31"/>
  <c r="K70" i="31"/>
  <c r="K71" i="31"/>
  <c r="K72" i="31"/>
  <c r="K73" i="31"/>
  <c r="K74" i="31"/>
  <c r="K75" i="31"/>
  <c r="K76" i="31"/>
  <c r="K77" i="31"/>
  <c r="K78" i="31"/>
  <c r="K79" i="31"/>
  <c r="K80" i="31"/>
  <c r="K81" i="31"/>
  <c r="K82"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5" i="30"/>
  <c r="K6" i="30"/>
  <c r="K7" i="30"/>
  <c r="K8" i="30"/>
  <c r="K9" i="30"/>
  <c r="K10" i="30"/>
  <c r="K11" i="30"/>
  <c r="K12" i="30"/>
  <c r="K13" i="30"/>
  <c r="K14" i="30"/>
  <c r="K15" i="30"/>
  <c r="K16" i="30"/>
  <c r="K17" i="30"/>
  <c r="K18" i="30"/>
  <c r="K19" i="30"/>
  <c r="K20" i="30"/>
  <c r="K21" i="30"/>
  <c r="K22" i="30"/>
  <c r="K23" i="30"/>
  <c r="K24" i="30"/>
  <c r="K25" i="30"/>
  <c r="K26" i="30"/>
  <c r="K27" i="30"/>
  <c r="K28" i="30"/>
  <c r="K29" i="30"/>
  <c r="K30" i="30"/>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57" i="30"/>
  <c r="K58" i="30"/>
  <c r="K59" i="30"/>
  <c r="K60" i="30"/>
  <c r="K61" i="30"/>
  <c r="K62" i="30"/>
  <c r="K63" i="30"/>
  <c r="K64" i="30"/>
  <c r="K65" i="30"/>
  <c r="K66" i="30"/>
  <c r="K67" i="30"/>
  <c r="K68" i="30"/>
  <c r="K69" i="30"/>
  <c r="K70" i="30"/>
  <c r="K71" i="30"/>
  <c r="K72" i="30"/>
  <c r="K73" i="30"/>
  <c r="K74" i="30"/>
  <c r="K75" i="30"/>
  <c r="K76" i="30"/>
  <c r="K77" i="30"/>
  <c r="K78" i="30"/>
  <c r="K79" i="30"/>
  <c r="K80" i="30"/>
  <c r="K81" i="30"/>
  <c r="K82"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K5" i="37"/>
  <c r="K6" i="37"/>
  <c r="K7" i="37"/>
  <c r="K8" i="37"/>
  <c r="K9" i="37"/>
  <c r="K10" i="37"/>
  <c r="K11" i="37"/>
  <c r="K12" i="37"/>
  <c r="K13" i="37"/>
  <c r="K14" i="37"/>
  <c r="K15" i="37"/>
  <c r="K16" i="37"/>
  <c r="K17" i="37"/>
  <c r="K18" i="37"/>
  <c r="K19" i="37"/>
  <c r="K20" i="37"/>
  <c r="K21" i="37"/>
  <c r="K22" i="37"/>
  <c r="K23" i="37"/>
  <c r="K24" i="37"/>
  <c r="K25" i="37"/>
  <c r="K26" i="37"/>
  <c r="K27" i="37"/>
  <c r="K28" i="37"/>
  <c r="K29" i="37"/>
  <c r="K30" i="37"/>
  <c r="K31" i="37"/>
  <c r="K32" i="37"/>
  <c r="K33" i="37"/>
  <c r="K34" i="37"/>
  <c r="K35" i="37"/>
  <c r="K36" i="37"/>
  <c r="K37" i="37"/>
  <c r="K38" i="37"/>
  <c r="K39" i="37"/>
  <c r="K40" i="37"/>
  <c r="K41" i="37"/>
  <c r="K42" i="37"/>
  <c r="K43" i="37"/>
  <c r="K44" i="37"/>
  <c r="K45" i="37"/>
  <c r="K46" i="37"/>
  <c r="K47" i="37"/>
  <c r="K48" i="37"/>
  <c r="K49" i="37"/>
  <c r="K50" i="37"/>
  <c r="K51" i="37"/>
  <c r="K52" i="37"/>
  <c r="K53" i="37"/>
  <c r="K54" i="37"/>
  <c r="K55" i="37"/>
  <c r="K56" i="37"/>
  <c r="K57" i="37"/>
  <c r="K58" i="37"/>
  <c r="K59" i="37"/>
  <c r="K60" i="37"/>
  <c r="K61" i="37"/>
  <c r="K62" i="37"/>
  <c r="K63" i="37"/>
  <c r="K64" i="37"/>
  <c r="K65" i="37"/>
  <c r="K66" i="37"/>
  <c r="K67" i="37"/>
  <c r="K68" i="37"/>
  <c r="K69" i="37"/>
  <c r="K70" i="37"/>
  <c r="K71" i="37"/>
  <c r="K72" i="37"/>
  <c r="K73" i="37"/>
  <c r="K74" i="37"/>
  <c r="K75" i="37"/>
  <c r="K76" i="37"/>
  <c r="K77" i="37"/>
  <c r="K78" i="37"/>
  <c r="K79" i="37"/>
  <c r="K80" i="37"/>
  <c r="K81" i="37"/>
  <c r="K82"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G7" i="3"/>
  <c r="G6" i="3"/>
  <c r="G5"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3" i="3"/>
  <c r="G32" i="3"/>
  <c r="G31" i="3"/>
  <c r="G30" i="3"/>
  <c r="G29" i="3"/>
  <c r="G28" i="3"/>
  <c r="G27" i="3"/>
  <c r="G26" i="3"/>
  <c r="G25" i="3"/>
  <c r="G24" i="3"/>
  <c r="G23" i="3"/>
  <c r="G22" i="3"/>
  <c r="G21" i="3"/>
  <c r="G20" i="3"/>
  <c r="G19" i="3"/>
  <c r="G18" i="3"/>
  <c r="G17" i="3"/>
  <c r="G16" i="3"/>
  <c r="G15" i="3"/>
  <c r="G14" i="3"/>
  <c r="G13" i="3"/>
  <c r="G12" i="3"/>
  <c r="G11" i="3"/>
  <c r="G10" i="3"/>
  <c r="G9" i="3"/>
  <c r="G8" i="3"/>
  <c r="J162" i="46"/>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J22" i="15"/>
  <c r="G22" i="15"/>
  <c r="J18" i="15"/>
  <c r="G18" i="15"/>
  <c r="J14" i="15"/>
  <c r="G14" i="15"/>
  <c r="J10" i="15"/>
  <c r="G10" i="15"/>
  <c r="F21" i="15"/>
  <c r="F20" i="15"/>
  <c r="F19" i="15"/>
  <c r="F17" i="15"/>
  <c r="F16" i="15"/>
  <c r="F15" i="15"/>
  <c r="F13" i="15"/>
  <c r="F12" i="15"/>
  <c r="F11" i="15"/>
  <c r="F9" i="15"/>
  <c r="F8" i="15"/>
  <c r="F7" i="15"/>
  <c r="G66" i="3"/>
  <c r="G67" i="3"/>
  <c r="G68" i="3"/>
  <c r="G69" i="3"/>
  <c r="G70" i="3"/>
  <c r="G71" i="3"/>
  <c r="G72" i="3"/>
  <c r="G73" i="3"/>
  <c r="G74" i="3"/>
  <c r="G75" i="3"/>
  <c r="G76" i="3"/>
  <c r="G77" i="3"/>
  <c r="G78" i="3"/>
  <c r="G79" i="3"/>
  <c r="G80" i="3"/>
  <c r="G81" i="3"/>
  <c r="G82" i="3"/>
  <c r="D25" i="2"/>
  <c r="D24" i="2"/>
  <c r="S36" i="35"/>
  <c r="S36" i="32"/>
  <c r="S36" i="36"/>
  <c r="S36" i="31"/>
  <c r="S36" i="33"/>
  <c r="S36" i="30"/>
  <c r="S36" i="37"/>
  <c r="G3" i="33"/>
  <c r="G3" i="26"/>
  <c r="G4" i="26"/>
  <c r="G4" i="36"/>
  <c r="G4" i="33"/>
  <c r="G4" i="25"/>
  <c r="G3" i="32"/>
  <c r="G3" i="25"/>
  <c r="G3" i="27"/>
  <c r="G4" i="32"/>
  <c r="G3" i="31"/>
  <c r="G4" i="31"/>
  <c r="G3" i="30"/>
  <c r="G4" i="30"/>
  <c r="G3" i="37"/>
  <c r="G4" i="28"/>
  <c r="G4" i="37"/>
  <c r="G3" i="36"/>
  <c r="G4" i="27"/>
  <c r="G3" i="35"/>
  <c r="G3" i="28"/>
  <c r="G4" i="35"/>
  <c r="Q17" i="28" l="1"/>
  <c r="Q17" i="27"/>
  <c r="Q17" i="26"/>
  <c r="Q17" i="25"/>
  <c r="Q17" i="3"/>
  <c r="S37" i="37"/>
  <c r="S37" i="30"/>
  <c r="S37" i="33"/>
  <c r="S37" i="31"/>
  <c r="S37" i="36"/>
  <c r="S37" i="32"/>
  <c r="S37" i="35"/>
  <c r="K4" i="35"/>
  <c r="K3" i="35"/>
  <c r="K3" i="36"/>
  <c r="K4" i="37"/>
  <c r="K3" i="37"/>
  <c r="K4" i="30"/>
  <c r="K3" i="30"/>
  <c r="K4" i="31"/>
  <c r="K3" i="31"/>
  <c r="K4" i="32"/>
  <c r="K3" i="32"/>
  <c r="K4" i="33"/>
  <c r="K4" i="36"/>
  <c r="K3" i="33"/>
  <c r="J23" i="15"/>
  <c r="G23" i="15"/>
  <c r="F22" i="15"/>
  <c r="F18" i="15"/>
  <c r="F14" i="15"/>
  <c r="F10" i="15"/>
  <c r="F23" i="15" s="1"/>
  <c r="H21" i="15"/>
  <c r="H20" i="15"/>
  <c r="H19" i="15"/>
  <c r="H17" i="15"/>
  <c r="H16" i="15"/>
  <c r="H15" i="15"/>
  <c r="H13" i="15"/>
  <c r="H12" i="15"/>
  <c r="H11" i="15"/>
  <c r="H9" i="15"/>
  <c r="H8" i="15"/>
  <c r="H7" i="15"/>
  <c r="S36" i="28"/>
  <c r="S36" i="27"/>
  <c r="S36" i="26"/>
  <c r="S36" i="25"/>
  <c r="S36" i="3"/>
  <c r="S37" i="28" l="1"/>
  <c r="S37" i="27"/>
  <c r="S37" i="26"/>
  <c r="S37" i="25"/>
  <c r="S37" i="3"/>
  <c r="H23" i="15"/>
  <c r="H22" i="15"/>
  <c r="H18" i="15"/>
  <c r="H14" i="15"/>
  <c r="H10" i="15"/>
  <c r="L35" i="37"/>
  <c r="L44" i="37"/>
  <c r="L48" i="37"/>
  <c r="L64" i="37"/>
  <c r="L29" i="37"/>
  <c r="L22" i="37"/>
  <c r="L78" i="30"/>
  <c r="L80" i="30"/>
  <c r="L81" i="30"/>
  <c r="L82" i="30"/>
  <c r="L79" i="30"/>
  <c r="L39" i="37"/>
  <c r="L23" i="37"/>
  <c r="L19" i="37"/>
  <c r="L25" i="37"/>
  <c r="L32" i="37"/>
  <c r="L11" i="37"/>
  <c r="L42" i="37"/>
  <c r="L62" i="37"/>
  <c r="L38" i="37"/>
  <c r="L76" i="30"/>
  <c r="L21" i="30"/>
  <c r="L36" i="30"/>
  <c r="L50" i="37"/>
  <c r="L43" i="37"/>
  <c r="L37" i="37"/>
  <c r="L28" i="37"/>
  <c r="L66" i="37"/>
  <c r="L18" i="37"/>
  <c r="L31" i="37"/>
  <c r="L41" i="37"/>
  <c r="L54" i="37"/>
  <c r="L68" i="37"/>
  <c r="L65" i="37"/>
  <c r="L61" i="37"/>
  <c r="L19" i="30"/>
  <c r="L46" i="30"/>
  <c r="L70" i="30"/>
  <c r="L73" i="30"/>
  <c r="L55" i="30"/>
  <c r="L69" i="30"/>
  <c r="L72" i="30"/>
  <c r="L77" i="30"/>
  <c r="L75" i="30"/>
  <c r="L74" i="30"/>
  <c r="L71" i="30"/>
  <c r="L21" i="37"/>
  <c r="L36" i="37"/>
  <c r="L79" i="37"/>
  <c r="L55" i="37"/>
  <c r="L78" i="37"/>
  <c r="L46" i="37"/>
  <c r="L80" i="37"/>
  <c r="L70" i="37"/>
  <c r="L69" i="37"/>
  <c r="L57" i="37"/>
  <c r="L63" i="37"/>
  <c r="L56" i="37"/>
  <c r="L9" i="37"/>
  <c r="L67" i="37"/>
  <c r="L60" i="37"/>
  <c r="L17" i="37"/>
  <c r="L4" i="37"/>
  <c r="L5" i="37"/>
  <c r="L3" i="37"/>
  <c r="L6" i="37"/>
  <c r="L20" i="37"/>
  <c r="L45" i="37"/>
  <c r="L52" i="37"/>
  <c r="L12" i="37"/>
  <c r="L24" i="37"/>
  <c r="L30" i="37"/>
  <c r="L26" i="37"/>
  <c r="L13" i="37"/>
  <c r="L27" i="37"/>
  <c r="L34" i="37"/>
  <c r="L53" i="37"/>
  <c r="L10" i="37"/>
  <c r="L49" i="37"/>
  <c r="L33" i="37"/>
  <c r="L47" i="37"/>
  <c r="L58" i="37"/>
  <c r="L51" i="37"/>
  <c r="L40" i="37"/>
  <c r="L16" i="37"/>
  <c r="L59" i="37"/>
  <c r="L15" i="37"/>
  <c r="L7" i="37"/>
  <c r="L14" i="37"/>
  <c r="L8" i="37"/>
  <c r="L76" i="37"/>
  <c r="L77" i="37"/>
  <c r="L82" i="37"/>
  <c r="L71" i="37"/>
  <c r="L72" i="37"/>
  <c r="L73" i="37"/>
  <c r="L74" i="37"/>
  <c r="L75" i="37"/>
  <c r="L81" i="37"/>
  <c r="L26" i="30"/>
  <c r="L35" i="30"/>
  <c r="L49" i="30"/>
  <c r="L39" i="30"/>
  <c r="L7" i="30"/>
  <c r="L61" i="30"/>
  <c r="L62" i="30"/>
  <c r="L31" i="30"/>
  <c r="L10" i="30"/>
  <c r="L14" i="30"/>
  <c r="L33" i="30"/>
  <c r="L52" i="30"/>
  <c r="L43" i="30"/>
  <c r="L17" i="30"/>
  <c r="L53" i="30"/>
  <c r="L4" i="30"/>
  <c r="L64" i="30"/>
  <c r="L22" i="30"/>
  <c r="L20" i="30"/>
  <c r="L42" i="30"/>
  <c r="L8" i="30"/>
  <c r="L27" i="30"/>
  <c r="L45" i="30"/>
  <c r="L37" i="30"/>
  <c r="L44" i="30"/>
  <c r="L48" i="30"/>
  <c r="L50" i="30"/>
  <c r="L3" i="30"/>
  <c r="L38" i="30"/>
  <c r="L12" i="30"/>
  <c r="L40" i="30"/>
  <c r="L56" i="30"/>
  <c r="L5" i="30"/>
  <c r="L32" i="30"/>
  <c r="L23" i="30"/>
  <c r="L18" i="30"/>
  <c r="L13" i="30"/>
  <c r="L47" i="30"/>
  <c r="L28" i="30"/>
  <c r="L63" i="30"/>
  <c r="L29" i="30"/>
  <c r="L16" i="30"/>
  <c r="L51" i="30"/>
  <c r="L54" i="30"/>
  <c r="L11" i="30"/>
  <c r="L41" i="30"/>
  <c r="L59" i="30"/>
  <c r="L58" i="30"/>
  <c r="L30" i="30"/>
  <c r="L24" i="30"/>
  <c r="L68" i="30"/>
  <c r="L60" i="30"/>
  <c r="L6" i="30"/>
  <c r="L25" i="30"/>
  <c r="L57" i="30"/>
  <c r="L66" i="30"/>
  <c r="L9" i="30"/>
  <c r="L15" i="30"/>
  <c r="L67" i="30"/>
  <c r="L34" i="30"/>
  <c r="L65" i="30"/>
  <c r="L15" i="35"/>
  <c r="L18" i="35"/>
  <c r="L21" i="35"/>
  <c r="L22" i="35"/>
  <c r="L46" i="35"/>
  <c r="L55" i="35"/>
  <c r="L60" i="35"/>
  <c r="L58" i="35"/>
  <c r="L69" i="35"/>
  <c r="L70" i="35"/>
  <c r="L71" i="35"/>
  <c r="L72" i="35"/>
  <c r="L73" i="35"/>
  <c r="L74" i="35"/>
  <c r="L75" i="35"/>
  <c r="L77" i="35"/>
  <c r="L79" i="35"/>
  <c r="L81" i="35"/>
  <c r="L82" i="35"/>
  <c r="L18" i="32"/>
  <c r="L19" i="32"/>
  <c r="L21" i="32"/>
  <c r="L36" i="32"/>
  <c r="L46" i="32"/>
  <c r="L55" i="32"/>
  <c r="L69" i="32"/>
  <c r="L70" i="32"/>
  <c r="L71" i="32"/>
  <c r="L73" i="32"/>
  <c r="L74" i="32"/>
  <c r="L75" i="32"/>
  <c r="L76" i="32"/>
  <c r="L77" i="32"/>
  <c r="L78" i="32"/>
  <c r="L79" i="32"/>
  <c r="L81" i="32"/>
  <c r="L82" i="32"/>
  <c r="L19" i="31"/>
  <c r="L21" i="31"/>
  <c r="L36" i="31"/>
  <c r="L55" i="31"/>
  <c r="L69" i="31"/>
  <c r="L70" i="31"/>
  <c r="L72" i="31"/>
  <c r="L73" i="31"/>
  <c r="L74" i="31"/>
  <c r="L76" i="31"/>
  <c r="L77" i="31"/>
  <c r="L78" i="31"/>
  <c r="L79" i="31"/>
  <c r="L80" i="31"/>
  <c r="L81" i="31"/>
  <c r="L82" i="31"/>
  <c r="L78" i="35"/>
  <c r="L80" i="35"/>
  <c r="L72" i="32"/>
  <c r="L80" i="32"/>
  <c r="L18" i="31"/>
  <c r="L46" i="31"/>
  <c r="L75" i="31"/>
  <c r="L65" i="35"/>
  <c r="L36" i="35"/>
  <c r="L76" i="35"/>
  <c r="L71" i="31"/>
  <c r="L25" i="35" l="1"/>
  <c r="L27" i="35"/>
  <c r="L11" i="35"/>
  <c r="L66" i="35"/>
  <c r="L45" i="35"/>
  <c r="L42" i="35"/>
  <c r="L59" i="35"/>
  <c r="L26" i="35"/>
  <c r="L40" i="35"/>
  <c r="L17" i="35"/>
  <c r="L51" i="35"/>
  <c r="L49" i="35"/>
  <c r="L20" i="35"/>
  <c r="L37" i="35"/>
  <c r="L30" i="35"/>
  <c r="L67" i="35"/>
  <c r="L10" i="35"/>
  <c r="L24" i="35"/>
  <c r="L52" i="35"/>
  <c r="L57" i="35"/>
  <c r="L31" i="35"/>
  <c r="L48" i="35"/>
  <c r="L19" i="35"/>
  <c r="L32" i="35"/>
  <c r="L63" i="35"/>
  <c r="L44" i="35"/>
  <c r="L3" i="35"/>
  <c r="L68" i="35"/>
  <c r="L33" i="35"/>
  <c r="L28" i="35"/>
  <c r="L34" i="35"/>
  <c r="L53" i="35"/>
  <c r="L29" i="35"/>
  <c r="L61" i="35"/>
  <c r="L47" i="35"/>
  <c r="L35" i="35"/>
  <c r="L23" i="35"/>
  <c r="L62" i="35"/>
  <c r="L12" i="35"/>
  <c r="L38" i="35"/>
  <c r="L64" i="35"/>
  <c r="L16" i="35"/>
  <c r="L43" i="35"/>
  <c r="L54" i="35"/>
  <c r="L8" i="35"/>
  <c r="L56" i="35"/>
  <c r="L9" i="35"/>
  <c r="L41" i="35"/>
  <c r="L39" i="35"/>
  <c r="L13" i="35"/>
  <c r="L14" i="35"/>
  <c r="L7" i="35"/>
  <c r="L50" i="35"/>
  <c r="L6" i="35"/>
  <c r="L5" i="35"/>
  <c r="L4" i="35"/>
  <c r="L18" i="36"/>
  <c r="L65" i="36"/>
  <c r="L28" i="36"/>
  <c r="L34" i="36"/>
  <c r="L53" i="36"/>
  <c r="L51" i="36"/>
  <c r="L60" i="36"/>
  <c r="L59" i="36"/>
  <c r="L64" i="36"/>
  <c r="L48" i="36"/>
  <c r="L61" i="36"/>
  <c r="L47" i="36"/>
  <c r="L35" i="36"/>
  <c r="L23" i="36"/>
  <c r="L57" i="36"/>
  <c r="L12" i="36"/>
  <c r="L38" i="36"/>
  <c r="L62" i="36"/>
  <c r="L54" i="36"/>
  <c r="L8" i="36"/>
  <c r="L56" i="36"/>
  <c r="L9" i="36"/>
  <c r="L3" i="36"/>
  <c r="L25" i="36"/>
  <c r="L39" i="36"/>
  <c r="L13" i="36"/>
  <c r="L14" i="36"/>
  <c r="L7" i="36"/>
  <c r="L50" i="36"/>
  <c r="L66" i="36"/>
  <c r="L49" i="36"/>
  <c r="L63" i="36"/>
  <c r="L20" i="36"/>
  <c r="L27" i="36"/>
  <c r="L37" i="36"/>
  <c r="L11" i="36"/>
  <c r="L30" i="36"/>
  <c r="L5" i="36"/>
  <c r="L32" i="36"/>
  <c r="L15" i="36"/>
  <c r="L10" i="36"/>
  <c r="L45" i="36"/>
  <c r="L24" i="36"/>
  <c r="L42" i="36"/>
  <c r="L52" i="36"/>
  <c r="L4" i="36"/>
  <c r="L65" i="31"/>
  <c r="L31" i="31"/>
  <c r="L58" i="31"/>
  <c r="L25" i="31"/>
  <c r="L65" i="32"/>
  <c r="L31" i="32"/>
  <c r="L58" i="32"/>
  <c r="L25" i="32"/>
  <c r="L10" i="31"/>
  <c r="L35" i="31"/>
  <c r="L57" i="31"/>
  <c r="L38" i="31"/>
  <c r="L10" i="32"/>
  <c r="L35" i="32"/>
  <c r="L57" i="32"/>
  <c r="L38" i="32"/>
  <c r="L62" i="31"/>
  <c r="L43" i="31"/>
  <c r="L30" i="31"/>
  <c r="L20" i="31"/>
  <c r="L62" i="32"/>
  <c r="L43" i="32"/>
  <c r="L30" i="32"/>
  <c r="L20" i="32"/>
  <c r="L59" i="31"/>
  <c r="L32" i="31"/>
  <c r="L63" i="31"/>
  <c r="L48" i="31"/>
  <c r="L59" i="32"/>
  <c r="L32" i="32"/>
  <c r="L63" i="32"/>
  <c r="L48" i="32"/>
  <c r="L60" i="31"/>
  <c r="L26" i="31"/>
  <c r="L11" i="31"/>
  <c r="L60" i="32"/>
  <c r="L26" i="32"/>
  <c r="L11" i="32"/>
  <c r="L47" i="31"/>
  <c r="L44" i="31"/>
  <c r="L22" i="31"/>
  <c r="L47" i="32"/>
  <c r="L44" i="32"/>
  <c r="L22" i="32"/>
  <c r="L9" i="31"/>
  <c r="L54" i="31"/>
  <c r="L49" i="31"/>
  <c r="L9" i="32"/>
  <c r="L54" i="32"/>
  <c r="L49" i="32"/>
  <c r="L3" i="31"/>
  <c r="L51" i="31"/>
  <c r="L50" i="31"/>
  <c r="L3" i="32"/>
  <c r="L51" i="32"/>
  <c r="L50" i="32"/>
  <c r="L64" i="31"/>
  <c r="L15" i="31"/>
  <c r="L39" i="31"/>
  <c r="L8" i="31"/>
  <c r="L40" i="31"/>
  <c r="L12" i="31"/>
  <c r="L53" i="31"/>
  <c r="L14" i="31"/>
  <c r="L64" i="32"/>
  <c r="L15" i="32"/>
  <c r="L39" i="32"/>
  <c r="L8" i="32"/>
  <c r="L40" i="32"/>
  <c r="L12" i="32"/>
  <c r="L53" i="32"/>
  <c r="L14" i="32"/>
  <c r="L17" i="31"/>
  <c r="L66" i="31"/>
  <c r="L16" i="31"/>
  <c r="L27" i="31"/>
  <c r="L34" i="31"/>
  <c r="L37" i="31"/>
  <c r="L13" i="31"/>
  <c r="L6" i="31"/>
  <c r="L17" i="32"/>
  <c r="L66" i="32"/>
  <c r="L16" i="32"/>
  <c r="L27" i="32"/>
  <c r="L34" i="32"/>
  <c r="L37" i="32"/>
  <c r="L13" i="32"/>
  <c r="L6" i="32"/>
  <c r="L67" i="31"/>
  <c r="L61" i="31"/>
  <c r="L56" i="31"/>
  <c r="L52" i="31"/>
  <c r="L24" i="31"/>
  <c r="L42" i="31"/>
  <c r="L7" i="31"/>
  <c r="L5" i="31"/>
  <c r="L67" i="32"/>
  <c r="L61" i="32"/>
  <c r="L56" i="32"/>
  <c r="L52" i="32"/>
  <c r="L24" i="32"/>
  <c r="L42" i="32"/>
  <c r="L7" i="32"/>
  <c r="L5" i="32"/>
  <c r="L41" i="31"/>
  <c r="L68" i="31"/>
  <c r="L23" i="31"/>
  <c r="L28" i="31"/>
  <c r="L45" i="31"/>
  <c r="L33" i="31"/>
  <c r="L29" i="31"/>
  <c r="L4" i="31"/>
  <c r="L41" i="32"/>
  <c r="L68" i="32"/>
  <c r="L23" i="32"/>
  <c r="L28" i="32"/>
  <c r="L45" i="32"/>
  <c r="L33" i="32"/>
  <c r="L29" i="32"/>
  <c r="L4" i="32"/>
  <c r="L68" i="33"/>
  <c r="L28" i="33"/>
  <c r="L53" i="33"/>
  <c r="L41" i="36"/>
  <c r="L47" i="33"/>
  <c r="L23" i="33"/>
  <c r="L12" i="33"/>
  <c r="L3" i="33"/>
  <c r="L51" i="33"/>
  <c r="L49" i="33"/>
  <c r="L64" i="33"/>
  <c r="L39" i="33"/>
  <c r="L14" i="33"/>
  <c r="L50" i="33"/>
  <c r="L25" i="33"/>
  <c r="L35" i="33"/>
  <c r="L57" i="33"/>
  <c r="L38" i="33"/>
  <c r="L68" i="36"/>
  <c r="L59" i="33"/>
  <c r="L32" i="33"/>
  <c r="L63" i="33"/>
  <c r="L44" i="33"/>
  <c r="L33" i="36"/>
  <c r="L29" i="36"/>
  <c r="L41" i="33"/>
  <c r="L33" i="33"/>
  <c r="L34" i="33"/>
  <c r="L29" i="33"/>
  <c r="L15" i="33"/>
  <c r="L13" i="33"/>
  <c r="L7" i="33"/>
  <c r="L6" i="33"/>
  <c r="L65" i="33"/>
  <c r="L60" i="33"/>
  <c r="L31" i="33"/>
  <c r="L26" i="33"/>
  <c r="L58" i="33"/>
  <c r="L40" i="33"/>
  <c r="L48" i="33"/>
  <c r="L31" i="36"/>
  <c r="L62" i="33"/>
  <c r="L16" i="33"/>
  <c r="L43" i="33"/>
  <c r="L54" i="33"/>
  <c r="L8" i="33"/>
  <c r="L56" i="33"/>
  <c r="L9" i="33"/>
  <c r="L16" i="36"/>
  <c r="L43" i="36"/>
  <c r="L17" i="33"/>
  <c r="L66" i="33"/>
  <c r="L20" i="33"/>
  <c r="L27" i="33"/>
  <c r="L37" i="33"/>
  <c r="L11" i="33"/>
  <c r="L30" i="33"/>
  <c r="L5" i="33"/>
  <c r="L67" i="36"/>
  <c r="L67" i="33"/>
  <c r="L61" i="33"/>
  <c r="L10" i="33"/>
  <c r="L45" i="33"/>
  <c r="L24" i="33"/>
  <c r="L42" i="33"/>
  <c r="L52" i="33"/>
  <c r="L4" i="33"/>
  <c r="L17" i="36"/>
  <c r="L76" i="36"/>
  <c r="L58" i="36"/>
  <c r="L70" i="36"/>
  <c r="L78" i="33"/>
  <c r="L70" i="33"/>
  <c r="L18" i="33"/>
  <c r="L75" i="36"/>
  <c r="L55" i="36"/>
  <c r="L80" i="33"/>
  <c r="L19" i="36"/>
  <c r="L77" i="33"/>
  <c r="L69" i="33"/>
  <c r="L82" i="36"/>
  <c r="L74" i="36"/>
  <c r="L46" i="36"/>
  <c r="L79" i="33"/>
  <c r="L76" i="33"/>
  <c r="L55" i="33"/>
  <c r="L81" i="36"/>
  <c r="L73" i="36"/>
  <c r="L36" i="36"/>
  <c r="L72" i="33"/>
  <c r="L75" i="33"/>
  <c r="L46" i="33"/>
  <c r="L22" i="36"/>
  <c r="L71" i="33"/>
  <c r="L82" i="33"/>
  <c r="L74" i="33"/>
  <c r="L36" i="33"/>
  <c r="L71" i="36"/>
  <c r="L21" i="36"/>
  <c r="L21" i="33"/>
  <c r="L80" i="36"/>
  <c r="L81" i="33"/>
  <c r="L73" i="33"/>
  <c r="L22" i="33"/>
  <c r="L78" i="36"/>
  <c r="L19" i="33"/>
  <c r="L79" i="36"/>
  <c r="L77" i="36"/>
  <c r="L69" i="36"/>
  <c r="L72" i="36"/>
  <c r="L26" i="36"/>
  <c r="L40" i="36"/>
  <c r="L44" i="36"/>
  <c r="L6"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37" i="37" l="1"/>
  <c r="E11" i="2" s="1"/>
  <c r="I13" i="15" s="1"/>
  <c r="K13" i="15" s="1"/>
  <c r="Q39" i="37"/>
  <c r="U35" i="37"/>
  <c r="Q8" i="37"/>
  <c r="Q11" i="37"/>
  <c r="O13" i="15"/>
  <c r="S39" i="37"/>
  <c r="U38" i="37"/>
  <c r="Q40" i="37"/>
  <c r="S40" i="37"/>
  <c r="Q41" i="37"/>
  <c r="S41" i="37"/>
  <c r="Q9" i="30"/>
  <c r="U39" i="37" l="1"/>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12" i="25" s="1"/>
  <c r="Q8" i="36"/>
  <c r="Q8" i="28"/>
  <c r="Q8" i="26"/>
  <c r="Q13" i="26" s="1"/>
  <c r="K10" i="15" l="1"/>
  <c r="I23" i="15"/>
  <c r="K23" i="15" s="1"/>
  <c r="Q15" i="26"/>
  <c r="Q41" i="26"/>
  <c r="S9" i="3"/>
  <c r="Q13" i="27"/>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D26" i="2" l="1"/>
  <c r="D30" i="2"/>
  <c r="D29" i="2"/>
  <c r="D28" i="2"/>
  <c r="D31" i="2"/>
  <c r="D33" i="2"/>
  <c r="D32" i="2"/>
  <c r="O7" i="15"/>
  <c r="Q11" i="3"/>
  <c r="Q13" i="3" s="1"/>
  <c r="U37" i="35"/>
  <c r="U37" i="36"/>
  <c r="U37" i="33"/>
  <c r="U37" i="32"/>
  <c r="U37" i="31"/>
  <c r="U37" i="30"/>
  <c r="U37" i="28"/>
  <c r="O14" i="15"/>
  <c r="Q42" i="3" l="1"/>
  <c r="Q15" i="3"/>
  <c r="O16" i="3" s="1"/>
  <c r="S41" i="3"/>
  <c r="Q41" i="3"/>
  <c r="Q40" i="3"/>
  <c r="S40" i="3"/>
  <c r="O10" i="15"/>
  <c r="O18" i="15"/>
  <c r="O22" i="15"/>
  <c r="D22" i="2" l="1"/>
  <c r="U36" i="3"/>
  <c r="L7" i="15"/>
  <c r="U40" i="3"/>
  <c r="M7" i="15"/>
  <c r="U41" i="3"/>
  <c r="O23" i="15"/>
  <c r="U37" i="3" l="1"/>
  <c r="M18" i="15"/>
  <c r="M22" i="15"/>
  <c r="L18" i="15"/>
  <c r="L22" i="15"/>
  <c r="L14" i="15" l="1"/>
  <c r="M14" i="15"/>
  <c r="O5" i="35" l="1"/>
  <c r="O5" i="36"/>
  <c r="O5" i="33"/>
  <c r="O5" i="32"/>
  <c r="O5" i="31"/>
  <c r="O5" i="30"/>
  <c r="O5" i="37"/>
  <c r="O5" i="28"/>
  <c r="O5" i="27"/>
  <c r="O5" i="26"/>
  <c r="O5" i="25"/>
  <c r="O5" i="3"/>
  <c r="Q5" i="25" l="1"/>
  <c r="N8" i="15"/>
  <c r="P8" i="15" s="1"/>
  <c r="Q5" i="26"/>
  <c r="N9" i="15"/>
  <c r="P9" i="15" s="1"/>
  <c r="N11" i="15"/>
  <c r="Q5" i="27"/>
  <c r="N12" i="15"/>
  <c r="P12" i="15" s="1"/>
  <c r="Q5" i="28"/>
  <c r="N13" i="15"/>
  <c r="P13" i="15" s="1"/>
  <c r="Q5" i="37"/>
  <c r="N15" i="15"/>
  <c r="Q5" i="30"/>
  <c r="N16" i="15"/>
  <c r="P16" i="15" s="1"/>
  <c r="Q5" i="31"/>
  <c r="N17" i="15"/>
  <c r="P17" i="15" s="1"/>
  <c r="Q5" i="32"/>
  <c r="N19" i="15"/>
  <c r="Q5" i="33"/>
  <c r="N20" i="15"/>
  <c r="P20" i="15" s="1"/>
  <c r="Q5" i="36"/>
  <c r="N21" i="15"/>
  <c r="P21" i="15" s="1"/>
  <c r="Q5" i="35"/>
  <c r="N7" i="15"/>
  <c r="Q5" i="3"/>
  <c r="O6" i="31" l="1"/>
  <c r="R5" i="31"/>
  <c r="O6" i="30"/>
  <c r="R5" i="30"/>
  <c r="P15" i="15"/>
  <c r="N18" i="15"/>
  <c r="P18" i="15" s="1"/>
  <c r="O6" i="37"/>
  <c r="R5" i="37"/>
  <c r="O6" i="35"/>
  <c r="R5" i="35"/>
  <c r="O6" i="28"/>
  <c r="R5" i="28"/>
  <c r="O6" i="36"/>
  <c r="R5" i="36"/>
  <c r="O6" i="27"/>
  <c r="R5" i="27"/>
  <c r="P11" i="15"/>
  <c r="N14" i="15"/>
  <c r="P14" i="15" s="1"/>
  <c r="O6" i="33"/>
  <c r="R5" i="33"/>
  <c r="N22" i="15"/>
  <c r="P22" i="15" s="1"/>
  <c r="P19" i="15"/>
  <c r="O6" i="26"/>
  <c r="R5" i="26"/>
  <c r="O6" i="32"/>
  <c r="R5" i="32"/>
  <c r="O6" i="25"/>
  <c r="R5" i="25"/>
  <c r="O6" i="3"/>
  <c r="R5" i="3"/>
  <c r="N10" i="15"/>
  <c r="P7" i="15"/>
  <c r="P10" i="15" l="1"/>
  <c r="N23" i="15"/>
  <c r="P23" i="15" s="1"/>
  <c r="S41" i="25"/>
  <c r="M8" i="15" s="1"/>
  <c r="M10" i="15" s="1"/>
  <c r="M23" i="15" s="1"/>
  <c r="S40" i="25"/>
  <c r="L8" i="15" s="1"/>
  <c r="L10" i="15" s="1"/>
  <c r="L23" i="15" s="1"/>
  <c r="Q14" i="25"/>
  <c r="O15" i="25" s="1"/>
  <c r="Q41" i="25"/>
  <c r="D32" i="15"/>
  <c r="Q40" i="25"/>
  <c r="U40" i="25" l="1"/>
  <c r="U41" i="2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<sst xmlns="http://schemas.openxmlformats.org/spreadsheetml/2006/main" count="2537" uniqueCount="387">
  <si>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</si>
  <si>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</si>
  <si>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</si>
  <si>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</si>
  <si>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</si>
  <si>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</si>
  <si>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</si>
  <si>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</si>
  <si>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</si>
  <si>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</si>
  <si>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</si>
  <si>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</si>
  <si>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</si>
  <si>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</si>
  <si>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</si>
  <si>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</si>
  <si>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</si>
  <si>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</si>
  <si>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</si>
  <si>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</si>
  <si>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</si>
  <si>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</si>
  <si>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</si>
  <si>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</si>
  <si>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</si>
  <si>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</si>
  <si>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</si>
  <si>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</si>
  <si>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</si>
  <si>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</si>
  <si>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</si>
  <si>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</si>
  <si>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</si>
  <si>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</si>
  <si>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</si>
  <si>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</si>
  <si>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</si>
  <si>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</si>
  <si>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</si>
  <si>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</si>
  <si>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</si>
  <si>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</si>
  <si>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</si>
  <si>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</si>
  <si>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</si>
  <si>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</si>
  <si>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</si>
  <si>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</si>
  <si>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</si>
  <si>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</si>
  <si>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</si>
  <si>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</si>
  <si>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</si>
  <si>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</si>
  <si>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</si>
  <si>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</si>
  <si>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</si>
  <si>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</si>
  <si>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</si>
  <si>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</si>
  <si>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</si>
  <si>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</si>
  <si>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</si>
  <si>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</si>
  <si>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</si>
  <si>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</si>
  <si>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</si>
  <si>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</si>
  <si>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</si>
  <si>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</si>
  <si>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</si>
  <si>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</si>
  <si>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</si>
  <si>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</si>
  <si>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</si>
  <si>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</si>
  <si>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</si>
  <si>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</si>
  <si>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</si>
  <si>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</si>
  <si>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</si>
  <si>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</si>
  <si>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</si>
  <si>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</si>
  <si>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</si>
  <si>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</si>
  <si>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</si>
  <si>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</si>
  <si>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</si>
  <si>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</si>
  <si>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</si>
  <si>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</si>
  <si>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</si>
  <si>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</si>
  <si>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</si>
  <si>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</si>
  <si>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</si>
  <si>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</si>
  <si>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</si>
  <si>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</si>
  <si>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</si>
  <si>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</si>
  <si>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</si>
  <si>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</si>
  <si>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</si>
  <si>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</si>
  <si>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</si>
  <si>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</si>
  <si>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</si>
  <si>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</si>
  <si>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</si>
  <si>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</si>
  <si>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</si>
  <si>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</si>
  <si>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</si>
  <si>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</si>
  <si>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</si>
  <si>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</si>
  <si>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</si>
  <si>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</si>
  <si>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</si>
  <si>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</si>
  <si>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</si>
  <si>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</si>
  <si>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</si>
  <si>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</si>
  <si>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</si>
  <si>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</si>
  <si>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</si>
  <si>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</si>
  <si>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</si>
  <si>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</si>
  <si>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</si>
  <si>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</si>
  <si>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</si>
  <si>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</si>
  <si>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</si>
  <si>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</si>
  <si>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</si>
  <si>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</si>
  <si>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</si>
  <si>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</si>
  <si>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</si>
  <si>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</si>
  <si>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</si>
  <si>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</si>
  <si>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</si>
  <si>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</si>
  <si>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</si>
  <si>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</si>
  <si>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</si>
  <si>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</si>
  <si>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</si>
  <si>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</si>
  <si>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</si>
  <si>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</si>
  <si>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</si>
  <si>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</si>
  <si>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</si>
  <si>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</si>
  <si>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</si>
  <si>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</si>
  <si>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</si>
  <si>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</si>
  <si>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</si>
  <si>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</si>
  <si>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</si>
  <si>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</si>
  <si>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</si>
  <si>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</si>
  <si>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</si>
  <si>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</si>
  <si>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</si>
  <si>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</si>
  <si>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</si>
  <si>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</si>
  <si>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</si>
  <si>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</si>
  <si>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</si>
  <si>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</si>
  <si>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</si>
  <si>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</si>
  <si>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</si>
  <si>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</si>
  <si>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</si>
  <si>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</si>
  <si>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</si>
  <si>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</si>
  <si>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</si>
  <si>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</si>
  <si>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</si>
  <si>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</si>
  <si>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</si>
  <si>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</si>
  <si>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</si>
  <si>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</si>
  <si>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</si>
  <si>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</si>
  <si>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</si>
  <si>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</si>
  <si>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</si>
  <si>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</si>
  <si>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</si>
  <si>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</si>
  <si>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</si>
  <si>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</si>
  <si>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</si>
  <si>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</si>
  <si>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</si>
  <si>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</si>
  <si>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</si>
  <si>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</si>
  <si>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</si>
  <si>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</si>
  <si>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</si>
  <si>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</si>
  <si>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</si>
  <si>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</si>
  <si>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</si>
  <si>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</si>
  <si>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</si>
  <si>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</si>
  <si>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Durchschnittlicher Verlust-Score</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</si>
  <si>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</si>
  <si>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</si>
  <si>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</si>
  <si>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</si>
  <si>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</si>
  <si>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</si>
  <si>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</si>
  <si>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</si>
  <si>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</si>
  <si>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</si>
  <si>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</si>
  <si>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</si>
  <si>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</si>
  <si>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</si>
  <si>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</si>
  <si>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Year</t>
  </si>
  <si>
    <t>Month</t>
  </si>
  <si>
    <t>EmployeeKey</t>
  </si>
  <si>
    <t>Field</t>
  </si>
  <si>
    <t>Value</t>
  </si>
  <si>
    <t>Februar</t>
  </si>
  <si>
    <t>AKTUELLES JAHR</t>
  </si>
  <si>
    <t>F</t>
  </si>
  <si>
    <t>Jahr</t>
  </si>
  <si>
    <t>Stand</t>
  </si>
  <si>
    <t>Auf einen Blick</t>
  </si>
  <si>
    <t>Jahresfluktuation</t>
  </si>
  <si>
    <t>Kritische Austritte</t>
  </si>
  <si>
    <t>Daten offen</t>
  </si>
  <si>
    <t>Empfehlungen</t>
  </si>
  <si>
    <t>Anzahl</t>
  </si>
  <si>
    <t>Diagramme</t>
  </si>
  <si>
    <t>Zeitraum</t>
  </si>
  <si>
    <t>Mai-Jun-Jul</t>
  </si>
  <si>
    <t>Aug-Sep-Okt</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</si>
  <si>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</si>
  <si>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</si>
  <si>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</si>
  <si>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</si>
  <si>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</si>
  <si>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</si>
  <si>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</si>
  <si>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</si>
  <si>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</si>
  <si>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</si>
  <si>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</si>
  <si>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</si>
  <si>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</si>
  <si>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</si>
  <si>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</si>
  <si>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</si>
  <si>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</si>
  <si>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</si>
  <si>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</si>
  <si>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</si>
  <si>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800000|PITYUKA</t>
  </si>
  <si>
    <t>Fluktuation - Übersicht für die Restaurantleitung</t>
  </si>
  <si>
    <t>Sofort prüfen</t>
  </si>
  <si>
    <t>Monatsübersicht im Detail</t>
  </si>
  <si>
    <t>Austrittsgründe</t>
  </si>
  <si>
    <t>Kurz erklärt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</si>
  <si>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</si>
  <si>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</si>
  <si>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</si>
  <si>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</si>
  <si>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</si>
  <si>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</si>
  <si>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</si>
  <si>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 Adam Nagy · McOpCo · Personalsheet 2026</t>
  </si>
  <si>
    <t>1.</t>
  </si>
  <si>
    <t>PID_EIGEN</t>
  </si>
  <si>
    <t>Personalsheet â€” Admin</t>
  </si>
  <si>
    <t>Alt+F8 â†’ PID_ToggleAdminSheet  |  Nur Entwickler / Release</t>
  </si>
  <si>
    <t>Jahr:</t>
  </si>
  <si>
    <t>Excel:</t>
  </si>
  <si>
    <t>Bewertung Jahresfluktuation</t>
  </si>
  <si>
    <t>Sehr gut / stabil</t>
  </si>
  <si>
    <t>Ø Verlust-Score</t>
  </si>
  <si>
    <t>Verlust-Score (nur Info)</t>
  </si>
  <si>
    <t>Bewertet die Auswirkungen der bisherigen Austritte auf Wissen, Erfahrung und Führungskompetenz (aus Austrittsgrund und Dauer der Betriebszugehörigkeit). Je höher der Wert, desto größer der potenzielle Verlust für das Restaurant. Der Verlust-Score beeinflusst NICHT die Fluktuationsbewertung.</t>
  </si>
  <si>
    <t>Bewertung &amp; Ziel</t>
  </si>
  <si>
    <t>Ziel</t>
  </si>
  <si>
    <t>unter 20 % Jahresfluktuation (Sehr gut / stabil).</t>
  </si>
  <si>
    <t>Bewertungsstufen</t>
  </si>
  <si>
    <t>Die folgenden Stufen gelten primär für Jahr-/YTD-Werte.</t>
  </si>
  <si>
    <t>0,00 % - 19,99 %</t>
  </si>
  <si>
    <t>20,00 % - 34,99 %</t>
  </si>
  <si>
    <t>Gut / normal</t>
  </si>
  <si>
    <t>35,00 % - 49,99 %</t>
  </si>
  <si>
    <t>Erhöht / beobachten</t>
  </si>
  <si>
    <t>50,00 % - 69,99 %</t>
  </si>
  <si>
    <t>Hoch / analysieren</t>
  </si>
  <si>
    <t>70,00 % - 99,99 %</t>
  </si>
  <si>
    <t>Sehr hoch / kritisch</t>
  </si>
  <si>
    <t>ab 100,00 %</t>
  </si>
  <si>
    <t>Extrem hoch / akuter Handlungsbedarf</t>
  </si>
  <si>
    <t>Hinweis Monatswerte</t>
  </si>
  <si>
    <t>Ein einzelner Austritt ergibt monatlich oft nur ca. 1-2 % (Austritte im Monat / durchschnittlicher Personalbestand). Das ist mathematisch korrekt. Die Führungsbewertung erfolgt hauptsächlich über die Jahresfluktuation (YTD).</t>
  </si>
  <si>
    <t>Fluktuation:</t>
  </si>
  <si>
    <t>400002|JA</t>
  </si>
  <si>
    <t>401010|KNEISSL ERNA</t>
  </si>
  <si>
    <t>19.06.2026</t>
  </si>
  <si>
    <t>401049|SUN SOVANMEALY</t>
  </si>
  <si>
    <t>Sehr gut</t>
  </si>
  <si>
    <t>401276|SAHBAZ REFIKAS</t>
  </si>
  <si>
    <t>401307|MINEVA KREMENA</t>
  </si>
  <si>
    <t>Im Jahr 2026 sind bisher keine Austritte erfasst. Jahresfluktuation (YTD): 0,00% - Bewertung: Sehr gut / stabil. Ziel: unter 20 % Jahresfluktuation (Sehr gut / stabil). Handlungsbedarf: kein akuter Handlungsbedarf.</t>
  </si>
  <si>
    <t>Keine offenen Datenprobleme oder kritischen Einzelfälle. Die erfassten Austritte sind vollständig und aktuell bewertbar.</t>
  </si>
  <si>
    <t>Keine Maßnahmen nötig: Keine Austritte erfasst. Monatsblätter weiter aktuell pflegen.</t>
  </si>
  <si>
    <t>Keine Austritte erfasst.</t>
  </si>
  <si>
    <t>asd asd</t>
  </si>
  <si>
    <t>221340|ASD ASD</t>
  </si>
  <si>
    <t>E</t>
  </si>
  <si>
    <t>Test Case</t>
  </si>
  <si>
    <t>Details</t>
  </si>
  <si>
    <t>Checked At</t>
  </si>
  <si>
    <t>Manual Steps</t>
  </si>
  <si>
    <t>TEST 1 - Future Hour Change</t>
  </si>
  <si>
    <t>REVIEW</t>
  </si>
  <si>
    <t>Basisstruktur vorhanden. Verhaltenspruefung (Mai/Juni unveraendert, Juli+ angepasst) manuell ausfuehren.</t>
  </si>
  <si>
    <t>1) Im Blatt Juli Feld E oder F aendern. 2) CopyData ab Juli starten. 3) Pruefen: Mai/Juni unveraendert, ab Juli aktualisiert.</t>
  </si>
  <si>
    <t>TEST 2 - Exit Employee</t>
  </si>
  <si>
    <t>Austrittsfelder vorhanden. Sichtbarkeit im Austrittsmonat und Entfernung ab Folgemonat manuell pruefen.</t>
  </si>
  <si>
    <t>1) Im Blatt August ein Austrittsdatum in Spalte I setzen. 2) CopyData ab August starten. 3) Pruefen: In August sichtbar, ab September entfernt.</t>
  </si>
  <si>
    <t>TEST 3 - Future Employee Survival</t>
  </si>
  <si>
    <t>Monatskette vorhanden. Ueberleben kuenftiger MA nach Rueckwaertskopie manuell pruefen.</t>
  </si>
  <si>
    <t>1) Im Blatt Oktober neuen Mitarbeiter in B/C erfassen. 2) Rueckwaertskopie von frueherem Monat starten. 3) Pruefen: Oktober-Eintrag bleibt erhalten.</t>
  </si>
  <si>
    <t>TEST 4 - Override Survival</t>
  </si>
  <si>
    <t>Override-Bereiche vorhanden. Ueberlebenspruefung fuer D/E und Stabilitaet frueherer Monate manuell pruefen.</t>
  </si>
  <si>
    <t>1) In einem spaeteren Monat D/E-Werte manuell anpassen. 2) Propagation starten. 3) Pruefen: Overrides bleiben erhalten, fruehere Monate bleiben unveraendert.</t>
  </si>
  <si>
    <t>TEST 5 - O18:Q25 Propagation</t>
  </si>
  <si>
    <t>Bereich O18:Q25 in allen Monatsblaettern vorhanden. Propagationsverhalten manuell pruefen.</t>
  </si>
  <si>
    <t>1) Im Quellmonat O18:Q25 aendern. 2) CopyData starten. 3) In Zielmonaten pruefen: O18:Q25 wurde korrekt uebernommen.</t>
  </si>
  <si>
    <t>TEST 6 - Column L</t>
  </si>
  <si>
    <t>Info-Spalte L vorhanden. Sicherstellen, dass L nicht propagiert wird (manuelle Pruefung).</t>
  </si>
  <si>
    <t>1) In einem Zielmonat einen individuellen Wert in Spalte L setzen. 2) Propagation von anderem Monat starten. 3) Pruefen: Spalte L wird nicht ueberschrieben.</t>
  </si>
  <si>
    <t>TEST 7 - Excel 2016 Compatibility</t>
  </si>
  <si>
    <t>PASS</t>
  </si>
  <si>
    <t>Excel-Version &gt;= 16 und keine blockierten Funktionen gefunden.</t>
  </si>
  <si>
    <t>-</t>
  </si>
  <si>
    <t>TEST 8 - Windows Platform</t>
  </si>
  <si>
    <t>Windows Excel erkannt (Windows (64-bit) NT 10.00).</t>
  </si>
  <si>
    <t>TEST 9 - Workbook Year (EINSTELLUNG C35)</t>
  </si>
  <si>
    <t>Arbeitsjahr 2026 in EINSTELLUNG!C35 konsistent.</t>
  </si>
  <si>
    <t>TEST 10 - Month Sheet A1 Index</t>
  </si>
  <si>
    <t>Alle 12 Monatsblaetter: A1 = 1..12 passend zum Blattnamen.</t>
  </si>
  <si>
    <t>TEST 11 - UEBERSICHT FINANZIELL Block</t>
  </si>
  <si>
    <t>FINANZIELL-Block erkannt (Header SALES in C4).</t>
  </si>
  <si>
    <t>TEST 12 - Durchrechnung Inputs E30/I30</t>
  </si>
  <si>
    <t>Durchrechnungsblock vorhanden; E30 und I30 sind entsperrt (editierbar).</t>
  </si>
  <si>
    <t>TEST 13 - LOHNTABELLE KV Data</t>
  </si>
  <si>
    <t>LOHNTABELLE enthaelt KV-Daten (Spalte D bis Zeile 162).</t>
  </si>
  <si>
    <t>TEST 14 - KV_CODE_LIST Named Range</t>
  </si>
  <si>
    <t>Named Range 'PID_KV_CODE_LIST' vorhanden (AJY1:AJY12).</t>
  </si>
  <si>
    <t>TEST 15 - Monatslohn Formula</t>
  </si>
  <si>
    <t>Monatslohn auf allen 12 Monatsblaettern in Ordnung (Formel oder VBA-Wert in G).</t>
  </si>
  <si>
    <t>TEST 16 - VBA Project Access</t>
  </si>
  <si>
    <t>VBProject zugaenglich (Trust access to VBA project object model aktiv).</t>
  </si>
  <si>
    <t>TEST 17 - Month Sheet Lock Policy</t>
  </si>
  <si>
    <t>Januar: G3 gesperrt, E3/B3/I3 entsperrt. Lock-Policy aktiv.</t>
  </si>
  <si>
    <t>TEST 18 - Q12 Vormonat Lock Rules</t>
  </si>
  <si>
    <t>Februar Q12 gesperrt (Formel), Januar Q12 entsperrt (Eingabe). Korrekt.</t>
  </si>
  <si>
    <t>asd asd asd</t>
  </si>
  <si>
    <t>21867|ASD ASD ASD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</si>
</sst>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 numFmtId="171" formatCode="dd\.mm\.yyyy\ hh:mm:ss"/>
  </numFmts>
  <fonts count="70" x14ac:knownFonts="1">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b/>
      <sz val="11"/>
      <color rgb="FF1F4E79"/>
      <name val="Calibri"/>
      <family val="2"/>
      <scheme val="minor"/>
    </font>
    <font>
      <b/>
      <sz val="11"/>
      <color rgb="FF006100"/>
      <name val="Calibri"/>
      <family val="2"/>
      <scheme val="minor"/>
    </font>
    <font>
      <sz val="8"/>
      <color rgb="FF6E8094"/>
      <name val="Calibri"/>
      <family val="2"/>
      <scheme val="minor"/>
    </font>
    <font>
      <sz val="11"/>
      <color rgb="FF000000"/>
      <name val="Speedee"/>
      <family val="2"/>
    </font>
    <font>
      <sz val="12"/>
      <color rgb="FF000000"/>
      <name val="Speedee"/>
      <family val="2"/>
    </font>
    <font>
      <i/>
      <sz val="11"/>
      <color rgb="FF000000"/>
      <name val="Speedee"/>
      <family val="2"/>
    </font>
    <font>
      <i/>
      <sz val="12"/>
      <color rgb="FF000000"/>
      <name val="Speedee"/>
      <family val="2"/>
    </font>
    <font>
      <sz val="11"/>
      <color rgb="FF1F4E79"/>
      <name val="Speedee"/>
      <family val="2"/>
    </font>
    <font>
      <sz val="11"/>
      <color rgb="FF006100"/>
      <name val="Calibri"/>
      <family val="2"/>
      <scheme val="minor"/>
    </font>
    <font>
      <sz val="11"/>
      <color rgb="FF9C6500"/>
      <name val="Calibri"/>
      <family val="2"/>
      <scheme val="minor"/>
    </font>
  </fonts>
  <fills count="12">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C6EFCE"/>
        <bgColor indexed="64"/>
      </patternFill>
    </fill>
    <fill>
      <patternFill patternType="solid">
        <fgColor rgb="FFFFEB9C"/>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style="thin">
        <color indexed="64"/>
      </left>
      <right/>
      <top/>
      <bottom/>
      <diagonal/>
    </border>
    <border>
      <left/>
      <right style="thin">
        <color indexed="64"/>
      </right>
      <top/>
      <bottom/>
      <diagonal/>
    </border>
    <border>
      <left style="thin">
        <color rgb="FFB4B4B4"/>
      </left>
      <right style="medium">
        <color rgb="FF1F4E79"/>
      </right>
      <top/>
      <bottom style="thin">
        <color rgb="FFB4B4B4"/>
      </bottom>
      <diagonal/>
    </border>
    <border>
      <left/>
      <right style="thin">
        <color rgb="FF1F4E79"/>
      </right>
      <top style="thin">
        <color rgb="FF1F4E79"/>
      </top>
      <bottom style="thin">
        <color rgb="FF1F4E79"/>
      </bottom>
      <diagonal/>
    </border>
    <border>
      <left style="thin">
        <color rgb="FFB4B4B4"/>
      </left>
      <right/>
      <top style="thin">
        <color rgb="FFB4B4B4"/>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74">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33" fillId="7" borderId="21" xfId="0" applyFont="1" applyFill="1" applyBorder="1" applyAlignment="1">
      <alignment horizontal="left" vertical="center"/>
    </xf>
    <xf numFmtId="0" fontId="33" fillId="7" borderId="24" xfId="0" applyFont="1" applyFill="1" applyBorder="1" applyAlignment="1">
      <alignment horizontal="left" vertical="center"/>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46" fillId="0" borderId="0" xfId="0" applyFont="1" applyAlignment="1">
      <alignment horizontal="right" vertical="center"/>
    </xf>
    <xf numFmtId="2" fontId="47" fillId="4" borderId="51" xfId="0" applyNumberFormat="1" applyFont="1" applyFill="1" applyBorder="1" applyAlignment="1" applyProtection="1">
      <alignment horizontal="center" vertical="center" wrapText="1"/>
      <protection locked="0"/>
    </xf>
    <xf numFmtId="166" fontId="47" fillId="4" borderId="51" xfId="0" applyNumberFormat="1" applyFont="1" applyFill="1" applyBorder="1" applyAlignment="1" applyProtection="1">
      <alignment horizontal="center" vertical="center" wrapText="1"/>
      <protection locked="0"/>
    </xf>
    <xf numFmtId="2" fontId="47" fillId="4" borderId="47" xfId="0" applyNumberFormat="1" applyFont="1" applyFill="1" applyBorder="1" applyAlignment="1" applyProtection="1">
      <alignment horizontal="center" vertical="center" wrapText="1"/>
      <protection locked="0"/>
    </xf>
    <xf numFmtId="166" fontId="47" fillId="4" borderId="47" xfId="0" applyNumberFormat="1" applyFont="1" applyFill="1" applyBorder="1" applyAlignment="1" applyProtection="1">
      <alignment horizontal="center" vertical="center" wrapText="1"/>
      <protection locked="0"/>
    </xf>
    <xf numFmtId="2" fontId="47" fillId="2" borderId="51" xfId="0" applyNumberFormat="1" applyFont="1" applyFill="1" applyBorder="1" applyAlignment="1" applyProtection="1">
      <alignment horizontal="center" vertical="center" wrapText="1"/>
      <protection locked="0"/>
    </xf>
    <xf numFmtId="166" fontId="47" fillId="2" borderId="51" xfId="0" applyNumberFormat="1" applyFont="1" applyFill="1" applyBorder="1" applyAlignment="1" applyProtection="1">
      <alignment horizontal="center" vertical="center" wrapText="1"/>
      <protection locked="0"/>
    </xf>
    <xf numFmtId="2" fontId="47" fillId="2" borderId="47" xfId="0" applyNumberFormat="1" applyFont="1" applyFill="1" applyBorder="1" applyAlignment="1" applyProtection="1">
      <alignment horizontal="center" vertical="center" wrapText="1"/>
      <protection locked="0"/>
    </xf>
    <xf numFmtId="166" fontId="47" fillId="2" borderId="47" xfId="0" applyNumberFormat="1" applyFont="1" applyFill="1" applyBorder="1" applyAlignment="1" applyProtection="1">
      <alignment horizontal="center" vertical="center" wrapText="1"/>
      <protection locked="0"/>
    </xf>
    <xf numFmtId="2" fontId="47" fillId="7" borderId="51" xfId="0" applyNumberFormat="1" applyFont="1" applyFill="1" applyBorder="1" applyAlignment="1" applyProtection="1">
      <alignment horizontal="center" vertical="center" wrapText="1"/>
      <protection locked="0"/>
    </xf>
    <xf numFmtId="166" fontId="47" fillId="7" borderId="51" xfId="0" applyNumberFormat="1" applyFont="1" applyFill="1" applyBorder="1" applyAlignment="1" applyProtection="1">
      <alignment horizontal="center" vertical="center" wrapText="1"/>
      <protection locked="0"/>
    </xf>
    <xf numFmtId="2" fontId="47" fillId="7" borderId="47" xfId="0" applyNumberFormat="1" applyFont="1" applyFill="1" applyBorder="1" applyAlignment="1" applyProtection="1">
      <alignment horizontal="center" vertical="center" wrapText="1"/>
      <protection locked="0"/>
    </xf>
    <xf numFmtId="166" fontId="47" fillId="7" borderId="47" xfId="0" applyNumberFormat="1" applyFont="1" applyFill="1" applyBorder="1" applyAlignment="1" applyProtection="1">
      <alignment horizontal="center" vertical="center" wrapText="1"/>
      <protection locked="0"/>
    </xf>
    <xf numFmtId="2" fontId="47" fillId="7" borderId="25" xfId="0" applyNumberFormat="1" applyFont="1" applyFill="1" applyBorder="1" applyAlignment="1" applyProtection="1">
      <alignment horizontal="center" vertical="center" wrapText="1"/>
      <protection locked="0"/>
    </xf>
    <xf numFmtId="166" fontId="47"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57" fillId="0" borderId="0" xfId="0" applyFont="1"/>
    <xf numFmtId="0" fontId="45" fillId="0" borderId="0" xfId="0" applyFont="1" applyAlignment="1">
      <alignment horizontal="right" vertical="center"/>
    </xf>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26" fillId="7" borderId="46" xfId="0" applyFont="1" applyFill="1" applyBorder="1" applyAlignment="1">
      <alignment horizontal="center" vertical="center"/>
    </xf>
    <xf numFmtId="2" fontId="26" fillId="7" borderId="47" xfId="0" applyNumberFormat="1" applyFont="1" applyFill="1" applyBorder="1" applyAlignment="1">
      <alignment horizontal="center" vertical="center"/>
    </xf>
    <xf numFmtId="0" fontId="26" fillId="7" borderId="47" xfId="0" applyFont="1" applyFill="1" applyBorder="1" applyAlignment="1">
      <alignment horizontal="center" vertical="center"/>
    </xf>
    <xf numFmtId="0" fontId="26" fillId="7" borderId="48" xfId="0" applyFont="1" applyFill="1" applyBorder="1" applyAlignment="1">
      <alignment horizontal="center" vertical="center"/>
    </xf>
    <xf numFmtId="0" fontId="33" fillId="7" borderId="44" xfId="0" applyFont="1" applyFill="1" applyBorder="1" applyAlignment="1">
      <alignment horizontal="left" vertical="center"/>
    </xf>
    <xf numFmtId="49" fontId="39" fillId="8" borderId="63" xfId="0" applyNumberFormat="1" applyFont="1" applyFill="1" applyBorder="1" applyAlignment="1" applyProtection="1">
      <alignment horizontal="left" vertical="top" wrapText="1"/>
      <protection locked="0"/>
    </xf>
    <xf numFmtId="49" fontId="40" fillId="8" borderId="20" xfId="0" applyNumberFormat="1" applyFont="1" applyFill="1" applyBorder="1" applyAlignment="1" applyProtection="1">
      <alignment horizontal="left"/>
      <protection locked="0"/>
    </xf>
    <xf numFmtId="49" fontId="40" fillId="2" borderId="20" xfId="0" applyNumberFormat="1" applyFont="1" applyFill="1" applyBorder="1" applyAlignment="1" applyProtection="1">
      <alignment horizontal="left"/>
      <protection locked="0"/>
    </xf>
    <xf numFmtId="49" fontId="39" fillId="2" borderId="65" xfId="0" applyNumberFormat="1" applyFont="1" applyFill="1" applyBorder="1" applyAlignment="1" applyProtection="1">
      <alignment horizontal="left" vertical="top" wrapText="1"/>
      <protection locked="0"/>
    </xf>
    <xf numFmtId="169" fontId="47" fillId="4" borderId="51" xfId="0" applyNumberFormat="1" applyFont="1" applyFill="1" applyBorder="1" applyAlignment="1">
      <alignment horizontal="center" vertical="center" wrapText="1"/>
    </xf>
    <xf numFmtId="0" fontId="47" fillId="4" borderId="51" xfId="0" applyFont="1" applyFill="1" applyBorder="1" applyAlignment="1">
      <alignment horizontal="center" vertical="center" wrapText="1"/>
    </xf>
    <xf numFmtId="0" fontId="47" fillId="4" borderId="51" xfId="0" applyFont="1" applyFill="1" applyBorder="1" applyAlignment="1">
      <alignment horizontal="center" vertical="center"/>
    </xf>
    <xf numFmtId="169" fontId="47" fillId="4" borderId="47" xfId="0" applyNumberFormat="1" applyFont="1" applyFill="1" applyBorder="1" applyAlignment="1">
      <alignment horizontal="center" vertical="center" wrapText="1"/>
    </xf>
    <xf numFmtId="0" fontId="47" fillId="4" borderId="47" xfId="0" applyFont="1" applyFill="1" applyBorder="1" applyAlignment="1">
      <alignment horizontal="center" vertical="center" wrapText="1"/>
    </xf>
    <xf numFmtId="0" fontId="47" fillId="4" borderId="47" xfId="0" applyFont="1" applyFill="1" applyBorder="1" applyAlignment="1">
      <alignment horizontal="center" vertical="center"/>
    </xf>
    <xf numFmtId="169" fontId="47" fillId="2" borderId="51" xfId="0" applyNumberFormat="1" applyFont="1" applyFill="1" applyBorder="1" applyAlignment="1">
      <alignment horizontal="center" vertical="center" wrapText="1"/>
    </xf>
    <xf numFmtId="0" fontId="47" fillId="2" borderId="51" xfId="0" applyFont="1" applyFill="1" applyBorder="1" applyAlignment="1">
      <alignment horizontal="center" vertical="center" wrapText="1"/>
    </xf>
    <xf numFmtId="0" fontId="47" fillId="2" borderId="51" xfId="0" applyFont="1" applyFill="1" applyBorder="1" applyAlignment="1">
      <alignment horizontal="center" vertical="center"/>
    </xf>
    <xf numFmtId="169" fontId="47" fillId="2" borderId="47" xfId="0" applyNumberFormat="1" applyFont="1" applyFill="1" applyBorder="1" applyAlignment="1">
      <alignment horizontal="center" vertical="center" wrapText="1"/>
    </xf>
    <xf numFmtId="0" fontId="47" fillId="2" borderId="47" xfId="0" applyFont="1" applyFill="1" applyBorder="1" applyAlignment="1">
      <alignment horizontal="center" vertical="center" wrapText="1"/>
    </xf>
    <xf numFmtId="0" fontId="47" fillId="2" borderId="47" xfId="0" applyFont="1" applyFill="1" applyBorder="1" applyAlignment="1">
      <alignment horizontal="center" vertical="center"/>
    </xf>
    <xf numFmtId="169" fontId="47" fillId="7" borderId="51" xfId="0" applyNumberFormat="1" applyFont="1" applyFill="1" applyBorder="1" applyAlignment="1">
      <alignment horizontal="center" vertical="center" wrapText="1"/>
    </xf>
    <xf numFmtId="0" fontId="47" fillId="7" borderId="51" xfId="0" applyFont="1" applyFill="1" applyBorder="1" applyAlignment="1">
      <alignment horizontal="center" vertical="center" wrapText="1"/>
    </xf>
    <xf numFmtId="0" fontId="47" fillId="7" borderId="51" xfId="0" applyFont="1" applyFill="1" applyBorder="1" applyAlignment="1">
      <alignment horizontal="center" vertical="center"/>
    </xf>
    <xf numFmtId="169" fontId="47" fillId="7" borderId="47" xfId="0" applyNumberFormat="1" applyFont="1" applyFill="1" applyBorder="1" applyAlignment="1">
      <alignment horizontal="center" vertical="center" wrapText="1"/>
    </xf>
    <xf numFmtId="0" fontId="47" fillId="7" borderId="47" xfId="0" applyFont="1" applyFill="1" applyBorder="1" applyAlignment="1">
      <alignment horizontal="center" vertical="center" wrapText="1"/>
    </xf>
    <xf numFmtId="0" fontId="47" fillId="7" borderId="47" xfId="0" applyFont="1" applyFill="1" applyBorder="1" applyAlignment="1">
      <alignment horizontal="center" vertical="center"/>
    </xf>
    <xf numFmtId="49" fontId="47" fillId="4" borderId="52" xfId="0" applyNumberFormat="1" applyFont="1" applyFill="1" applyBorder="1" applyAlignment="1">
      <alignment horizontal="center" vertical="center" wrapText="1"/>
    </xf>
    <xf numFmtId="49" fontId="47" fillId="4" borderId="46" xfId="0" applyNumberFormat="1" applyFont="1" applyFill="1" applyBorder="1" applyAlignment="1">
      <alignment horizontal="center" vertical="center" wrapText="1"/>
    </xf>
    <xf numFmtId="49" fontId="47" fillId="2" borderId="52" xfId="0" applyNumberFormat="1" applyFont="1" applyFill="1" applyBorder="1" applyAlignment="1">
      <alignment horizontal="center" vertical="center" wrapText="1"/>
    </xf>
    <xf numFmtId="49" fontId="47" fillId="2" borderId="46" xfId="0" applyNumberFormat="1" applyFont="1" applyFill="1" applyBorder="1" applyAlignment="1">
      <alignment horizontal="center" vertical="center" wrapText="1"/>
    </xf>
    <xf numFmtId="49" fontId="47" fillId="7" borderId="52" xfId="0" applyNumberFormat="1" applyFont="1" applyFill="1" applyBorder="1" applyAlignment="1">
      <alignment horizontal="center" vertical="center" wrapText="1"/>
    </xf>
    <xf numFmtId="49" fontId="47" fillId="7" borderId="46" xfId="0" applyNumberFormat="1" applyFont="1" applyFill="1" applyBorder="1" applyAlignment="1">
      <alignment horizontal="center" vertical="center" wrapText="1"/>
    </xf>
    <xf numFmtId="0" fontId="47" fillId="4" borderId="53" xfId="0" applyFont="1" applyFill="1" applyBorder="1" applyAlignment="1">
      <alignment horizontal="center" vertical="center"/>
    </xf>
    <xf numFmtId="0" fontId="47" fillId="4" borderId="48" xfId="0" applyFont="1" applyFill="1" applyBorder="1" applyAlignment="1">
      <alignment horizontal="center" vertical="center"/>
    </xf>
    <xf numFmtId="0" fontId="47" fillId="2" borderId="53" xfId="0" applyFont="1" applyFill="1" applyBorder="1" applyAlignment="1">
      <alignment horizontal="center" vertical="center"/>
    </xf>
    <xf numFmtId="0" fontId="47" fillId="2" borderId="48" xfId="0" applyFont="1" applyFill="1" applyBorder="1" applyAlignment="1">
      <alignment horizontal="center" vertical="center"/>
    </xf>
    <xf numFmtId="0" fontId="47" fillId="7" borderId="53" xfId="0" applyFont="1" applyFill="1" applyBorder="1" applyAlignment="1">
      <alignment horizontal="center" vertical="center"/>
    </xf>
    <xf numFmtId="0" fontId="47" fillId="7" borderId="48" xfId="0" applyFont="1" applyFill="1" applyBorder="1" applyAlignment="1">
      <alignment horizontal="center" vertical="center"/>
    </xf>
    <xf numFmtId="49" fontId="47" fillId="7" borderId="24" xfId="0" applyNumberFormat="1" applyFont="1" applyFill="1" applyBorder="1" applyAlignment="1">
      <alignment horizontal="center" vertical="center" wrapText="1"/>
    </xf>
    <xf numFmtId="169" fontId="47" fillId="7" borderId="25" xfId="0" applyNumberFormat="1" applyFont="1" applyFill="1" applyBorder="1" applyAlignment="1">
      <alignment horizontal="center" vertical="center" wrapText="1"/>
    </xf>
    <xf numFmtId="0" fontId="47" fillId="7" borderId="25" xfId="0" applyFont="1" applyFill="1" applyBorder="1" applyAlignment="1">
      <alignment horizontal="center" vertical="center" wrapText="1"/>
    </xf>
    <xf numFmtId="0" fontId="47" fillId="7" borderId="25" xfId="0" applyFont="1" applyFill="1" applyBorder="1" applyAlignment="1">
      <alignment horizontal="center" vertical="center"/>
    </xf>
    <xf numFmtId="0" fontId="47" fillId="7" borderId="26" xfId="0" applyFont="1" applyFill="1" applyBorder="1" applyAlignment="1">
      <alignment horizontal="center" vertical="center"/>
    </xf>
    <xf numFmtId="0" fontId="17" fillId="0" borderId="0" xfId="0" applyFont="1" applyAlignment="1">
      <alignment vertical="center"/>
    </xf>
    <xf numFmtId="10" fontId="17" fillId="0" borderId="47" xfId="0" applyNumberFormat="1" applyFont="1" applyBorder="1" applyAlignment="1">
      <alignment horizontal="center" vertical="center"/>
    </xf>
    <xf numFmtId="0" fontId="62" fillId="0" borderId="0" xfId="0" applyFont="1" applyAlignment="1">
      <alignment horizontal="left" vertical="center"/>
    </xf>
    <xf numFmtId="0" fontId="63" fillId="8" borderId="23" xfId="0" applyFont="1" applyFill="1" applyBorder="1" applyAlignment="1" applyProtection="1">
      <alignment horizontal="left"/>
      <protection locked="0"/>
    </xf>
    <xf numFmtId="0" fontId="64" fillId="2" borderId="19" xfId="0" applyFont="1" applyFill="1" applyBorder="1" applyAlignment="1" applyProtection="1">
      <alignment horizontal="left"/>
      <protection locked="0"/>
    </xf>
    <xf numFmtId="0" fontId="63" fillId="2" borderId="19" xfId="0" applyFont="1" applyFill="1" applyBorder="1" applyAlignment="1" applyProtection="1">
      <alignment horizontal="left"/>
      <protection locked="0"/>
    </xf>
    <xf numFmtId="14" fontId="63" fillId="2" borderId="19" xfId="0" applyNumberFormat="1" applyFont="1" applyFill="1" applyBorder="1" applyAlignment="1" applyProtection="1">
      <alignment horizontal="center"/>
      <protection locked="0"/>
    </xf>
    <xf numFmtId="0" fontId="63" fillId="2" borderId="19" xfId="0" applyFont="1" applyFill="1" applyBorder="1" applyAlignment="1" applyProtection="1">
      <alignment horizontal="center"/>
      <protection locked="0"/>
    </xf>
    <xf numFmtId="2" fontId="63" fillId="2" borderId="19" xfId="0" applyNumberFormat="1" applyFont="1" applyFill="1" applyBorder="1" applyAlignment="1" applyProtection="1">
      <alignment horizontal="center"/>
      <protection locked="0"/>
    </xf>
    <xf numFmtId="2" fontId="64" fillId="2" borderId="19" xfId="0" applyNumberFormat="1" applyFont="1" applyFill="1" applyBorder="1" applyAlignment="1" applyProtection="1">
      <alignment horizontal="center"/>
      <protection locked="0"/>
    </xf>
    <xf numFmtId="168" fontId="63" fillId="2" borderId="19" xfId="0" applyNumberFormat="1" applyFont="1" applyFill="1" applyBorder="1" applyAlignment="1" applyProtection="1">
      <alignment horizontal="center"/>
      <protection locked="0"/>
    </xf>
    <xf numFmtId="11" fontId="63" fillId="2" borderId="19" xfId="0" applyNumberFormat="1" applyFont="1" applyFill="1" applyBorder="1" applyAlignment="1" applyProtection="1">
      <alignment horizontal="left"/>
      <protection locked="0"/>
    </xf>
    <xf numFmtId="0" fontId="64" fillId="2" borderId="25" xfId="0" applyFont="1" applyFill="1" applyBorder="1" applyAlignment="1" applyProtection="1">
      <alignment horizontal="left"/>
      <protection locked="0"/>
    </xf>
    <xf numFmtId="0" fontId="63" fillId="2" borderId="25" xfId="0" applyFont="1" applyFill="1" applyBorder="1" applyAlignment="1" applyProtection="1">
      <alignment horizontal="left"/>
      <protection locked="0"/>
    </xf>
    <xf numFmtId="168" fontId="63" fillId="2" borderId="25" xfId="0" applyNumberFormat="1" applyFont="1" applyFill="1" applyBorder="1" applyAlignment="1" applyProtection="1">
      <alignment horizontal="center"/>
      <protection locked="0"/>
    </xf>
    <xf numFmtId="0" fontId="63" fillId="2" borderId="25" xfId="0" applyFont="1" applyFill="1" applyBorder="1" applyAlignment="1" applyProtection="1">
      <alignment horizontal="center"/>
      <protection locked="0"/>
    </xf>
    <xf numFmtId="2" fontId="63" fillId="2" borderId="25" xfId="0" applyNumberFormat="1" applyFont="1" applyFill="1" applyBorder="1" applyAlignment="1" applyProtection="1">
      <alignment horizontal="center"/>
      <protection locked="0"/>
    </xf>
    <xf numFmtId="166" fontId="63" fillId="2" borderId="19" xfId="0" applyNumberFormat="1" applyFont="1" applyFill="1" applyBorder="1" applyAlignment="1" applyProtection="1">
      <alignment horizontal="center"/>
      <protection locked="0"/>
    </xf>
    <xf numFmtId="166" fontId="63" fillId="2" borderId="25" xfId="0" applyNumberFormat="1" applyFont="1" applyFill="1" applyBorder="1" applyAlignment="1" applyProtection="1">
      <alignment horizontal="center"/>
      <protection locked="0"/>
    </xf>
    <xf numFmtId="49" fontId="65" fillId="2" borderId="19" xfId="0" applyNumberFormat="1" applyFont="1" applyFill="1" applyBorder="1" applyAlignment="1" applyProtection="1">
      <alignment horizontal="left"/>
      <protection locked="0"/>
    </xf>
    <xf numFmtId="49" fontId="66" fillId="2" borderId="31" xfId="0" applyNumberFormat="1" applyFont="1" applyFill="1" applyBorder="1" applyAlignment="1" applyProtection="1">
      <alignment horizontal="left" vertical="top" wrapText="1"/>
      <protection locked="0"/>
    </xf>
    <xf numFmtId="49" fontId="66" fillId="2" borderId="65" xfId="0" applyNumberFormat="1" applyFont="1" applyFill="1" applyBorder="1" applyAlignment="1" applyProtection="1">
      <alignment horizontal="left" vertical="top" wrapText="1"/>
      <protection locked="0"/>
    </xf>
    <xf numFmtId="49" fontId="65" fillId="2" borderId="20" xfId="0" applyNumberFormat="1" applyFont="1" applyFill="1" applyBorder="1" applyAlignment="1" applyProtection="1">
      <alignment horizontal="left"/>
      <protection locked="0"/>
    </xf>
    <xf numFmtId="49" fontId="65" fillId="2" borderId="25" xfId="0" applyNumberFormat="1" applyFont="1" applyFill="1" applyBorder="1" applyAlignment="1" applyProtection="1">
      <alignment horizontal="left"/>
      <protection locked="0"/>
    </xf>
    <xf numFmtId="49" fontId="66" fillId="2" borderId="26" xfId="0" applyNumberFormat="1" applyFont="1" applyFill="1" applyBorder="1" applyAlignment="1" applyProtection="1">
      <alignment horizontal="left" vertical="top" wrapText="1"/>
      <protection locked="0"/>
    </xf>
    <xf numFmtId="0" fontId="64" fillId="8" borderId="23" xfId="0" applyFont="1" applyFill="1" applyBorder="1" applyAlignment="1" applyProtection="1">
      <alignment horizontal="left"/>
      <protection locked="0"/>
    </xf>
    <xf numFmtId="14" fontId="63" fillId="8" borderId="23" xfId="0" applyNumberFormat="1" applyFont="1" applyFill="1" applyBorder="1" applyAlignment="1" applyProtection="1">
      <alignment horizontal="center"/>
      <protection locked="0"/>
    </xf>
    <xf numFmtId="0" fontId="63" fillId="8" borderId="23" xfId="0" applyFont="1" applyFill="1" applyBorder="1" applyAlignment="1" applyProtection="1">
      <alignment horizontal="center"/>
      <protection locked="0"/>
    </xf>
    <xf numFmtId="2" fontId="63" fillId="8" borderId="23" xfId="0" applyNumberFormat="1" applyFont="1" applyFill="1" applyBorder="1" applyAlignment="1" applyProtection="1">
      <alignment horizontal="center"/>
      <protection locked="0"/>
    </xf>
    <xf numFmtId="168" fontId="63" fillId="8" borderId="23" xfId="0" applyNumberFormat="1" applyFont="1" applyFill="1" applyBorder="1" applyAlignment="1" applyProtection="1">
      <alignment horizontal="center"/>
      <protection locked="0"/>
    </xf>
    <xf numFmtId="166" fontId="63" fillId="8" borderId="23" xfId="0" applyNumberFormat="1" applyFont="1" applyFill="1" applyBorder="1" applyAlignment="1" applyProtection="1">
      <alignment horizontal="center"/>
      <protection locked="0"/>
    </xf>
    <xf numFmtId="49" fontId="65" fillId="8" borderId="23" xfId="0" applyNumberFormat="1" applyFont="1" applyFill="1" applyBorder="1" applyAlignment="1" applyProtection="1">
      <alignment horizontal="left"/>
      <protection locked="0"/>
    </xf>
    <xf numFmtId="49" fontId="66" fillId="8" borderId="33" xfId="0" applyNumberFormat="1" applyFont="1" applyFill="1" applyBorder="1" applyAlignment="1" applyProtection="1">
      <alignment horizontal="left" vertical="top" wrapText="1"/>
      <protection locked="0"/>
    </xf>
    <xf numFmtId="0" fontId="64" fillId="8" borderId="19" xfId="0" applyFont="1" applyFill="1" applyBorder="1" applyAlignment="1" applyProtection="1">
      <alignment horizontal="left"/>
      <protection locked="0"/>
    </xf>
    <xf numFmtId="0" fontId="63" fillId="8" borderId="19" xfId="0" applyFont="1" applyFill="1" applyBorder="1" applyAlignment="1" applyProtection="1">
      <alignment horizontal="left"/>
      <protection locked="0"/>
    </xf>
    <xf numFmtId="14" fontId="63" fillId="8" borderId="19" xfId="0" applyNumberFormat="1" applyFont="1" applyFill="1" applyBorder="1" applyAlignment="1" applyProtection="1">
      <alignment horizontal="center"/>
      <protection locked="0"/>
    </xf>
    <xf numFmtId="0" fontId="63" fillId="8" borderId="19" xfId="0" applyFont="1" applyFill="1" applyBorder="1" applyAlignment="1" applyProtection="1">
      <alignment horizontal="center"/>
      <protection locked="0"/>
    </xf>
    <xf numFmtId="2" fontId="64" fillId="8" borderId="19" xfId="0" applyNumberFormat="1" applyFont="1" applyFill="1" applyBorder="1" applyAlignment="1" applyProtection="1">
      <alignment horizontal="center"/>
      <protection locked="0"/>
    </xf>
    <xf numFmtId="168" fontId="63" fillId="8" borderId="19" xfId="0" applyNumberFormat="1" applyFont="1" applyFill="1" applyBorder="1" applyAlignment="1" applyProtection="1">
      <alignment horizontal="center"/>
      <protection locked="0"/>
    </xf>
    <xf numFmtId="166" fontId="63" fillId="8" borderId="19" xfId="0" applyNumberFormat="1" applyFont="1" applyFill="1" applyBorder="1" applyAlignment="1" applyProtection="1">
      <alignment horizontal="center"/>
      <protection locked="0"/>
    </xf>
    <xf numFmtId="49" fontId="65" fillId="8" borderId="19" xfId="0" applyNumberFormat="1" applyFont="1" applyFill="1" applyBorder="1" applyAlignment="1" applyProtection="1">
      <alignment horizontal="left"/>
      <protection locked="0"/>
    </xf>
    <xf numFmtId="49" fontId="66" fillId="8" borderId="31" xfId="0" applyNumberFormat="1" applyFont="1" applyFill="1" applyBorder="1" applyAlignment="1" applyProtection="1">
      <alignment horizontal="left" vertical="top" wrapText="1"/>
      <protection locked="0"/>
    </xf>
    <xf numFmtId="2" fontId="63" fillId="8" borderId="19" xfId="0" applyNumberFormat="1" applyFont="1" applyFill="1" applyBorder="1" applyAlignment="1" applyProtection="1">
      <alignment horizontal="center"/>
      <protection locked="0"/>
    </xf>
    <xf numFmtId="49" fontId="65" fillId="8" borderId="20" xfId="0" applyNumberFormat="1" applyFont="1" applyFill="1" applyBorder="1" applyAlignment="1" applyProtection="1">
      <alignment horizontal="left"/>
      <protection locked="0"/>
    </xf>
    <xf numFmtId="49" fontId="66" fillId="8" borderId="63" xfId="0" applyNumberFormat="1" applyFont="1" applyFill="1" applyBorder="1" applyAlignment="1" applyProtection="1">
      <alignment horizontal="left" vertical="top" wrapText="1"/>
      <protection locked="0"/>
    </xf>
    <xf numFmtId="11" fontId="63" fillId="8" borderId="19" xfId="0" applyNumberFormat="1" applyFont="1" applyFill="1" applyBorder="1" applyAlignment="1" applyProtection="1">
      <alignment horizontal="left"/>
      <protection locked="0"/>
    </xf>
    <xf numFmtId="0" fontId="46" fillId="0" borderId="0" xfId="0" applyFont="1" applyAlignment="1">
      <alignment horizontal="left" vertical="center"/>
    </xf>
    <xf numFmtId="0" fontId="35" fillId="7" borderId="57" xfId="0" applyFont="1" applyFill="1" applyBorder="1" applyAlignment="1" applyProtection="1">
      <alignment horizontal="left" vertical="center" indent="1"/>
      <protection locked="0"/>
    </xf>
    <xf numFmtId="0" fontId="35" fillId="7" borderId="19" xfId="0" applyFont="1" applyFill="1" applyBorder="1" applyAlignment="1" applyProtection="1">
      <alignment horizontal="left" vertical="center" indent="1"/>
      <protection locked="0"/>
    </xf>
    <xf numFmtId="166" fontId="20" fillId="2" borderId="20" xfId="0" applyNumberFormat="1" applyFont="1" applyFill="1" applyBorder="1" applyAlignment="1" applyProtection="1">
      <alignment horizontal="center" vertical="center"/>
      <protection locked="0"/>
    </xf>
    <xf numFmtId="166" fontId="20" fillId="2" borderId="31" xfId="0" applyNumberFormat="1" applyFont="1" applyFill="1" applyBorder="1" applyAlignment="1" applyProtection="1">
      <alignment horizontal="center" vertical="center"/>
      <protection locked="0"/>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55" fillId="0" borderId="0" xfId="0" applyFont="1"/>
    <xf numFmtId="0" fontId="58" fillId="0" borderId="0" xfId="0" applyFont="1"/>
    <xf numFmtId="0" fontId="56" fillId="0" borderId="0" xfId="0" applyFont="1"/>
    <xf numFmtId="0" fontId="59" fillId="0" borderId="0" xfId="0" applyFont="1"/>
    <xf numFmtId="0" fontId="37" fillId="5" borderId="0" xfId="0" applyFont="1" applyFill="1" applyAlignment="1">
      <alignment horizontal="center" vertical="center" wrapText="1"/>
    </xf>
    <xf numFmtId="49" fontId="44" fillId="4" borderId="52" xfId="0" applyNumberFormat="1" applyFont="1" applyFill="1" applyBorder="1" applyAlignment="1">
      <alignment horizontal="center" vertical="center" wrapText="1"/>
    </xf>
    <xf numFmtId="169" fontId="44" fillId="4" borderId="51" xfId="0" applyNumberFormat="1" applyFont="1" applyFill="1" applyBorder="1" applyAlignment="1">
      <alignment horizontal="center" vertical="center" wrapText="1"/>
    </xf>
    <xf numFmtId="0" fontId="44" fillId="4" borderId="51" xfId="0" applyFont="1" applyFill="1" applyBorder="1" applyAlignment="1">
      <alignment horizontal="center" vertical="center" wrapText="1"/>
    </xf>
    <xf numFmtId="2" fontId="44" fillId="4" borderId="51" xfId="0" applyNumberFormat="1" applyFont="1" applyFill="1" applyBorder="1" applyAlignment="1">
      <alignment horizontal="center" vertical="center" wrapText="1"/>
    </xf>
    <xf numFmtId="166" fontId="44" fillId="4" borderId="51" xfId="0" applyNumberFormat="1" applyFont="1" applyFill="1" applyBorder="1" applyAlignment="1">
      <alignment horizontal="center" vertical="center" wrapText="1"/>
    </xf>
    <xf numFmtId="0" fontId="44" fillId="4" borderId="53" xfId="0" applyFont="1" applyFill="1" applyBorder="1" applyAlignment="1">
      <alignment horizontal="center" vertical="center" wrapText="1"/>
    </xf>
    <xf numFmtId="0" fontId="25" fillId="5" borderId="0" xfId="0" applyFont="1" applyFill="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1" xfId="0" applyFont="1" applyFill="1" applyBorder="1" applyAlignment="1">
      <alignment horizontal="center" vertical="center" wrapText="1"/>
    </xf>
    <xf numFmtId="0" fontId="25" fillId="5" borderId="62" xfId="0" applyFont="1" applyFill="1" applyBorder="1" applyAlignment="1">
      <alignment horizontal="center" vertical="center" wrapText="1"/>
    </xf>
    <xf numFmtId="0" fontId="35" fillId="7" borderId="21" xfId="0" applyFont="1" applyFill="1" applyBorder="1" applyAlignment="1" applyProtection="1">
      <alignment horizontal="left" vertical="center" indent="1"/>
      <protection locked="0"/>
    </xf>
    <xf numFmtId="0" fontId="26" fillId="7" borderId="19" xfId="0" applyFont="1" applyFill="1" applyBorder="1" applyAlignment="1">
      <alignment horizontal="center" vertical="center" wrapText="1"/>
    </xf>
    <xf numFmtId="0" fontId="17" fillId="0" borderId="19" xfId="0" applyFont="1" applyBorder="1" applyAlignment="1">
      <alignment horizontal="center" vertical="center" wrapText="1"/>
    </xf>
    <xf numFmtId="0" fontId="17" fillId="0" borderId="31" xfId="0" applyFont="1" applyBorder="1" applyAlignment="1">
      <alignment horizontal="center" vertical="center" wrapText="1"/>
    </xf>
    <xf numFmtId="0" fontId="26" fillId="7" borderId="25" xfId="0" applyFont="1" applyFill="1" applyBorder="1" applyAlignment="1">
      <alignment horizontal="center" vertical="center" wrapText="1"/>
    </xf>
    <xf numFmtId="0" fontId="17" fillId="0" borderId="25" xfId="0" applyFont="1" applyBorder="1" applyAlignment="1">
      <alignment horizontal="center" vertical="center" wrapText="1"/>
    </xf>
    <xf numFmtId="0" fontId="17" fillId="0" borderId="26" xfId="0" applyFont="1" applyBorder="1" applyAlignment="1">
      <alignment horizontal="center" vertical="center" wrapText="1"/>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7" fillId="4" borderId="0" xfId="0" applyFont="1" applyFill="1" applyAlignment="1">
      <alignment horizontal="left" vertical="center" wrapText="1"/>
    </xf>
    <xf numFmtId="0" fontId="26" fillId="7" borderId="44" xfId="0" applyFont="1" applyFill="1" applyBorder="1" applyAlignment="1">
      <alignment horizontal="left" vertical="center" wrapText="1"/>
    </xf>
    <xf numFmtId="0" fontId="26" fillId="7" borderId="49" xfId="0" applyFont="1" applyFill="1" applyBorder="1" applyAlignment="1">
      <alignment horizontal="left" vertical="center" wrapText="1"/>
    </xf>
    <xf numFmtId="0" fontId="26" fillId="7" borderId="45" xfId="0" applyFont="1" applyFill="1" applyBorder="1" applyAlignment="1">
      <alignment horizontal="left" vertical="center" wrapText="1"/>
    </xf>
    <xf numFmtId="0" fontId="18" fillId="0" borderId="0" xfId="0" applyFont="1" applyAlignment="1">
      <alignment vertical="center"/>
    </xf>
    <xf numFmtId="0" fontId="33" fillId="7" borderId="28" xfId="0" applyFont="1" applyFill="1" applyBorder="1" applyAlignment="1">
      <alignment horizontal="left" vertical="center" wrapText="1"/>
    </xf>
    <xf numFmtId="0" fontId="17" fillId="7" borderId="32" xfId="0" applyFont="1" applyFill="1" applyBorder="1" applyAlignment="1">
      <alignment horizontal="left" vertical="center" wrapText="1"/>
    </xf>
    <xf numFmtId="10" fontId="17" fillId="7" borderId="32" xfId="0" applyNumberFormat="1" applyFont="1" applyFill="1" applyBorder="1" applyAlignment="1">
      <alignment horizontal="left" vertical="center" wrapText="1"/>
    </xf>
    <xf numFmtId="2" fontId="17" fillId="7" borderId="32" xfId="0" applyNumberFormat="1" applyFont="1" applyFill="1" applyBorder="1" applyAlignment="1">
      <alignment horizontal="left" vertical="center" wrapText="1"/>
    </xf>
    <xf numFmtId="0" fontId="17" fillId="7" borderId="43" xfId="0" applyFont="1" applyFill="1" applyBorder="1" applyAlignment="1">
      <alignment horizontal="left" vertical="center" wrapText="1"/>
    </xf>
    <xf numFmtId="0" fontId="27" fillId="4" borderId="13"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61" fillId="10" borderId="23" xfId="0" applyFont="1" applyFill="1" applyBorder="1" applyAlignment="1">
      <alignment horizontal="center" vertical="center"/>
    </xf>
    <xf numFmtId="0" fontId="17" fillId="0" borderId="25" xfId="0" applyFont="1" applyBorder="1" applyAlignment="1">
      <alignment horizontal="center" vertical="center"/>
    </xf>
    <xf numFmtId="0" fontId="60" fillId="7" borderId="49" xfId="0" applyFont="1" applyFill="1" applyBorder="1" applyAlignment="1">
      <alignment horizontal="left" vertical="center"/>
    </xf>
    <xf numFmtId="0" fontId="60" fillId="7" borderId="45" xfId="0" applyFont="1" applyFill="1" applyBorder="1" applyAlignment="1">
      <alignment horizontal="left" vertical="center"/>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5"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4"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1" fontId="54"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0" fontId="46" fillId="0" borderId="0" xfId="0" applyFont="1" applyAlignment="1" applyProtection="1">
      <alignment horizontal="left" vertical="center"/>
    </xf>
    <xf numFmtId="49" fontId="53" fillId="0" borderId="22" xfId="0" applyNumberFormat="1" applyFont="1" applyBorder="1" applyAlignment="1" applyProtection="1">
      <alignment horizontal="center" vertical="center"/>
    </xf>
    <xf numFmtId="166" fontId="67" fillId="7" borderId="23" xfId="0" applyNumberFormat="1" applyFont="1" applyFill="1" applyBorder="1" applyAlignment="1" applyProtection="1">
      <alignment horizontal="center" vertical="center"/>
    </xf>
    <xf numFmtId="2" fontId="67" fillId="7" borderId="23" xfId="0" applyNumberFormat="1" applyFont="1" applyFill="1" applyBorder="1" applyAlignment="1" applyProtection="1">
      <alignment horizontal="center" vertical="center"/>
    </xf>
    <xf numFmtId="170" fontId="67"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49" fontId="53" fillId="0" borderId="21" xfId="0" applyNumberFormat="1" applyFont="1" applyBorder="1" applyAlignment="1" applyProtection="1">
      <alignment horizontal="center" vertical="center"/>
    </xf>
    <xf numFmtId="166" fontId="67" fillId="7" borderId="19" xfId="0" applyNumberFormat="1" applyFont="1" applyFill="1" applyBorder="1" applyAlignment="1" applyProtection="1">
      <alignment horizontal="center" vertical="center"/>
    </xf>
    <xf numFmtId="2" fontId="67" fillId="7" borderId="19" xfId="0" applyNumberFormat="1" applyFont="1" applyFill="1" applyBorder="1" applyAlignment="1" applyProtection="1">
      <alignment horizontal="center" vertical="center"/>
    </xf>
    <xf numFmtId="170" fontId="67"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0" fillId="2" borderId="4" xfId="0" applyFont="1" applyFill="1" applyBorder="1" applyAlignment="1" applyProtection="1">
      <alignment horizontal="center" vertical="center" wrapText="1"/>
    </xf>
    <xf numFmtId="0" fontId="50" fillId="2" borderId="3" xfId="0" applyFont="1" applyFill="1" applyBorder="1" applyAlignment="1" applyProtection="1">
      <alignment horizontal="center" vertical="center" wrapText="1"/>
    </xf>
    <xf numFmtId="0" fontId="50" fillId="2" borderId="5" xfId="0" applyFont="1" applyFill="1" applyBorder="1" applyAlignment="1" applyProtection="1">
      <alignment horizontal="center" vertical="center" wrapText="1"/>
    </xf>
    <xf numFmtId="0" fontId="43" fillId="7" borderId="56"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57"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49" fillId="2" borderId="9" xfId="0" applyNumberFormat="1" applyFont="1" applyFill="1" applyBorder="1" applyAlignment="1" applyProtection="1">
      <alignment horizontal="center" vertical="center" wrapText="1"/>
    </xf>
    <xf numFmtId="0" fontId="40" fillId="2" borderId="0" xfId="0" applyFont="1" applyFill="1" applyAlignment="1" applyProtection="1">
      <alignment vertical="center"/>
    </xf>
    <xf numFmtId="0" fontId="35" fillId="2" borderId="58" xfId="0" applyFont="1" applyFill="1" applyBorder="1" applyAlignment="1" applyProtection="1">
      <alignment horizontal="left" vertical="center" wrapText="1"/>
    </xf>
    <xf numFmtId="0" fontId="35" fillId="2" borderId="47" xfId="0" applyFont="1" applyFill="1" applyBorder="1" applyAlignment="1" applyProtection="1">
      <alignment horizontal="left" vertical="center" wrapText="1"/>
    </xf>
    <xf numFmtId="0" fontId="35" fillId="2" borderId="65" xfId="0" applyFont="1" applyFill="1" applyBorder="1" applyAlignment="1" applyProtection="1">
      <alignment horizontal="left" vertical="center" wrapText="1"/>
    </xf>
    <xf numFmtId="0" fontId="48" fillId="2" borderId="0" xfId="0" applyFont="1" applyFill="1" applyAlignment="1" applyProtection="1">
      <alignment horizontal="left" vertical="center" wrapText="1"/>
    </xf>
    <xf numFmtId="0" fontId="4" fillId="0" borderId="0" xfId="0" applyFont="1" applyProtection="1"/>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51" fillId="2" borderId="0" xfId="0" applyFont="1" applyFill="1" applyAlignment="1" applyProtection="1">
      <alignment horizontal="center" vertical="center"/>
    </xf>
    <xf numFmtId="0" fontId="43" fillId="7" borderId="59"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60"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56"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57"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58"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2" fontId="41" fillId="7" borderId="47" xfId="0" applyNumberFormat="1" applyFont="1" applyFill="1" applyBorder="1" applyAlignment="1" applyProtection="1">
      <alignment horizontal="center" vertical="center"/>
    </xf>
    <xf numFmtId="2" fontId="41" fillId="7" borderId="48" xfId="0" applyNumberFormat="1" applyFont="1" applyFill="1" applyBorder="1" applyAlignment="1" applyProtection="1">
      <alignment horizontal="center" vertical="center"/>
    </xf>
    <xf numFmtId="0" fontId="43" fillId="7" borderId="24" xfId="0" applyFont="1" applyFill="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166" fontId="41" fillId="7" borderId="59"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49"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2" fillId="2" borderId="0" xfId="0" applyFont="1" applyFill="1" applyAlignment="1" applyProtection="1">
      <alignment horizontal="left" vertical="center" wrapText="1"/>
    </xf>
    <xf numFmtId="49" fontId="53" fillId="0" borderId="24" xfId="0" applyNumberFormat="1" applyFont="1" applyBorder="1" applyAlignment="1" applyProtection="1">
      <alignment horizontal="center" vertical="center"/>
    </xf>
    <xf numFmtId="166" fontId="67" fillId="7" borderId="25" xfId="0" applyNumberFormat="1" applyFont="1" applyFill="1" applyBorder="1" applyAlignment="1" applyProtection="1">
      <alignment horizontal="center" vertical="center"/>
    </xf>
    <xf numFmtId="2" fontId="67" fillId="7" borderId="25" xfId="0" applyNumberFormat="1" applyFont="1" applyFill="1" applyBorder="1" applyAlignment="1" applyProtection="1">
      <alignment horizontal="center" vertical="center"/>
    </xf>
    <xf numFmtId="170" fontId="67"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0" fillId="0" borderId="0" xfId="0" applyFont="1"/>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43" fillId="7" borderId="22" xfId="0"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35" fillId="2" borderId="46" xfId="0" applyFont="1" applyFill="1" applyBorder="1" applyAlignment="1" applyProtection="1">
      <alignment horizontal="left" vertical="center" wrapText="1"/>
    </xf>
    <xf numFmtId="10" fontId="43" fillId="7" borderId="44"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1" xfId="0" applyFont="1" applyFill="1" applyBorder="1" applyAlignment="1" applyProtection="1">
      <alignment vertical="center"/>
    </xf>
    <xf numFmtId="0" fontId="43" fillId="7" borderId="46" xfId="0" applyFont="1" applyFill="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10" fontId="49" fillId="2" borderId="64" xfId="0" applyNumberFormat="1" applyFont="1" applyFill="1" applyBorder="1" applyAlignment="1" applyProtection="1">
      <alignment horizontal="center" vertical="center" wrapText="1"/>
    </xf>
    <xf numFmtId="0" fontId="35" fillId="2" borderId="57" xfId="0" applyFont="1" applyFill="1" applyBorder="1" applyAlignment="1" applyProtection="1">
      <alignment horizontal="left" vertical="center" wrapText="1"/>
    </xf>
    <xf numFmtId="0" fontId="35" fillId="2" borderId="19" xfId="0" applyFont="1" applyFill="1" applyBorder="1" applyAlignment="1" applyProtection="1">
      <alignment horizontal="left" vertical="center" wrapText="1"/>
    </xf>
    <xf numFmtId="0" fontId="35" fillId="2" borderId="31" xfId="0" applyFont="1" applyFill="1" applyBorder="1" applyAlignment="1" applyProtection="1">
      <alignment horizontal="left" vertical="center" wrapText="1"/>
    </xf>
    <xf numFmtId="0" fontId="42" fillId="2" borderId="58" xfId="0" applyFont="1" applyFill="1" applyBorder="1" applyAlignment="1" applyProtection="1">
      <alignment horizontal="left" vertical="center" wrapText="1" indent="1"/>
    </xf>
    <xf numFmtId="0" fontId="42" fillId="2" borderId="47" xfId="0" applyFont="1" applyFill="1" applyBorder="1" applyAlignment="1" applyProtection="1">
      <alignment horizontal="left" vertical="center" wrapText="1" indent="1"/>
    </xf>
    <xf numFmtId="0" fontId="42" fillId="2" borderId="65" xfId="0" applyFont="1" applyFill="1" applyBorder="1" applyAlignment="1" applyProtection="1">
      <alignment horizontal="left" vertical="center" wrapText="1" indent="1"/>
    </xf>
    <xf numFmtId="0" fontId="3" fillId="3" borderId="0" xfId="0" applyFont="1" applyFill="1" applyProtection="1"/>
    <xf numFmtId="16" fontId="4" fillId="0" borderId="0" xfId="0" applyNumberFormat="1" applyFont="1" applyAlignment="1" applyProtection="1">
      <alignment horizontal="right"/>
    </xf>
    <xf numFmtId="0" fontId="2" fillId="0" borderId="1" xfId="0" applyFont="1" applyBorder="1" applyAlignment="1">
      <alignment horizontal="center" vertical="center"/>
    </xf>
    <xf numFmtId="0" fontId="0" fillId="0" borderId="1" xfId="0" applyBorder="1" applyAlignment="1">
      <alignment vertical="center"/>
    </xf>
    <xf numFmtId="0" fontId="69" fillId="11" borderId="1" xfId="0" applyFont="1" applyFill="1" applyBorder="1" applyAlignment="1">
      <alignment vertical="center"/>
    </xf>
    <xf numFmtId="0" fontId="68" fillId="10" borderId="1" xfId="0" applyFont="1" applyFill="1" applyBorder="1" applyAlignment="1">
      <alignment vertical="center"/>
    </xf>
    <xf numFmtId="0" fontId="0" fillId="0" borderId="1" xfId="0" applyBorder="1" applyAlignment="1">
      <alignment vertical="top" wrapText="1"/>
    </xf>
    <xf numFmtId="171" fontId="0" fillId="0" borderId="1" xfId="0" applyNumberFormat="1" applyBorder="1" applyAlignment="1">
      <alignment horizontal="center"/>
    </xf>
    <xf numFmtId="0" fontId="36" fillId="0" borderId="6" xfId="0" applyFont="1" applyFill="1" applyBorder="1" applyAlignment="1">
      <alignment horizontal="left" vertical="top" wrapText="1"/>
    </xf>
    <xf numFmtId="166" fontId="36" fillId="0" borderId="6" xfId="0" applyNumberFormat="1" applyFont="1" applyFill="1" applyBorder="1" applyAlignment="1">
      <alignment horizontal="left" vertical="top" wrapText="1"/>
    </xf>
    <xf numFmtId="0" fontId="19" fillId="0" borderId="6" xfId="0" applyFont="1" applyFill="1" applyBorder="1" applyAlignment="1">
      <alignment horizontal="left" vertical="center" wrapText="1"/>
    </xf>
    <xf numFmtId="0" fontId="35" fillId="7" borderId="57" xfId="0" applyNumberFormat="1" applyFont="1" applyFill="1" applyBorder="1" applyAlignment="1" applyProtection="1">
      <alignment horizontal="left" vertical="center" indent="1"/>
      <protection locked="0"/>
    </xf>
    <xf numFmtId="2" fontId="64" fillId="8" borderId="23" xfId="0" applyNumberFormat="1" applyFont="1" applyFill="1" applyBorder="1" applyAlignment="1" applyProtection="1">
      <alignment horizontal="center"/>
      <protection locked="0"/>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365125</xdr:colOff>
      <xdr:row>6</xdr:row>
      <xdr:rowOff>0</xdr:rowOff>
    </xdr:to>
    <xdr:sp macro="PID_AdminRunSmokeCheck" textlink="">
      <xdr:nvSpPr>
        <xdr:cNvPr id="2" name="btn_Admin_Smoke">
          <a:extLst>
            <a:ext uri="{FF2B5EF4-FFF2-40B4-BE49-F238E27FC236}">
              <a16:creationId xmlns:a16="http://schemas.microsoft.com/office/drawing/2014/main" id="{EF204910-87C6-BF9F-9270-6BCD27C37F5A}"/>
            </a:ext>
          </a:extLst>
        </xdr:cNvPr>
        <xdr:cNvSpPr/>
      </xdr:nvSpPr>
      <xdr:spPr>
        <a:xfrm>
          <a:off x="180975" y="83820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AT" sz="800" b="1">
              <a:solidFill>
                <a:srgbClr val="FFFFFF"/>
              </a:solidFill>
              <a:latin typeface="Calibri" panose="020F0502020204030204" pitchFamily="34" charset="0"/>
            </a:rPr>
            <a:t>Smoke Check</a:t>
          </a:r>
        </a:p>
      </xdr:txBody>
    </xdr:sp>
    <xdr:clientData/>
  </xdr:twoCellAnchor>
  <xdr:twoCellAnchor editAs="absolute">
    <xdr:from>
      <xdr:col>2</xdr:col>
      <xdr:colOff>542925</xdr:colOff>
      <xdr:row>4</xdr:row>
      <xdr:rowOff>0</xdr:rowOff>
    </xdr:from>
    <xdr:to>
      <xdr:col>3</xdr:col>
      <xdr:colOff>908050</xdr:colOff>
      <xdr:row>6</xdr:row>
      <xdr:rowOff>0</xdr:rowOff>
    </xdr:to>
    <xdr:sp macro="PID_AdminRunFullRefresh" textlink="">
      <xdr:nvSpPr>
        <xdr:cNvPr id="3" name="btn_Admin_Refresh">
          <a:extLst>
            <a:ext uri="{FF2B5EF4-FFF2-40B4-BE49-F238E27FC236}">
              <a16:creationId xmlns:a16="http://schemas.microsoft.com/office/drawing/2014/main" id="{7DC72ACE-38F4-E699-140C-2C8776EEB3E0}"/>
            </a:ext>
          </a:extLst>
        </xdr:cNvPr>
        <xdr:cNvSpPr/>
      </xdr:nvSpPr>
      <xdr:spPr>
        <a:xfrm>
          <a:off x="2238375" y="83820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AT"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127000</xdr:rowOff>
    </xdr:from>
    <xdr:to>
      <xdr:col>2</xdr:col>
      <xdr:colOff>365125</xdr:colOff>
      <xdr:row>8</xdr:row>
      <xdr:rowOff>127000</xdr:rowOff>
    </xdr:to>
    <xdr:sp macro="PID_AdminRunQuickCheck" textlink="">
      <xdr:nvSpPr>
        <xdr:cNvPr id="4" name="btn_Admin_Quick">
          <a:extLst>
            <a:ext uri="{FF2B5EF4-FFF2-40B4-BE49-F238E27FC236}">
              <a16:creationId xmlns:a16="http://schemas.microsoft.com/office/drawing/2014/main" id="{2CF48BA7-64CE-35A3-B1CF-213B0C11C2FB}"/>
            </a:ext>
          </a:extLst>
        </xdr:cNvPr>
        <xdr:cNvSpPr/>
      </xdr:nvSpPr>
      <xdr:spPr>
        <a:xfrm>
          <a:off x="180975" y="134620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AT" sz="800" b="1">
              <a:solidFill>
                <a:srgbClr val="1F4E79"/>
              </a:solidFill>
              <a:latin typeface="Calibri" panose="020F0502020204030204" pitchFamily="34" charset="0"/>
            </a:rPr>
            <a:t>Quick Check</a:t>
          </a:r>
        </a:p>
      </xdr:txBody>
    </xdr:sp>
    <xdr:clientData/>
  </xdr:twoCellAnchor>
  <xdr:twoCellAnchor editAs="absolute">
    <xdr:from>
      <xdr:col>2</xdr:col>
      <xdr:colOff>542925</xdr:colOff>
      <xdr:row>6</xdr:row>
      <xdr:rowOff>127000</xdr:rowOff>
    </xdr:from>
    <xdr:to>
      <xdr:col>3</xdr:col>
      <xdr:colOff>908050</xdr:colOff>
      <xdr:row>8</xdr:row>
      <xdr:rowOff>127000</xdr:rowOff>
    </xdr:to>
    <xdr:sp macro="PID_AdminRunFormatMonths" textlink="">
      <xdr:nvSpPr>
        <xdr:cNvPr id="5" name="btn_Admin_Format">
          <a:extLst>
            <a:ext uri="{FF2B5EF4-FFF2-40B4-BE49-F238E27FC236}">
              <a16:creationId xmlns:a16="http://schemas.microsoft.com/office/drawing/2014/main" id="{6DE77B12-A93E-8B99-7EFF-6463C85FD7DF}"/>
            </a:ext>
          </a:extLst>
        </xdr:cNvPr>
        <xdr:cNvSpPr/>
      </xdr:nvSpPr>
      <xdr:spPr>
        <a:xfrm>
          <a:off x="2238375" y="134620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AT"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63500</xdr:rowOff>
    </xdr:from>
    <xdr:to>
      <xdr:col>2</xdr:col>
      <xdr:colOff>365125</xdr:colOff>
      <xdr:row>11</xdr:row>
      <xdr:rowOff>63500</xdr:rowOff>
    </xdr:to>
    <xdr:sp macro="ResetAndImportVBAFiles" textlink="">
      <xdr:nvSpPr>
        <xdr:cNvPr id="6" name="btn_Admin_Import">
          <a:extLst>
            <a:ext uri="{FF2B5EF4-FFF2-40B4-BE49-F238E27FC236}">
              <a16:creationId xmlns:a16="http://schemas.microsoft.com/office/drawing/2014/main" id="{ED760400-4736-0FBA-4F34-E4E8CE0A9945}"/>
            </a:ext>
          </a:extLst>
        </xdr:cNvPr>
        <xdr:cNvSpPr/>
      </xdr:nvSpPr>
      <xdr:spPr>
        <a:xfrm>
          <a:off x="180975" y="185420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AT" sz="800" b="1">
              <a:solidFill>
                <a:srgbClr val="1F4E79"/>
              </a:solidFill>
              <a:latin typeface="Calibri" panose="020F0502020204030204" pitchFamily="34" charset="0"/>
            </a:rPr>
            <a:t>VBA Import</a:t>
          </a:r>
        </a:p>
      </xdr:txBody>
    </xdr:sp>
    <xdr:clientData/>
  </xdr:twoCellAnchor>
  <xdr:twoCellAnchor editAs="absolute">
    <xdr:from>
      <xdr:col>2</xdr:col>
      <xdr:colOff>542925</xdr:colOff>
      <xdr:row>9</xdr:row>
      <xdr:rowOff>63500</xdr:rowOff>
    </xdr:from>
    <xdr:to>
      <xdr:col>3</xdr:col>
      <xdr:colOff>908050</xdr:colOff>
      <xdr:row>11</xdr:row>
      <xdr:rowOff>63500</xdr:rowOff>
    </xdr:to>
    <xdr:sp macro="PID_AdminRunPerfBaseline" textlink="">
      <xdr:nvSpPr>
        <xdr:cNvPr id="7" name="btn_Admin_Perf">
          <a:extLst>
            <a:ext uri="{FF2B5EF4-FFF2-40B4-BE49-F238E27FC236}">
              <a16:creationId xmlns:a16="http://schemas.microsoft.com/office/drawing/2014/main" id="{5B94B540-A10F-0A11-AA65-C6DD27E5A674}"/>
            </a:ext>
          </a:extLst>
        </xdr:cNvPr>
        <xdr:cNvSpPr/>
      </xdr:nvSpPr>
      <xdr:spPr>
        <a:xfrm>
          <a:off x="2238375" y="185420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AT"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0</xdr:rowOff>
    </xdr:from>
    <xdr:to>
      <xdr:col>2</xdr:col>
      <xdr:colOff>365125</xdr:colOff>
      <xdr:row>14</xdr:row>
      <xdr:rowOff>0</xdr:rowOff>
    </xdr:to>
    <xdr:sp macro="PID_AdminRunProtectAll" textlink="">
      <xdr:nvSpPr>
        <xdr:cNvPr id="8" name="btn_Admin_Protect">
          <a:extLst>
            <a:ext uri="{FF2B5EF4-FFF2-40B4-BE49-F238E27FC236}">
              <a16:creationId xmlns:a16="http://schemas.microsoft.com/office/drawing/2014/main" id="{A0850BBA-3522-E638-01E6-B61B9B06C75B}"/>
            </a:ext>
          </a:extLst>
        </xdr:cNvPr>
        <xdr:cNvSpPr/>
      </xdr:nvSpPr>
      <xdr:spPr>
        <a:xfrm>
          <a:off x="180975" y="236220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AT" sz="800" b="1">
              <a:solidFill>
                <a:srgbClr val="1F4E79"/>
              </a:solidFill>
              <a:latin typeface="Calibri" panose="020F0502020204030204" pitchFamily="34" charset="0"/>
            </a:rPr>
            <a:t>Schutz AN</a:t>
          </a:r>
        </a:p>
      </xdr:txBody>
    </xdr:sp>
    <xdr:clientData/>
  </xdr:twoCellAnchor>
  <xdr:twoCellAnchor editAs="absolute">
    <xdr:from>
      <xdr:col>2</xdr:col>
      <xdr:colOff>542925</xdr:colOff>
      <xdr:row>12</xdr:row>
      <xdr:rowOff>0</xdr:rowOff>
    </xdr:from>
    <xdr:to>
      <xdr:col>3</xdr:col>
      <xdr:colOff>908050</xdr:colOff>
      <xdr:row>14</xdr:row>
      <xdr:rowOff>0</xdr:rowOff>
    </xdr:to>
    <xdr:sp macro="PID_AdminRunUnprotectAll" textlink="">
      <xdr:nvSpPr>
        <xdr:cNvPr id="9" name="btn_Admin_Unprotect">
          <a:extLst>
            <a:ext uri="{FF2B5EF4-FFF2-40B4-BE49-F238E27FC236}">
              <a16:creationId xmlns:a16="http://schemas.microsoft.com/office/drawing/2014/main" id="{B5C51C67-4F3E-1469-98DA-E6879EF3908C}"/>
            </a:ext>
          </a:extLst>
        </xdr:cNvPr>
        <xdr:cNvSpPr/>
      </xdr:nvSpPr>
      <xdr:spPr>
        <a:xfrm>
          <a:off x="2238375" y="236220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AT" sz="800" b="1">
              <a:solidFill>
                <a:srgbClr val="1F4E79"/>
              </a:solidFill>
              <a:latin typeface="Calibri" panose="020F0502020204030204" pitchFamily="34" charset="0"/>
            </a:rPr>
            <a:t>Schutz AUS</a:t>
          </a:r>
        </a:p>
      </xdr:txBody>
    </xdr:sp>
    <xdr:clientData/>
  </xdr:twoCellAnchor>
  <xdr:twoCellAnchor editAs="absolute">
    <xdr:from>
      <xdr:col>1</xdr:col>
      <xdr:colOff>0</xdr:colOff>
      <xdr:row>14</xdr:row>
      <xdr:rowOff>127000</xdr:rowOff>
    </xdr:from>
    <xdr:to>
      <xdr:col>2</xdr:col>
      <xdr:colOff>365125</xdr:colOff>
      <xdr:row>16</xdr:row>
      <xdr:rowOff>127000</xdr:rowOff>
    </xdr:to>
    <xdr:sp macro="PID_AdminShowTechSheets" textlink="">
      <xdr:nvSpPr>
        <xdr:cNvPr id="10" name="btn_Admin_ShowTech">
          <a:extLst>
            <a:ext uri="{FF2B5EF4-FFF2-40B4-BE49-F238E27FC236}">
              <a16:creationId xmlns:a16="http://schemas.microsoft.com/office/drawing/2014/main" id="{2544EC17-39F9-9007-E758-87B6A242894A}"/>
            </a:ext>
          </a:extLst>
        </xdr:cNvPr>
        <xdr:cNvSpPr/>
      </xdr:nvSpPr>
      <xdr:spPr>
        <a:xfrm>
          <a:off x="180975" y="287020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AT" sz="800" b="1">
              <a:solidFill>
                <a:srgbClr val="1F4E79"/>
              </a:solidFill>
              <a:latin typeface="Calibri" panose="020F0502020204030204" pitchFamily="34" charset="0"/>
            </a:rPr>
            <a:t>Tech-Bl. zeigen</a:t>
          </a:r>
        </a:p>
      </xdr:txBody>
    </xdr:sp>
    <xdr:clientData/>
  </xdr:twoCellAnchor>
  <xdr:twoCellAnchor editAs="absolute">
    <xdr:from>
      <xdr:col>2</xdr:col>
      <xdr:colOff>542925</xdr:colOff>
      <xdr:row>14</xdr:row>
      <xdr:rowOff>127000</xdr:rowOff>
    </xdr:from>
    <xdr:to>
      <xdr:col>3</xdr:col>
      <xdr:colOff>908050</xdr:colOff>
      <xdr:row>16</xdr:row>
      <xdr:rowOff>127000</xdr:rowOff>
    </xdr:to>
    <xdr:sp macro="PID_AdminHideTechSheets" textlink="">
      <xdr:nvSpPr>
        <xdr:cNvPr id="11" name="btn_Admin_HideTech">
          <a:extLst>
            <a:ext uri="{FF2B5EF4-FFF2-40B4-BE49-F238E27FC236}">
              <a16:creationId xmlns:a16="http://schemas.microsoft.com/office/drawing/2014/main" id="{1E6BCF45-4479-58A3-E966-779D17695BF5}"/>
            </a:ext>
          </a:extLst>
        </xdr:cNvPr>
        <xdr:cNvSpPr/>
      </xdr:nvSpPr>
      <xdr:spPr>
        <a:xfrm>
          <a:off x="2238375" y="287020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AT"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63500</xdr:rowOff>
    </xdr:from>
    <xdr:to>
      <xdr:col>2</xdr:col>
      <xdr:colOff>365125</xdr:colOff>
      <xdr:row>19</xdr:row>
      <xdr:rowOff>63500</xdr:rowOff>
    </xdr:to>
    <xdr:sp macro="PID_AdminRunRebuildLohn" textlink="">
      <xdr:nvSpPr>
        <xdr:cNvPr id="12" name="btn_Admin_Lohn">
          <a:extLst>
            <a:ext uri="{FF2B5EF4-FFF2-40B4-BE49-F238E27FC236}">
              <a16:creationId xmlns:a16="http://schemas.microsoft.com/office/drawing/2014/main" id="{69CC7627-55BC-A459-48E1-6670B56ECBF6}"/>
            </a:ext>
          </a:extLst>
        </xdr:cNvPr>
        <xdr:cNvSpPr/>
      </xdr:nvSpPr>
      <xdr:spPr>
        <a:xfrm>
          <a:off x="180975" y="337820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AT" sz="800" b="1">
              <a:solidFill>
                <a:srgbClr val="1F4E79"/>
              </a:solidFill>
              <a:latin typeface="Calibri" panose="020F0502020204030204" pitchFamily="34" charset="0"/>
            </a:rPr>
            <a:t>LOHNTABELLE</a:t>
          </a:r>
        </a:p>
      </xdr:txBody>
    </xdr:sp>
    <xdr:clientData/>
  </xdr:twoCellAnchor>
  <xdr:twoCellAnchor editAs="absolute">
    <xdr:from>
      <xdr:col>2</xdr:col>
      <xdr:colOff>542925</xdr:colOff>
      <xdr:row>17</xdr:row>
      <xdr:rowOff>63500</xdr:rowOff>
    </xdr:from>
    <xdr:to>
      <xdr:col>3</xdr:col>
      <xdr:colOff>908050</xdr:colOff>
      <xdr:row>19</xdr:row>
      <xdr:rowOff>63500</xdr:rowOff>
    </xdr:to>
    <xdr:sp macro="PID_AdminResetHourOverrideLog" textlink="">
      <xdr:nvSpPr>
        <xdr:cNvPr id="13" name="btn_Admin_ResetHours">
          <a:extLst>
            <a:ext uri="{FF2B5EF4-FFF2-40B4-BE49-F238E27FC236}">
              <a16:creationId xmlns:a16="http://schemas.microsoft.com/office/drawing/2014/main" id="{585F2205-20A9-AD7E-44DA-46221A626890}"/>
            </a:ext>
          </a:extLst>
        </xdr:cNvPr>
        <xdr:cNvSpPr/>
      </xdr:nvSpPr>
      <xdr:spPr>
        <a:xfrm>
          <a:off x="2238375" y="337820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AT"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0</xdr:rowOff>
    </xdr:from>
    <xdr:to>
      <xdr:col>2</xdr:col>
      <xdr:colOff>365125</xdr:colOff>
      <xdr:row>22</xdr:row>
      <xdr:rowOff>0</xdr:rowOff>
    </xdr:to>
    <xdr:sp macro="PID_AdminOpenSmokeSheet" textlink="">
      <xdr:nvSpPr>
        <xdr:cNvPr id="14" name="btn_Admin_SmokeSheet">
          <a:extLst>
            <a:ext uri="{FF2B5EF4-FFF2-40B4-BE49-F238E27FC236}">
              <a16:creationId xmlns:a16="http://schemas.microsoft.com/office/drawing/2014/main" id="{B26D5D07-20E9-1C4F-BACF-7D1037999497}"/>
            </a:ext>
          </a:extLst>
        </xdr:cNvPr>
        <xdr:cNvSpPr/>
      </xdr:nvSpPr>
      <xdr:spPr>
        <a:xfrm>
          <a:off x="180975" y="388620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AT" sz="800" b="1">
              <a:solidFill>
                <a:srgbClr val="1F4E79"/>
              </a:solidFill>
              <a:latin typeface="Calibri" panose="020F0502020204030204" pitchFamily="34" charset="0"/>
            </a:rPr>
            <a:t>SYSTEM_CHECK</a:t>
          </a:r>
        </a:p>
      </xdr:txBody>
    </xdr:sp>
    <xdr:clientData/>
  </xdr:twoCellAnchor>
  <xdr:twoCellAnchor editAs="absolute">
    <xdr:from>
      <xdr:col>2</xdr:col>
      <xdr:colOff>542925</xdr:colOff>
      <xdr:row>20</xdr:row>
      <xdr:rowOff>0</xdr:rowOff>
    </xdr:from>
    <xdr:to>
      <xdr:col>3</xdr:col>
      <xdr:colOff>908050</xdr:colOff>
      <xdr:row>22</xdr:row>
      <xdr:rowOff>0</xdr:rowOff>
    </xdr:to>
    <xdr:sp macro="PID_AdminHidePanel" textlink="">
      <xdr:nvSpPr>
        <xdr:cNvPr id="15" name="btn_Admin_Hide">
          <a:extLst>
            <a:ext uri="{FF2B5EF4-FFF2-40B4-BE49-F238E27FC236}">
              <a16:creationId xmlns:a16="http://schemas.microsoft.com/office/drawing/2014/main" id="{2714FAE3-CE53-C9C6-3DB8-92757CD8C431}"/>
            </a:ext>
          </a:extLst>
        </xdr:cNvPr>
        <xdr:cNvSpPr/>
      </xdr:nvSpPr>
      <xdr:spPr>
        <a:xfrm>
          <a:off x="2238375" y="388620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AT"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862014</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925514</xdr:colOff>
      <xdr:row>1</xdr:row>
      <xdr:rowOff>44450</xdr:rowOff>
    </xdr:from>
    <xdr:to>
      <xdr:col>5</xdr:col>
      <xdr:colOff>810682</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874182</xdr:colOff>
      <xdr:row>1</xdr:row>
      <xdr:rowOff>44450</xdr:rowOff>
    </xdr:from>
    <xdr:to>
      <xdr:col>8</xdr:col>
      <xdr:colOff>15874</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15874</xdr:colOff>
      <xdr:row>1</xdr:row>
      <xdr:rowOff>44450</xdr:rowOff>
    </xdr:from>
    <xdr:to>
      <xdr:col>9</xdr:col>
      <xdr:colOff>1490134</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654050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4525625"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654050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4525625"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654050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4525625"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654050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4525625"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654050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4525625"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election activeCell="F17" sqref="F17"/>
    </sheetView>
  </sheetViews>
  <sheetFormatPr baseColWidth="10" defaultColWidth="10.85546875" defaultRowHeight="15" x14ac:dyDescent="0.25"/>
  <cols>
    <col min="1" max="1" width="2.7109375" style="428" customWidth="1"/>
    <col min="2" max="5" width="22.7109375" style="428" customWidth="1"/>
    <col min="6" max="16384" width="10.85546875" style="428"/>
  </cols>
  <sheetData>
    <row r="1" spans="2:5" ht="21" x14ac:dyDescent="0.35">
      <c r="B1" s="201" t="s">
        <v>294</v>
      </c>
      <c r="C1" s="202"/>
      <c r="D1" s="202"/>
      <c r="E1" s="202"/>
    </row>
    <row r="2" spans="2:5" x14ac:dyDescent="0.25">
      <c r="B2" s="203" t="s">
        <v>295</v>
      </c>
      <c r="C2" s="204"/>
      <c r="D2" s="204"/>
      <c r="E2" s="204"/>
    </row>
    <row r="3" spans="2:5" x14ac:dyDescent="0.25">
      <c r="B3" s="78" t="s">
        <v>296</v>
      </c>
      <c r="C3" s="78">
        <v>2026</v>
      </c>
      <c r="D3" s="78" t="s">
        <v>297</v>
      </c>
      <c r="E3" s="78">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162"/>
  <sheetViews>
    <sheetView showGridLines="0" zoomScale="120" zoomScaleNormal="120" workbookViewId="0">
      <pane ySplit="3" topLeftCell="A4" activePane="bottomLeft" state="frozen"/>
      <selection pane="bottomLeft" activeCell="H6" sqref="H6"/>
    </sheetView>
  </sheetViews>
  <sheetFormatPr baseColWidth="10" defaultRowHeight="18" customHeight="1" x14ac:dyDescent="0.25"/>
  <cols>
    <col min="1" max="1" width="16.7109375" style="6" customWidth="1"/>
    <col min="2" max="4" width="14.7109375" style="6" customWidth="1"/>
    <col min="5" max="5" width="13.7109375" style="6" customWidth="1"/>
    <col min="6" max="6" width="25.7109375" style="6" customWidth="1"/>
    <col min="7" max="7" width="13.7109375" style="6" customWidth="1"/>
    <col min="8" max="8" width="14.7109375" style="7" customWidth="1"/>
    <col min="9" max="9" width="22.5703125" style="6" customWidth="1"/>
    <col min="10" max="10" width="24.5703125" style="6" customWidth="1"/>
    <col min="11" max="11" width="3.5703125" hidden="1" customWidth="1"/>
    <col min="12" max="14" width="18.85546875" customWidth="1"/>
    <col min="27" max="29" width="0" hidden="1" customWidth="1"/>
  </cols>
  <sheetData>
    <row r="1" spans="1:15" ht="20.100000000000001" customHeight="1" x14ac:dyDescent="0.25">
      <c r="A1" s="205" t="s">
        <v>223</v>
      </c>
      <c r="B1" s="205"/>
      <c r="C1" s="205"/>
      <c r="D1" s="205"/>
      <c r="E1" s="205"/>
      <c r="F1" s="205"/>
      <c r="G1" s="205"/>
      <c r="H1" s="205"/>
      <c r="I1" s="205"/>
      <c r="J1" s="205"/>
    </row>
    <row r="2" spans="1:15" ht="24" customHeight="1" x14ac:dyDescent="0.25">
      <c r="A2" s="469"/>
      <c r="B2" s="469"/>
      <c r="C2" s="469"/>
      <c r="D2" s="469"/>
      <c r="E2" s="469"/>
      <c r="F2" s="469"/>
      <c r="G2" s="469"/>
      <c r="H2" s="470"/>
      <c r="I2" s="471"/>
      <c r="J2" s="471"/>
      <c r="L2" s="194" t="s">
        <v>291</v>
      </c>
      <c r="M2" s="194"/>
      <c r="N2" s="194"/>
      <c r="O2" s="59"/>
    </row>
    <row r="3" spans="1:15" ht="18" customHeight="1" thickBot="1" x14ac:dyDescent="0.3">
      <c r="A3" s="51" t="s">
        <v>228</v>
      </c>
      <c r="B3" s="51" t="s">
        <v>273</v>
      </c>
      <c r="C3" s="51" t="s">
        <v>274</v>
      </c>
      <c r="D3" s="51" t="s">
        <v>232</v>
      </c>
      <c r="E3" s="51" t="s">
        <v>229</v>
      </c>
      <c r="F3" s="51" t="s">
        <v>275</v>
      </c>
      <c r="G3" s="51" t="s">
        <v>230</v>
      </c>
      <c r="H3" s="52" t="s">
        <v>1</v>
      </c>
      <c r="I3" s="51" t="s">
        <v>231</v>
      </c>
      <c r="J3" s="51" t="s">
        <v>276</v>
      </c>
    </row>
    <row r="4" spans="1:15" ht="24" customHeight="1" thickBot="1" x14ac:dyDescent="0.3">
      <c r="A4" s="206" t="s">
        <v>277</v>
      </c>
      <c r="B4" s="207"/>
      <c r="C4" s="207"/>
      <c r="D4" s="208"/>
      <c r="E4" s="208"/>
      <c r="F4" s="208"/>
      <c r="G4" s="209"/>
      <c r="H4" s="210"/>
      <c r="I4" s="208"/>
      <c r="J4" s="211"/>
    </row>
    <row r="5" spans="1:15" ht="24" customHeight="1" x14ac:dyDescent="0.25">
      <c r="A5" s="131" t="s">
        <v>236</v>
      </c>
      <c r="B5" s="113">
        <v>45778</v>
      </c>
      <c r="C5" s="113">
        <v>46142</v>
      </c>
      <c r="D5" s="114" t="s">
        <v>233</v>
      </c>
      <c r="E5" s="114" t="s">
        <v>2</v>
      </c>
      <c r="F5" s="114" t="s">
        <v>224</v>
      </c>
      <c r="G5" s="60">
        <v>173</v>
      </c>
      <c r="H5" s="61">
        <v>2100</v>
      </c>
      <c r="I5" s="115" t="str">
        <f t="shared" ref="I5:I36" si="0">IF($A5="","",IF(OR($B5="",$C5="",$D5="",$E5="",$F5=""),"Stammdaten fehlen",IF(AND($G5="",$H5=""),"Werte fehlen",IF($G5="","Monatsstunden fehlen",IF($H5="","Monatslohn fehlt","OK")))))</f>
        <v>OK</v>
      </c>
      <c r="J5" s="137" t="str">
        <f t="shared" ref="J5:J36" si="1">IF($G5="","",IF(COUNTIFS($A:$A,$A5,$D:$D,$D5,$G:$G,$G5)&gt;1,"Doppelte Monatsstunden",""))</f>
        <v/>
      </c>
    </row>
    <row r="6" spans="1:15" ht="24" customHeight="1" x14ac:dyDescent="0.25">
      <c r="A6" s="132" t="s">
        <v>236</v>
      </c>
      <c r="B6" s="116">
        <v>45778</v>
      </c>
      <c r="C6" s="116">
        <v>46142</v>
      </c>
      <c r="D6" s="117" t="s">
        <v>233</v>
      </c>
      <c r="E6" s="117" t="s">
        <v>2</v>
      </c>
      <c r="F6" s="117" t="s">
        <v>224</v>
      </c>
      <c r="G6" s="62">
        <v>171</v>
      </c>
      <c r="H6" s="63">
        <v>2500</v>
      </c>
      <c r="I6" s="118" t="str">
        <f t="shared" si="0"/>
        <v>OK</v>
      </c>
      <c r="J6" s="138" t="str">
        <f t="shared" si="1"/>
        <v/>
      </c>
      <c r="K6" t="s">
        <v>293</v>
      </c>
    </row>
    <row r="7" spans="1:15" ht="24" customHeight="1" x14ac:dyDescent="0.25">
      <c r="A7" s="132" t="s">
        <v>236</v>
      </c>
      <c r="B7" s="116">
        <v>45778</v>
      </c>
      <c r="C7" s="116">
        <v>46142</v>
      </c>
      <c r="D7" s="117" t="s">
        <v>233</v>
      </c>
      <c r="E7" s="117" t="s">
        <v>2</v>
      </c>
      <c r="F7" s="117" t="s">
        <v>224</v>
      </c>
      <c r="G7" s="62">
        <v>169</v>
      </c>
      <c r="H7" s="63">
        <v>2000</v>
      </c>
      <c r="I7" s="118" t="str">
        <f t="shared" si="0"/>
        <v>OK</v>
      </c>
      <c r="J7" s="138" t="str">
        <f t="shared" si="1"/>
        <v/>
      </c>
      <c r="K7" t="s">
        <v>293</v>
      </c>
    </row>
    <row r="8" spans="1:15" ht="24" customHeight="1" x14ac:dyDescent="0.25">
      <c r="A8" s="132" t="s">
        <v>236</v>
      </c>
      <c r="B8" s="116">
        <v>45778</v>
      </c>
      <c r="C8" s="116">
        <v>46142</v>
      </c>
      <c r="D8" s="117" t="s">
        <v>233</v>
      </c>
      <c r="E8" s="117" t="s">
        <v>2</v>
      </c>
      <c r="F8" s="117" t="s">
        <v>224</v>
      </c>
      <c r="G8" s="62">
        <v>151.38</v>
      </c>
      <c r="H8" s="63">
        <v>1768.38</v>
      </c>
      <c r="I8" s="118" t="str">
        <f t="shared" si="0"/>
        <v>OK</v>
      </c>
      <c r="J8" s="138" t="str">
        <f t="shared" si="1"/>
        <v/>
      </c>
    </row>
    <row r="9" spans="1:15" ht="24" customHeight="1" x14ac:dyDescent="0.25">
      <c r="A9" s="132" t="s">
        <v>236</v>
      </c>
      <c r="B9" s="116">
        <v>45778</v>
      </c>
      <c r="C9" s="116">
        <v>46142</v>
      </c>
      <c r="D9" s="117" t="s">
        <v>233</v>
      </c>
      <c r="E9" s="117" t="s">
        <v>2</v>
      </c>
      <c r="F9" s="117" t="s">
        <v>224</v>
      </c>
      <c r="G9" s="62">
        <v>138.4</v>
      </c>
      <c r="H9" s="63">
        <v>1616.8</v>
      </c>
      <c r="I9" s="118" t="str">
        <f t="shared" si="0"/>
        <v>OK</v>
      </c>
      <c r="J9" s="138" t="str">
        <f t="shared" si="1"/>
        <v/>
      </c>
    </row>
    <row r="10" spans="1:15" ht="24" customHeight="1" x14ac:dyDescent="0.25">
      <c r="A10" s="132" t="s">
        <v>236</v>
      </c>
      <c r="B10" s="116">
        <v>45778</v>
      </c>
      <c r="C10" s="116">
        <v>46142</v>
      </c>
      <c r="D10" s="117" t="s">
        <v>233</v>
      </c>
      <c r="E10" s="117" t="s">
        <v>2</v>
      </c>
      <c r="F10" s="117" t="s">
        <v>224</v>
      </c>
      <c r="G10" s="62">
        <v>129.75</v>
      </c>
      <c r="H10" s="63">
        <v>1515.75</v>
      </c>
      <c r="I10" s="118" t="str">
        <f t="shared" si="0"/>
        <v>OK</v>
      </c>
      <c r="J10" s="138" t="str">
        <f t="shared" si="1"/>
        <v/>
      </c>
    </row>
    <row r="11" spans="1:15" ht="24" customHeight="1" x14ac:dyDescent="0.25">
      <c r="A11" s="132" t="s">
        <v>236</v>
      </c>
      <c r="B11" s="116">
        <v>45778</v>
      </c>
      <c r="C11" s="116">
        <v>46142</v>
      </c>
      <c r="D11" s="117" t="s">
        <v>233</v>
      </c>
      <c r="E11" s="117" t="s">
        <v>2</v>
      </c>
      <c r="F11" s="117" t="s">
        <v>224</v>
      </c>
      <c r="G11" s="62">
        <v>108.13</v>
      </c>
      <c r="H11" s="63">
        <v>1263.1300000000001</v>
      </c>
      <c r="I11" s="118" t="str">
        <f t="shared" si="0"/>
        <v>OK</v>
      </c>
      <c r="J11" s="138" t="str">
        <f t="shared" si="1"/>
        <v/>
      </c>
    </row>
    <row r="12" spans="1:15" ht="24" customHeight="1" x14ac:dyDescent="0.25">
      <c r="A12" s="132" t="s">
        <v>236</v>
      </c>
      <c r="B12" s="116">
        <v>45778</v>
      </c>
      <c r="C12" s="116">
        <v>46142</v>
      </c>
      <c r="D12" s="117" t="s">
        <v>233</v>
      </c>
      <c r="E12" s="117" t="s">
        <v>2</v>
      </c>
      <c r="F12" s="117" t="s">
        <v>224</v>
      </c>
      <c r="G12" s="62">
        <v>103.8</v>
      </c>
      <c r="H12" s="63">
        <v>1212.5999999999999</v>
      </c>
      <c r="I12" s="118" t="str">
        <f t="shared" si="0"/>
        <v>OK</v>
      </c>
      <c r="J12" s="138" t="str">
        <f t="shared" si="1"/>
        <v/>
      </c>
    </row>
    <row r="13" spans="1:15" ht="24" customHeight="1" x14ac:dyDescent="0.25">
      <c r="A13" s="132" t="s">
        <v>236</v>
      </c>
      <c r="B13" s="116">
        <v>45778</v>
      </c>
      <c r="C13" s="116">
        <v>46142</v>
      </c>
      <c r="D13" s="117" t="s">
        <v>233</v>
      </c>
      <c r="E13" s="117" t="s">
        <v>2</v>
      </c>
      <c r="F13" s="117" t="s">
        <v>224</v>
      </c>
      <c r="G13" s="62">
        <v>86.5</v>
      </c>
      <c r="H13" s="63">
        <v>1010.5</v>
      </c>
      <c r="I13" s="118" t="str">
        <f t="shared" si="0"/>
        <v>OK</v>
      </c>
      <c r="J13" s="138" t="str">
        <f t="shared" si="1"/>
        <v/>
      </c>
    </row>
    <row r="14" spans="1:15" ht="24" customHeight="1" x14ac:dyDescent="0.25">
      <c r="A14" s="132" t="s">
        <v>236</v>
      </c>
      <c r="B14" s="116">
        <v>45778</v>
      </c>
      <c r="C14" s="116">
        <v>46142</v>
      </c>
      <c r="D14" s="117" t="s">
        <v>233</v>
      </c>
      <c r="E14" s="117" t="s">
        <v>2</v>
      </c>
      <c r="F14" s="117" t="s">
        <v>224</v>
      </c>
      <c r="G14" s="62">
        <v>69.2</v>
      </c>
      <c r="H14" s="63">
        <v>808.4</v>
      </c>
      <c r="I14" s="118" t="str">
        <f t="shared" si="0"/>
        <v>OK</v>
      </c>
      <c r="J14" s="138" t="str">
        <f t="shared" si="1"/>
        <v/>
      </c>
    </row>
    <row r="15" spans="1:15" ht="24" customHeight="1" x14ac:dyDescent="0.25">
      <c r="A15" s="132" t="s">
        <v>236</v>
      </c>
      <c r="B15" s="116">
        <v>45778</v>
      </c>
      <c r="C15" s="116">
        <v>46142</v>
      </c>
      <c r="D15" s="117" t="s">
        <v>233</v>
      </c>
      <c r="E15" s="117" t="s">
        <v>2</v>
      </c>
      <c r="F15" s="117" t="s">
        <v>224</v>
      </c>
      <c r="G15" s="62">
        <v>51.9</v>
      </c>
      <c r="H15" s="63">
        <v>606.29999999999995</v>
      </c>
      <c r="I15" s="118" t="str">
        <f t="shared" si="0"/>
        <v>OK</v>
      </c>
      <c r="J15" s="138" t="str">
        <f t="shared" si="1"/>
        <v/>
      </c>
    </row>
    <row r="16" spans="1:15" ht="24" customHeight="1" x14ac:dyDescent="0.25">
      <c r="A16" s="132" t="s">
        <v>236</v>
      </c>
      <c r="B16" s="116">
        <v>45778</v>
      </c>
      <c r="C16" s="116">
        <v>46142</v>
      </c>
      <c r="D16" s="117" t="s">
        <v>233</v>
      </c>
      <c r="E16" s="117" t="s">
        <v>2</v>
      </c>
      <c r="F16" s="117" t="s">
        <v>224</v>
      </c>
      <c r="G16" s="62">
        <v>47.58</v>
      </c>
      <c r="H16" s="63">
        <v>555.78</v>
      </c>
      <c r="I16" s="118" t="str">
        <f t="shared" si="0"/>
        <v>OK</v>
      </c>
      <c r="J16" s="138" t="str">
        <f t="shared" si="1"/>
        <v/>
      </c>
    </row>
    <row r="17" spans="1:10" ht="24" customHeight="1" x14ac:dyDescent="0.25">
      <c r="A17" s="132" t="s">
        <v>236</v>
      </c>
      <c r="B17" s="116">
        <v>45778</v>
      </c>
      <c r="C17" s="116">
        <v>46142</v>
      </c>
      <c r="D17" s="117" t="s">
        <v>233</v>
      </c>
      <c r="E17" s="117" t="s">
        <v>2</v>
      </c>
      <c r="F17" s="117" t="s">
        <v>224</v>
      </c>
      <c r="G17" s="62">
        <v>43.25</v>
      </c>
      <c r="H17" s="63">
        <v>505.25</v>
      </c>
      <c r="I17" s="118" t="str">
        <f t="shared" si="0"/>
        <v>OK</v>
      </c>
      <c r="J17" s="138" t="str">
        <f t="shared" si="1"/>
        <v/>
      </c>
    </row>
    <row r="18" spans="1:10" ht="24" customHeight="1" x14ac:dyDescent="0.25">
      <c r="A18" s="132" t="s">
        <v>236</v>
      </c>
      <c r="B18" s="116">
        <v>45778</v>
      </c>
      <c r="C18" s="116">
        <v>46142</v>
      </c>
      <c r="D18" s="117" t="s">
        <v>233</v>
      </c>
      <c r="E18" s="117" t="s">
        <v>2</v>
      </c>
      <c r="F18" s="117" t="s">
        <v>224</v>
      </c>
      <c r="G18" s="62">
        <v>34.6</v>
      </c>
      <c r="H18" s="63">
        <v>404.2</v>
      </c>
      <c r="I18" s="118" t="str">
        <f t="shared" si="0"/>
        <v>OK</v>
      </c>
      <c r="J18" s="138" t="str">
        <f t="shared" si="1"/>
        <v/>
      </c>
    </row>
    <row r="19" spans="1:10" ht="24" customHeight="1" thickBot="1" x14ac:dyDescent="0.3">
      <c r="A19" s="132" t="s">
        <v>236</v>
      </c>
      <c r="B19" s="116">
        <v>45778</v>
      </c>
      <c r="C19" s="116">
        <v>46142</v>
      </c>
      <c r="D19" s="117" t="s">
        <v>233</v>
      </c>
      <c r="E19" s="117" t="s">
        <v>2</v>
      </c>
      <c r="F19" s="117" t="s">
        <v>224</v>
      </c>
      <c r="G19" s="62">
        <v>32.01</v>
      </c>
      <c r="H19" s="63">
        <v>373.89</v>
      </c>
      <c r="I19" s="118" t="str">
        <f t="shared" si="0"/>
        <v>OK</v>
      </c>
      <c r="J19" s="138" t="str">
        <f t="shared" si="1"/>
        <v/>
      </c>
    </row>
    <row r="20" spans="1:10" ht="24" customHeight="1" x14ac:dyDescent="0.25">
      <c r="A20" s="131" t="s">
        <v>236</v>
      </c>
      <c r="B20" s="113">
        <v>45778</v>
      </c>
      <c r="C20" s="113">
        <v>46142</v>
      </c>
      <c r="D20" s="114" t="s">
        <v>3</v>
      </c>
      <c r="E20" s="114" t="s">
        <v>2</v>
      </c>
      <c r="F20" s="114" t="s">
        <v>225</v>
      </c>
      <c r="G20" s="60">
        <v>173</v>
      </c>
      <c r="H20" s="61">
        <v>2082</v>
      </c>
      <c r="I20" s="115" t="str">
        <f t="shared" si="0"/>
        <v>OK</v>
      </c>
      <c r="J20" s="137" t="str">
        <f t="shared" si="1"/>
        <v/>
      </c>
    </row>
    <row r="21" spans="1:10" ht="24" customHeight="1" x14ac:dyDescent="0.25">
      <c r="A21" s="132" t="s">
        <v>236</v>
      </c>
      <c r="B21" s="116">
        <v>45778</v>
      </c>
      <c r="C21" s="116">
        <v>46142</v>
      </c>
      <c r="D21" s="117" t="s">
        <v>3</v>
      </c>
      <c r="E21" s="117" t="s">
        <v>2</v>
      </c>
      <c r="F21" s="117" t="s">
        <v>225</v>
      </c>
      <c r="G21" s="62">
        <v>151.38</v>
      </c>
      <c r="H21" s="63">
        <v>1821.75</v>
      </c>
      <c r="I21" s="118" t="str">
        <f t="shared" si="0"/>
        <v>OK</v>
      </c>
      <c r="J21" s="138" t="str">
        <f t="shared" si="1"/>
        <v/>
      </c>
    </row>
    <row r="22" spans="1:10" ht="24" customHeight="1" x14ac:dyDescent="0.25">
      <c r="A22" s="132" t="s">
        <v>236</v>
      </c>
      <c r="B22" s="116">
        <v>45778</v>
      </c>
      <c r="C22" s="116">
        <v>46142</v>
      </c>
      <c r="D22" s="117" t="s">
        <v>3</v>
      </c>
      <c r="E22" s="117" t="s">
        <v>2</v>
      </c>
      <c r="F22" s="117" t="s">
        <v>225</v>
      </c>
      <c r="G22" s="62">
        <v>138.4</v>
      </c>
      <c r="H22" s="63">
        <v>1665.6</v>
      </c>
      <c r="I22" s="118" t="str">
        <f t="shared" si="0"/>
        <v>OK</v>
      </c>
      <c r="J22" s="138" t="str">
        <f t="shared" si="1"/>
        <v/>
      </c>
    </row>
    <row r="23" spans="1:10" ht="24" customHeight="1" x14ac:dyDescent="0.25">
      <c r="A23" s="132" t="s">
        <v>236</v>
      </c>
      <c r="B23" s="116">
        <v>45778</v>
      </c>
      <c r="C23" s="116">
        <v>46142</v>
      </c>
      <c r="D23" s="117" t="s">
        <v>3</v>
      </c>
      <c r="E23" s="117" t="s">
        <v>2</v>
      </c>
      <c r="F23" s="117" t="s">
        <v>225</v>
      </c>
      <c r="G23" s="62">
        <v>129.75</v>
      </c>
      <c r="H23" s="63">
        <v>1561.5</v>
      </c>
      <c r="I23" s="118" t="str">
        <f t="shared" si="0"/>
        <v>OK</v>
      </c>
      <c r="J23" s="138" t="str">
        <f t="shared" si="1"/>
        <v/>
      </c>
    </row>
    <row r="24" spans="1:10" ht="24" customHeight="1" x14ac:dyDescent="0.25">
      <c r="A24" s="132" t="s">
        <v>236</v>
      </c>
      <c r="B24" s="116">
        <v>45778</v>
      </c>
      <c r="C24" s="116">
        <v>46142</v>
      </c>
      <c r="D24" s="117" t="s">
        <v>3</v>
      </c>
      <c r="E24" s="117" t="s">
        <v>2</v>
      </c>
      <c r="F24" s="117" t="s">
        <v>225</v>
      </c>
      <c r="G24" s="62">
        <v>108.13</v>
      </c>
      <c r="H24" s="63">
        <v>1301.25</v>
      </c>
      <c r="I24" s="118" t="str">
        <f t="shared" si="0"/>
        <v>OK</v>
      </c>
      <c r="J24" s="138" t="str">
        <f t="shared" si="1"/>
        <v/>
      </c>
    </row>
    <row r="25" spans="1:10" ht="24" customHeight="1" x14ac:dyDescent="0.25">
      <c r="A25" s="132" t="s">
        <v>236</v>
      </c>
      <c r="B25" s="116">
        <v>45778</v>
      </c>
      <c r="C25" s="116">
        <v>46142</v>
      </c>
      <c r="D25" s="117" t="s">
        <v>3</v>
      </c>
      <c r="E25" s="117" t="s">
        <v>2</v>
      </c>
      <c r="F25" s="117" t="s">
        <v>225</v>
      </c>
      <c r="G25" s="62">
        <v>103.8</v>
      </c>
      <c r="H25" s="63">
        <v>1249.2</v>
      </c>
      <c r="I25" s="118" t="str">
        <f t="shared" si="0"/>
        <v>OK</v>
      </c>
      <c r="J25" s="138" t="str">
        <f t="shared" si="1"/>
        <v/>
      </c>
    </row>
    <row r="26" spans="1:10" ht="24" customHeight="1" x14ac:dyDescent="0.25">
      <c r="A26" s="132" t="s">
        <v>236</v>
      </c>
      <c r="B26" s="116">
        <v>45778</v>
      </c>
      <c r="C26" s="116">
        <v>46142</v>
      </c>
      <c r="D26" s="117" t="s">
        <v>3</v>
      </c>
      <c r="E26" s="117" t="s">
        <v>2</v>
      </c>
      <c r="F26" s="117" t="s">
        <v>225</v>
      </c>
      <c r="G26" s="62">
        <v>86.5</v>
      </c>
      <c r="H26" s="63">
        <v>1041.2</v>
      </c>
      <c r="I26" s="118" t="str">
        <f t="shared" si="0"/>
        <v>OK</v>
      </c>
      <c r="J26" s="138" t="str">
        <f t="shared" si="1"/>
        <v/>
      </c>
    </row>
    <row r="27" spans="1:10" ht="24" customHeight="1" x14ac:dyDescent="0.25">
      <c r="A27" s="132" t="s">
        <v>236</v>
      </c>
      <c r="B27" s="116">
        <v>45778</v>
      </c>
      <c r="C27" s="116">
        <v>46142</v>
      </c>
      <c r="D27" s="117" t="s">
        <v>3</v>
      </c>
      <c r="E27" s="117" t="s">
        <v>2</v>
      </c>
      <c r="F27" s="117" t="s">
        <v>225</v>
      </c>
      <c r="G27" s="62">
        <v>69.2</v>
      </c>
      <c r="H27" s="63">
        <v>832.8</v>
      </c>
      <c r="I27" s="118" t="str">
        <f t="shared" si="0"/>
        <v>OK</v>
      </c>
      <c r="J27" s="138" t="str">
        <f t="shared" si="1"/>
        <v/>
      </c>
    </row>
    <row r="28" spans="1:10" ht="24" customHeight="1" x14ac:dyDescent="0.25">
      <c r="A28" s="132" t="s">
        <v>236</v>
      </c>
      <c r="B28" s="116">
        <v>45778</v>
      </c>
      <c r="C28" s="116">
        <v>46142</v>
      </c>
      <c r="D28" s="117" t="s">
        <v>3</v>
      </c>
      <c r="E28" s="117" t="s">
        <v>2</v>
      </c>
      <c r="F28" s="117" t="s">
        <v>225</v>
      </c>
      <c r="G28" s="62">
        <v>51.9</v>
      </c>
      <c r="H28" s="63">
        <v>624.6</v>
      </c>
      <c r="I28" s="118" t="str">
        <f t="shared" si="0"/>
        <v>OK</v>
      </c>
      <c r="J28" s="138" t="str">
        <f t="shared" si="1"/>
        <v/>
      </c>
    </row>
    <row r="29" spans="1:10" ht="24" customHeight="1" x14ac:dyDescent="0.25">
      <c r="A29" s="132" t="s">
        <v>236</v>
      </c>
      <c r="B29" s="116">
        <v>45778</v>
      </c>
      <c r="C29" s="116">
        <v>46142</v>
      </c>
      <c r="D29" s="117" t="s">
        <v>3</v>
      </c>
      <c r="E29" s="117" t="s">
        <v>2</v>
      </c>
      <c r="F29" s="117" t="s">
        <v>225</v>
      </c>
      <c r="G29" s="62">
        <v>47.58</v>
      </c>
      <c r="H29" s="63">
        <v>575.54999999999995</v>
      </c>
      <c r="I29" s="118" t="str">
        <f t="shared" si="0"/>
        <v>OK</v>
      </c>
      <c r="J29" s="138" t="str">
        <f t="shared" si="1"/>
        <v/>
      </c>
    </row>
    <row r="30" spans="1:10" ht="24" customHeight="1" x14ac:dyDescent="0.25">
      <c r="A30" s="132" t="s">
        <v>236</v>
      </c>
      <c r="B30" s="116">
        <v>45778</v>
      </c>
      <c r="C30" s="116">
        <v>46142</v>
      </c>
      <c r="D30" s="117" t="s">
        <v>3</v>
      </c>
      <c r="E30" s="117" t="s">
        <v>2</v>
      </c>
      <c r="F30" s="117" t="s">
        <v>225</v>
      </c>
      <c r="G30" s="62">
        <v>43.25</v>
      </c>
      <c r="H30" s="63">
        <v>520.5</v>
      </c>
      <c r="I30" s="118" t="str">
        <f t="shared" si="0"/>
        <v>OK</v>
      </c>
      <c r="J30" s="138" t="str">
        <f t="shared" si="1"/>
        <v/>
      </c>
    </row>
    <row r="31" spans="1:10" ht="24" customHeight="1" x14ac:dyDescent="0.25">
      <c r="A31" s="132" t="s">
        <v>236</v>
      </c>
      <c r="B31" s="116">
        <v>45778</v>
      </c>
      <c r="C31" s="116">
        <v>46142</v>
      </c>
      <c r="D31" s="117" t="s">
        <v>3</v>
      </c>
      <c r="E31" s="117" t="s">
        <v>2</v>
      </c>
      <c r="F31" s="117" t="s">
        <v>225</v>
      </c>
      <c r="G31" s="62">
        <v>34.6</v>
      </c>
      <c r="H31" s="63">
        <v>416.4</v>
      </c>
      <c r="I31" s="118" t="str">
        <f t="shared" si="0"/>
        <v>OK</v>
      </c>
      <c r="J31" s="138" t="str">
        <f t="shared" si="1"/>
        <v/>
      </c>
    </row>
    <row r="32" spans="1:10" ht="24" customHeight="1" thickBot="1" x14ac:dyDescent="0.3">
      <c r="A32" s="132" t="s">
        <v>236</v>
      </c>
      <c r="B32" s="116">
        <v>45778</v>
      </c>
      <c r="C32" s="116">
        <v>46142</v>
      </c>
      <c r="D32" s="117" t="s">
        <v>3</v>
      </c>
      <c r="E32" s="117" t="s">
        <v>2</v>
      </c>
      <c r="F32" s="117" t="s">
        <v>225</v>
      </c>
      <c r="G32" s="62">
        <v>32.01</v>
      </c>
      <c r="H32" s="63">
        <v>385.17</v>
      </c>
      <c r="I32" s="118" t="str">
        <f t="shared" si="0"/>
        <v>OK</v>
      </c>
      <c r="J32" s="138" t="str">
        <f t="shared" si="1"/>
        <v/>
      </c>
    </row>
    <row r="33" spans="1:10" ht="24" customHeight="1" x14ac:dyDescent="0.25">
      <c r="A33" s="131" t="s">
        <v>236</v>
      </c>
      <c r="B33" s="113">
        <v>45778</v>
      </c>
      <c r="C33" s="113">
        <v>46142</v>
      </c>
      <c r="D33" s="114" t="s">
        <v>4</v>
      </c>
      <c r="E33" s="114" t="s">
        <v>2</v>
      </c>
      <c r="F33" s="114" t="s">
        <v>226</v>
      </c>
      <c r="G33" s="60">
        <v>173</v>
      </c>
      <c r="H33" s="61">
        <v>2123</v>
      </c>
      <c r="I33" s="115" t="str">
        <f t="shared" si="0"/>
        <v>OK</v>
      </c>
      <c r="J33" s="137" t="str">
        <f t="shared" si="1"/>
        <v/>
      </c>
    </row>
    <row r="34" spans="1:10" ht="24" customHeight="1" x14ac:dyDescent="0.25">
      <c r="A34" s="132" t="s">
        <v>236</v>
      </c>
      <c r="B34" s="116">
        <v>45778</v>
      </c>
      <c r="C34" s="116">
        <v>46142</v>
      </c>
      <c r="D34" s="117" t="s">
        <v>4</v>
      </c>
      <c r="E34" s="117" t="s">
        <v>2</v>
      </c>
      <c r="F34" s="117" t="s">
        <v>226</v>
      </c>
      <c r="G34" s="62">
        <v>151.38</v>
      </c>
      <c r="H34" s="63">
        <v>1857.63</v>
      </c>
      <c r="I34" s="118" t="str">
        <f t="shared" si="0"/>
        <v>OK</v>
      </c>
      <c r="J34" s="138" t="str">
        <f t="shared" si="1"/>
        <v/>
      </c>
    </row>
    <row r="35" spans="1:10" ht="24" customHeight="1" x14ac:dyDescent="0.25">
      <c r="A35" s="132" t="s">
        <v>236</v>
      </c>
      <c r="B35" s="116">
        <v>45778</v>
      </c>
      <c r="C35" s="116">
        <v>46142</v>
      </c>
      <c r="D35" s="117" t="s">
        <v>4</v>
      </c>
      <c r="E35" s="117" t="s">
        <v>2</v>
      </c>
      <c r="F35" s="117" t="s">
        <v>226</v>
      </c>
      <c r="G35" s="62">
        <v>138.4</v>
      </c>
      <c r="H35" s="63">
        <v>1698.4</v>
      </c>
      <c r="I35" s="118" t="str">
        <f t="shared" si="0"/>
        <v>OK</v>
      </c>
      <c r="J35" s="138" t="str">
        <f t="shared" si="1"/>
        <v/>
      </c>
    </row>
    <row r="36" spans="1:10" ht="24" customHeight="1" x14ac:dyDescent="0.25">
      <c r="A36" s="132" t="s">
        <v>236</v>
      </c>
      <c r="B36" s="116">
        <v>45778</v>
      </c>
      <c r="C36" s="116">
        <v>46142</v>
      </c>
      <c r="D36" s="117" t="s">
        <v>4</v>
      </c>
      <c r="E36" s="117" t="s">
        <v>2</v>
      </c>
      <c r="F36" s="117" t="s">
        <v>226</v>
      </c>
      <c r="G36" s="62">
        <v>129.75</v>
      </c>
      <c r="H36" s="63">
        <v>1592.25</v>
      </c>
      <c r="I36" s="118" t="str">
        <f t="shared" si="0"/>
        <v>OK</v>
      </c>
      <c r="J36" s="138" t="str">
        <f t="shared" si="1"/>
        <v/>
      </c>
    </row>
    <row r="37" spans="1:10" ht="24" customHeight="1" x14ac:dyDescent="0.25">
      <c r="A37" s="132" t="s">
        <v>236</v>
      </c>
      <c r="B37" s="116">
        <v>45778</v>
      </c>
      <c r="C37" s="116">
        <v>46142</v>
      </c>
      <c r="D37" s="117" t="s">
        <v>4</v>
      </c>
      <c r="E37" s="117" t="s">
        <v>2</v>
      </c>
      <c r="F37" s="117" t="s">
        <v>226</v>
      </c>
      <c r="G37" s="62">
        <v>108.13</v>
      </c>
      <c r="H37" s="63">
        <v>1326.88</v>
      </c>
      <c r="I37" s="118" t="str">
        <f t="shared" ref="I37:I68" si="2">IF($A37="","",IF(OR($B37="",$C37="",$D37="",$E37="",$F37=""),"Stammdaten fehlen",IF(AND($G37="",$H37=""),"Werte fehlen",IF($G37="","Monatsstunden fehlen",IF($H37="","Monatslohn fehlt","OK")))))</f>
        <v>OK</v>
      </c>
      <c r="J37" s="138" t="str">
        <f t="shared" ref="J37:J68" si="3">IF($G37="","",IF(COUNTIFS($A:$A,$A37,$D:$D,$D37,$G:$G,$G37)&gt;1,"Doppelte Monatsstunden",""))</f>
        <v/>
      </c>
    </row>
    <row r="38" spans="1:10" ht="24" customHeight="1" x14ac:dyDescent="0.25">
      <c r="A38" s="132" t="s">
        <v>236</v>
      </c>
      <c r="B38" s="116">
        <v>45778</v>
      </c>
      <c r="C38" s="116">
        <v>46142</v>
      </c>
      <c r="D38" s="117" t="s">
        <v>4</v>
      </c>
      <c r="E38" s="117" t="s">
        <v>2</v>
      </c>
      <c r="F38" s="117" t="s">
        <v>226</v>
      </c>
      <c r="G38" s="62">
        <v>103.8</v>
      </c>
      <c r="H38" s="63">
        <v>1273.8</v>
      </c>
      <c r="I38" s="118" t="str">
        <f t="shared" si="2"/>
        <v>OK</v>
      </c>
      <c r="J38" s="138" t="str">
        <f t="shared" si="3"/>
        <v/>
      </c>
    </row>
    <row r="39" spans="1:10" ht="24" customHeight="1" x14ac:dyDescent="0.25">
      <c r="A39" s="132" t="s">
        <v>236</v>
      </c>
      <c r="B39" s="116">
        <v>45778</v>
      </c>
      <c r="C39" s="116">
        <v>46142</v>
      </c>
      <c r="D39" s="117" t="s">
        <v>4</v>
      </c>
      <c r="E39" s="117" t="s">
        <v>2</v>
      </c>
      <c r="F39" s="117" t="s">
        <v>226</v>
      </c>
      <c r="G39" s="62">
        <v>86.5</v>
      </c>
      <c r="H39" s="63">
        <v>1061.5</v>
      </c>
      <c r="I39" s="118" t="str">
        <f t="shared" si="2"/>
        <v>OK</v>
      </c>
      <c r="J39" s="138" t="str">
        <f t="shared" si="3"/>
        <v/>
      </c>
    </row>
    <row r="40" spans="1:10" ht="24" customHeight="1" x14ac:dyDescent="0.25">
      <c r="A40" s="132" t="s">
        <v>236</v>
      </c>
      <c r="B40" s="116">
        <v>45778</v>
      </c>
      <c r="C40" s="116">
        <v>46142</v>
      </c>
      <c r="D40" s="117" t="s">
        <v>4</v>
      </c>
      <c r="E40" s="117" t="s">
        <v>2</v>
      </c>
      <c r="F40" s="117" t="s">
        <v>226</v>
      </c>
      <c r="G40" s="62">
        <v>69.2</v>
      </c>
      <c r="H40" s="63">
        <v>849.2</v>
      </c>
      <c r="I40" s="118" t="str">
        <f t="shared" si="2"/>
        <v>OK</v>
      </c>
      <c r="J40" s="138" t="str">
        <f t="shared" si="3"/>
        <v/>
      </c>
    </row>
    <row r="41" spans="1:10" ht="24" customHeight="1" x14ac:dyDescent="0.25">
      <c r="A41" s="132" t="s">
        <v>236</v>
      </c>
      <c r="B41" s="116">
        <v>45778</v>
      </c>
      <c r="C41" s="116">
        <v>46142</v>
      </c>
      <c r="D41" s="117" t="s">
        <v>4</v>
      </c>
      <c r="E41" s="117" t="s">
        <v>2</v>
      </c>
      <c r="F41" s="117" t="s">
        <v>226</v>
      </c>
      <c r="G41" s="62">
        <v>51.9</v>
      </c>
      <c r="H41" s="63">
        <v>636.9</v>
      </c>
      <c r="I41" s="118" t="str">
        <f t="shared" si="2"/>
        <v>OK</v>
      </c>
      <c r="J41" s="138" t="str">
        <f t="shared" si="3"/>
        <v/>
      </c>
    </row>
    <row r="42" spans="1:10" ht="24" customHeight="1" x14ac:dyDescent="0.25">
      <c r="A42" s="132" t="s">
        <v>236</v>
      </c>
      <c r="B42" s="116">
        <v>45778</v>
      </c>
      <c r="C42" s="116">
        <v>46142</v>
      </c>
      <c r="D42" s="117" t="s">
        <v>4</v>
      </c>
      <c r="E42" s="117" t="s">
        <v>2</v>
      </c>
      <c r="F42" s="117" t="s">
        <v>226</v>
      </c>
      <c r="G42" s="62">
        <v>47.58</v>
      </c>
      <c r="H42" s="63">
        <v>583.83000000000004</v>
      </c>
      <c r="I42" s="118" t="str">
        <f t="shared" si="2"/>
        <v>OK</v>
      </c>
      <c r="J42" s="138" t="str">
        <f t="shared" si="3"/>
        <v/>
      </c>
    </row>
    <row r="43" spans="1:10" ht="24" customHeight="1" x14ac:dyDescent="0.25">
      <c r="A43" s="132" t="s">
        <v>236</v>
      </c>
      <c r="B43" s="116">
        <v>45778</v>
      </c>
      <c r="C43" s="116">
        <v>46142</v>
      </c>
      <c r="D43" s="117" t="s">
        <v>4</v>
      </c>
      <c r="E43" s="117" t="s">
        <v>2</v>
      </c>
      <c r="F43" s="117" t="s">
        <v>226</v>
      </c>
      <c r="G43" s="62">
        <v>43.25</v>
      </c>
      <c r="H43" s="63">
        <v>530.75</v>
      </c>
      <c r="I43" s="118" t="str">
        <f t="shared" si="2"/>
        <v>OK</v>
      </c>
      <c r="J43" s="138" t="str">
        <f t="shared" si="3"/>
        <v/>
      </c>
    </row>
    <row r="44" spans="1:10" ht="24" customHeight="1" x14ac:dyDescent="0.25">
      <c r="A44" s="132" t="s">
        <v>236</v>
      </c>
      <c r="B44" s="116">
        <v>45778</v>
      </c>
      <c r="C44" s="116">
        <v>46142</v>
      </c>
      <c r="D44" s="117" t="s">
        <v>4</v>
      </c>
      <c r="E44" s="117" t="s">
        <v>2</v>
      </c>
      <c r="F44" s="117" t="s">
        <v>226</v>
      </c>
      <c r="G44" s="62">
        <v>34.6</v>
      </c>
      <c r="H44" s="63">
        <v>424.6</v>
      </c>
      <c r="I44" s="118" t="str">
        <f t="shared" si="2"/>
        <v>OK</v>
      </c>
      <c r="J44" s="138" t="str">
        <f t="shared" si="3"/>
        <v/>
      </c>
    </row>
    <row r="45" spans="1:10" ht="24" customHeight="1" thickBot="1" x14ac:dyDescent="0.3">
      <c r="A45" s="132" t="s">
        <v>236</v>
      </c>
      <c r="B45" s="116">
        <v>45778</v>
      </c>
      <c r="C45" s="116">
        <v>46142</v>
      </c>
      <c r="D45" s="117" t="s">
        <v>4</v>
      </c>
      <c r="E45" s="117" t="s">
        <v>2</v>
      </c>
      <c r="F45" s="117" t="s">
        <v>226</v>
      </c>
      <c r="G45" s="62">
        <v>32.01</v>
      </c>
      <c r="H45" s="63">
        <v>392.76</v>
      </c>
      <c r="I45" s="118" t="str">
        <f t="shared" si="2"/>
        <v>OK</v>
      </c>
      <c r="J45" s="138" t="str">
        <f t="shared" si="3"/>
        <v/>
      </c>
    </row>
    <row r="46" spans="1:10" ht="24" customHeight="1" x14ac:dyDescent="0.25">
      <c r="A46" s="131" t="s">
        <v>236</v>
      </c>
      <c r="B46" s="113">
        <v>45778</v>
      </c>
      <c r="C46" s="113">
        <v>46142</v>
      </c>
      <c r="D46" s="114" t="s">
        <v>5</v>
      </c>
      <c r="E46" s="114" t="s">
        <v>2</v>
      </c>
      <c r="F46" s="114" t="s">
        <v>227</v>
      </c>
      <c r="G46" s="60">
        <v>173</v>
      </c>
      <c r="H46" s="61">
        <v>2183</v>
      </c>
      <c r="I46" s="115" t="str">
        <f t="shared" si="2"/>
        <v>OK</v>
      </c>
      <c r="J46" s="137" t="str">
        <f t="shared" si="3"/>
        <v/>
      </c>
    </row>
    <row r="47" spans="1:10" ht="24" customHeight="1" x14ac:dyDescent="0.25">
      <c r="A47" s="132" t="s">
        <v>236</v>
      </c>
      <c r="B47" s="116">
        <v>45778</v>
      </c>
      <c r="C47" s="116">
        <v>46142</v>
      </c>
      <c r="D47" s="117" t="s">
        <v>5</v>
      </c>
      <c r="E47" s="117" t="s">
        <v>2</v>
      </c>
      <c r="F47" s="117" t="s">
        <v>227</v>
      </c>
      <c r="G47" s="62">
        <v>151.38</v>
      </c>
      <c r="H47" s="63">
        <v>1910.13</v>
      </c>
      <c r="I47" s="118" t="str">
        <f t="shared" si="2"/>
        <v>OK</v>
      </c>
      <c r="J47" s="138" t="str">
        <f t="shared" si="3"/>
        <v/>
      </c>
    </row>
    <row r="48" spans="1:10" ht="24" customHeight="1" x14ac:dyDescent="0.25">
      <c r="A48" s="132" t="s">
        <v>236</v>
      </c>
      <c r="B48" s="116">
        <v>45778</v>
      </c>
      <c r="C48" s="116">
        <v>46142</v>
      </c>
      <c r="D48" s="117" t="s">
        <v>5</v>
      </c>
      <c r="E48" s="117" t="s">
        <v>2</v>
      </c>
      <c r="F48" s="117" t="s">
        <v>227</v>
      </c>
      <c r="G48" s="62">
        <v>138.4</v>
      </c>
      <c r="H48" s="63">
        <v>1746.4</v>
      </c>
      <c r="I48" s="118" t="str">
        <f t="shared" si="2"/>
        <v>OK</v>
      </c>
      <c r="J48" s="138" t="str">
        <f t="shared" si="3"/>
        <v/>
      </c>
    </row>
    <row r="49" spans="1:10" ht="24" customHeight="1" x14ac:dyDescent="0.25">
      <c r="A49" s="132" t="s">
        <v>236</v>
      </c>
      <c r="B49" s="116">
        <v>45778</v>
      </c>
      <c r="C49" s="116">
        <v>46142</v>
      </c>
      <c r="D49" s="117" t="s">
        <v>5</v>
      </c>
      <c r="E49" s="117" t="s">
        <v>2</v>
      </c>
      <c r="F49" s="117" t="s">
        <v>227</v>
      </c>
      <c r="G49" s="62">
        <v>129.75</v>
      </c>
      <c r="H49" s="63">
        <v>1637.25</v>
      </c>
      <c r="I49" s="118" t="str">
        <f t="shared" si="2"/>
        <v>OK</v>
      </c>
      <c r="J49" s="138" t="str">
        <f t="shared" si="3"/>
        <v/>
      </c>
    </row>
    <row r="50" spans="1:10" ht="24" customHeight="1" x14ac:dyDescent="0.25">
      <c r="A50" s="132" t="s">
        <v>236</v>
      </c>
      <c r="B50" s="116">
        <v>45778</v>
      </c>
      <c r="C50" s="116">
        <v>46142</v>
      </c>
      <c r="D50" s="117" t="s">
        <v>5</v>
      </c>
      <c r="E50" s="117" t="s">
        <v>2</v>
      </c>
      <c r="F50" s="117" t="s">
        <v>227</v>
      </c>
      <c r="G50" s="62">
        <v>108.13</v>
      </c>
      <c r="H50" s="63">
        <v>1364.38</v>
      </c>
      <c r="I50" s="118" t="str">
        <f t="shared" si="2"/>
        <v>OK</v>
      </c>
      <c r="J50" s="138" t="str">
        <f t="shared" si="3"/>
        <v/>
      </c>
    </row>
    <row r="51" spans="1:10" ht="24" customHeight="1" x14ac:dyDescent="0.25">
      <c r="A51" s="132" t="s">
        <v>236</v>
      </c>
      <c r="B51" s="116">
        <v>45778</v>
      </c>
      <c r="C51" s="116">
        <v>46142</v>
      </c>
      <c r="D51" s="117" t="s">
        <v>5</v>
      </c>
      <c r="E51" s="117" t="s">
        <v>2</v>
      </c>
      <c r="F51" s="117" t="s">
        <v>227</v>
      </c>
      <c r="G51" s="62">
        <v>103.8</v>
      </c>
      <c r="H51" s="63">
        <v>1309.8</v>
      </c>
      <c r="I51" s="118" t="str">
        <f t="shared" si="2"/>
        <v>OK</v>
      </c>
      <c r="J51" s="138" t="str">
        <f t="shared" si="3"/>
        <v/>
      </c>
    </row>
    <row r="52" spans="1:10" ht="24" customHeight="1" x14ac:dyDescent="0.25">
      <c r="A52" s="132" t="s">
        <v>236</v>
      </c>
      <c r="B52" s="116">
        <v>45778</v>
      </c>
      <c r="C52" s="116">
        <v>46142</v>
      </c>
      <c r="D52" s="117" t="s">
        <v>5</v>
      </c>
      <c r="E52" s="117" t="s">
        <v>2</v>
      </c>
      <c r="F52" s="117" t="s">
        <v>227</v>
      </c>
      <c r="G52" s="62">
        <v>86.5</v>
      </c>
      <c r="H52" s="63">
        <v>1091.5</v>
      </c>
      <c r="I52" s="118" t="str">
        <f t="shared" si="2"/>
        <v>OK</v>
      </c>
      <c r="J52" s="138" t="str">
        <f t="shared" si="3"/>
        <v/>
      </c>
    </row>
    <row r="53" spans="1:10" ht="24" customHeight="1" x14ac:dyDescent="0.25">
      <c r="A53" s="132" t="s">
        <v>236</v>
      </c>
      <c r="B53" s="116">
        <v>45778</v>
      </c>
      <c r="C53" s="116">
        <v>46142</v>
      </c>
      <c r="D53" s="117" t="s">
        <v>5</v>
      </c>
      <c r="E53" s="117" t="s">
        <v>2</v>
      </c>
      <c r="F53" s="117" t="s">
        <v>227</v>
      </c>
      <c r="G53" s="62">
        <v>69.2</v>
      </c>
      <c r="H53" s="63">
        <v>873.2</v>
      </c>
      <c r="I53" s="118" t="str">
        <f t="shared" si="2"/>
        <v>OK</v>
      </c>
      <c r="J53" s="138" t="str">
        <f t="shared" si="3"/>
        <v/>
      </c>
    </row>
    <row r="54" spans="1:10" ht="24" customHeight="1" x14ac:dyDescent="0.25">
      <c r="A54" s="132" t="s">
        <v>236</v>
      </c>
      <c r="B54" s="116">
        <v>45778</v>
      </c>
      <c r="C54" s="116">
        <v>46142</v>
      </c>
      <c r="D54" s="117" t="s">
        <v>5</v>
      </c>
      <c r="E54" s="117" t="s">
        <v>2</v>
      </c>
      <c r="F54" s="117" t="s">
        <v>227</v>
      </c>
      <c r="G54" s="62">
        <v>51.9</v>
      </c>
      <c r="H54" s="63">
        <v>654.9</v>
      </c>
      <c r="I54" s="118" t="str">
        <f t="shared" si="2"/>
        <v>OK</v>
      </c>
      <c r="J54" s="138" t="str">
        <f t="shared" si="3"/>
        <v/>
      </c>
    </row>
    <row r="55" spans="1:10" ht="24" customHeight="1" x14ac:dyDescent="0.25">
      <c r="A55" s="132" t="s">
        <v>236</v>
      </c>
      <c r="B55" s="116">
        <v>45778</v>
      </c>
      <c r="C55" s="116">
        <v>46142</v>
      </c>
      <c r="D55" s="117" t="s">
        <v>5</v>
      </c>
      <c r="E55" s="117" t="s">
        <v>2</v>
      </c>
      <c r="F55" s="117" t="s">
        <v>227</v>
      </c>
      <c r="G55" s="62">
        <v>47.58</v>
      </c>
      <c r="H55" s="63">
        <v>600.33000000000004</v>
      </c>
      <c r="I55" s="118" t="str">
        <f t="shared" si="2"/>
        <v>OK</v>
      </c>
      <c r="J55" s="138" t="str">
        <f t="shared" si="3"/>
        <v/>
      </c>
    </row>
    <row r="56" spans="1:10" ht="24" customHeight="1" x14ac:dyDescent="0.25">
      <c r="A56" s="132" t="s">
        <v>236</v>
      </c>
      <c r="B56" s="116">
        <v>45778</v>
      </c>
      <c r="C56" s="116">
        <v>46142</v>
      </c>
      <c r="D56" s="117" t="s">
        <v>5</v>
      </c>
      <c r="E56" s="117" t="s">
        <v>2</v>
      </c>
      <c r="F56" s="117" t="s">
        <v>227</v>
      </c>
      <c r="G56" s="62">
        <v>43.25</v>
      </c>
      <c r="H56" s="63">
        <v>545.75</v>
      </c>
      <c r="I56" s="118" t="str">
        <f t="shared" si="2"/>
        <v>OK</v>
      </c>
      <c r="J56" s="138" t="str">
        <f t="shared" si="3"/>
        <v/>
      </c>
    </row>
    <row r="57" spans="1:10" ht="24" customHeight="1" x14ac:dyDescent="0.25">
      <c r="A57" s="132" t="s">
        <v>236</v>
      </c>
      <c r="B57" s="116">
        <v>45778</v>
      </c>
      <c r="C57" s="116">
        <v>46142</v>
      </c>
      <c r="D57" s="117" t="s">
        <v>5</v>
      </c>
      <c r="E57" s="117" t="s">
        <v>2</v>
      </c>
      <c r="F57" s="117" t="s">
        <v>227</v>
      </c>
      <c r="G57" s="62">
        <v>34.6</v>
      </c>
      <c r="H57" s="63">
        <v>436.6</v>
      </c>
      <c r="I57" s="118" t="str">
        <f t="shared" si="2"/>
        <v>OK</v>
      </c>
      <c r="J57" s="138" t="str">
        <f t="shared" si="3"/>
        <v/>
      </c>
    </row>
    <row r="58" spans="1:10" ht="24" customHeight="1" thickBot="1" x14ac:dyDescent="0.3">
      <c r="A58" s="132" t="s">
        <v>236</v>
      </c>
      <c r="B58" s="116">
        <v>45778</v>
      </c>
      <c r="C58" s="116">
        <v>46142</v>
      </c>
      <c r="D58" s="117" t="s">
        <v>5</v>
      </c>
      <c r="E58" s="117" t="s">
        <v>2</v>
      </c>
      <c r="F58" s="117" t="s">
        <v>227</v>
      </c>
      <c r="G58" s="62">
        <v>32.01</v>
      </c>
      <c r="H58" s="63">
        <v>403.86</v>
      </c>
      <c r="I58" s="118" t="str">
        <f t="shared" si="2"/>
        <v>OK</v>
      </c>
      <c r="J58" s="138" t="str">
        <f t="shared" si="3"/>
        <v/>
      </c>
    </row>
    <row r="59" spans="1:10" ht="24" customHeight="1" x14ac:dyDescent="0.25">
      <c r="A59" s="133" t="s">
        <v>236</v>
      </c>
      <c r="B59" s="119">
        <v>45778</v>
      </c>
      <c r="C59" s="119">
        <v>46142</v>
      </c>
      <c r="D59" s="120" t="s">
        <v>234</v>
      </c>
      <c r="E59" s="120" t="s">
        <v>6</v>
      </c>
      <c r="F59" s="120" t="s">
        <v>224</v>
      </c>
      <c r="G59" s="64">
        <v>173</v>
      </c>
      <c r="H59" s="65">
        <v>2160</v>
      </c>
      <c r="I59" s="121" t="str">
        <f t="shared" si="2"/>
        <v>OK</v>
      </c>
      <c r="J59" s="139" t="str">
        <f t="shared" si="3"/>
        <v/>
      </c>
    </row>
    <row r="60" spans="1:10" ht="24" customHeight="1" x14ac:dyDescent="0.25">
      <c r="A60" s="134" t="s">
        <v>236</v>
      </c>
      <c r="B60" s="122">
        <v>45778</v>
      </c>
      <c r="C60" s="122">
        <v>46142</v>
      </c>
      <c r="D60" s="123" t="s">
        <v>234</v>
      </c>
      <c r="E60" s="123" t="s">
        <v>6</v>
      </c>
      <c r="F60" s="123" t="s">
        <v>224</v>
      </c>
      <c r="G60" s="66">
        <v>151.38</v>
      </c>
      <c r="H60" s="67">
        <v>1890</v>
      </c>
      <c r="I60" s="124" t="str">
        <f t="shared" si="2"/>
        <v>OK</v>
      </c>
      <c r="J60" s="140" t="str">
        <f t="shared" si="3"/>
        <v/>
      </c>
    </row>
    <row r="61" spans="1:10" ht="24" customHeight="1" x14ac:dyDescent="0.25">
      <c r="A61" s="134" t="s">
        <v>236</v>
      </c>
      <c r="B61" s="122">
        <v>45778</v>
      </c>
      <c r="C61" s="122">
        <v>46142</v>
      </c>
      <c r="D61" s="123" t="s">
        <v>234</v>
      </c>
      <c r="E61" s="123" t="s">
        <v>6</v>
      </c>
      <c r="F61" s="123" t="s">
        <v>224</v>
      </c>
      <c r="G61" s="66">
        <v>138.4</v>
      </c>
      <c r="H61" s="67">
        <v>1728</v>
      </c>
      <c r="I61" s="124" t="str">
        <f t="shared" si="2"/>
        <v>OK</v>
      </c>
      <c r="J61" s="140" t="str">
        <f t="shared" si="3"/>
        <v/>
      </c>
    </row>
    <row r="62" spans="1:10" ht="24" customHeight="1" x14ac:dyDescent="0.25">
      <c r="A62" s="134" t="s">
        <v>236</v>
      </c>
      <c r="B62" s="122">
        <v>45778</v>
      </c>
      <c r="C62" s="122">
        <v>46142</v>
      </c>
      <c r="D62" s="123" t="s">
        <v>234</v>
      </c>
      <c r="E62" s="123" t="s">
        <v>6</v>
      </c>
      <c r="F62" s="123" t="s">
        <v>224</v>
      </c>
      <c r="G62" s="66">
        <v>129.75</v>
      </c>
      <c r="H62" s="67">
        <v>1620</v>
      </c>
      <c r="I62" s="124" t="str">
        <f t="shared" si="2"/>
        <v>OK</v>
      </c>
      <c r="J62" s="140" t="str">
        <f t="shared" si="3"/>
        <v/>
      </c>
    </row>
    <row r="63" spans="1:10" ht="24" customHeight="1" x14ac:dyDescent="0.25">
      <c r="A63" s="134" t="s">
        <v>236</v>
      </c>
      <c r="B63" s="122">
        <v>45778</v>
      </c>
      <c r="C63" s="122">
        <v>46142</v>
      </c>
      <c r="D63" s="123" t="s">
        <v>234</v>
      </c>
      <c r="E63" s="123" t="s">
        <v>6</v>
      </c>
      <c r="F63" s="123" t="s">
        <v>224</v>
      </c>
      <c r="G63" s="66">
        <v>108.13</v>
      </c>
      <c r="H63" s="67">
        <v>1350</v>
      </c>
      <c r="I63" s="124" t="str">
        <f t="shared" si="2"/>
        <v>OK</v>
      </c>
      <c r="J63" s="140" t="str">
        <f t="shared" si="3"/>
        <v/>
      </c>
    </row>
    <row r="64" spans="1:10" ht="24" customHeight="1" x14ac:dyDescent="0.25">
      <c r="A64" s="134" t="s">
        <v>236</v>
      </c>
      <c r="B64" s="122">
        <v>45778</v>
      </c>
      <c r="C64" s="122">
        <v>46142</v>
      </c>
      <c r="D64" s="123" t="s">
        <v>234</v>
      </c>
      <c r="E64" s="123" t="s">
        <v>6</v>
      </c>
      <c r="F64" s="123" t="s">
        <v>224</v>
      </c>
      <c r="G64" s="66">
        <v>103.8</v>
      </c>
      <c r="H64" s="67">
        <v>1296</v>
      </c>
      <c r="I64" s="124" t="str">
        <f t="shared" si="2"/>
        <v>OK</v>
      </c>
      <c r="J64" s="140" t="str">
        <f t="shared" si="3"/>
        <v/>
      </c>
    </row>
    <row r="65" spans="1:10" ht="24" customHeight="1" x14ac:dyDescent="0.25">
      <c r="A65" s="134" t="s">
        <v>236</v>
      </c>
      <c r="B65" s="122">
        <v>45778</v>
      </c>
      <c r="C65" s="122">
        <v>46142</v>
      </c>
      <c r="D65" s="123" t="s">
        <v>234</v>
      </c>
      <c r="E65" s="123" t="s">
        <v>6</v>
      </c>
      <c r="F65" s="123" t="s">
        <v>224</v>
      </c>
      <c r="G65" s="66">
        <v>86.5</v>
      </c>
      <c r="H65" s="67">
        <v>1080</v>
      </c>
      <c r="I65" s="124" t="str">
        <f t="shared" si="2"/>
        <v>OK</v>
      </c>
      <c r="J65" s="140" t="str">
        <f t="shared" si="3"/>
        <v/>
      </c>
    </row>
    <row r="66" spans="1:10" ht="24" customHeight="1" x14ac:dyDescent="0.25">
      <c r="A66" s="134" t="s">
        <v>236</v>
      </c>
      <c r="B66" s="122">
        <v>45778</v>
      </c>
      <c r="C66" s="122">
        <v>46142</v>
      </c>
      <c r="D66" s="123" t="s">
        <v>234</v>
      </c>
      <c r="E66" s="123" t="s">
        <v>6</v>
      </c>
      <c r="F66" s="123" t="s">
        <v>224</v>
      </c>
      <c r="G66" s="66">
        <v>69.2</v>
      </c>
      <c r="H66" s="67">
        <v>864</v>
      </c>
      <c r="I66" s="124" t="str">
        <f t="shared" si="2"/>
        <v>OK</v>
      </c>
      <c r="J66" s="140" t="str">
        <f t="shared" si="3"/>
        <v/>
      </c>
    </row>
    <row r="67" spans="1:10" ht="24" customHeight="1" x14ac:dyDescent="0.25">
      <c r="A67" s="134" t="s">
        <v>236</v>
      </c>
      <c r="B67" s="122">
        <v>45778</v>
      </c>
      <c r="C67" s="122">
        <v>46142</v>
      </c>
      <c r="D67" s="123" t="s">
        <v>234</v>
      </c>
      <c r="E67" s="123" t="s">
        <v>6</v>
      </c>
      <c r="F67" s="123" t="s">
        <v>224</v>
      </c>
      <c r="G67" s="66">
        <v>51.9</v>
      </c>
      <c r="H67" s="67">
        <v>648</v>
      </c>
      <c r="I67" s="124" t="str">
        <f t="shared" si="2"/>
        <v>OK</v>
      </c>
      <c r="J67" s="140" t="str">
        <f t="shared" si="3"/>
        <v/>
      </c>
    </row>
    <row r="68" spans="1:10" ht="24" customHeight="1" x14ac:dyDescent="0.25">
      <c r="A68" s="134" t="s">
        <v>236</v>
      </c>
      <c r="B68" s="122">
        <v>45778</v>
      </c>
      <c r="C68" s="122">
        <v>46142</v>
      </c>
      <c r="D68" s="123" t="s">
        <v>234</v>
      </c>
      <c r="E68" s="123" t="s">
        <v>6</v>
      </c>
      <c r="F68" s="123" t="s">
        <v>224</v>
      </c>
      <c r="G68" s="66">
        <v>47.58</v>
      </c>
      <c r="H68" s="67">
        <v>594</v>
      </c>
      <c r="I68" s="124" t="str">
        <f t="shared" si="2"/>
        <v>OK</v>
      </c>
      <c r="J68" s="140" t="str">
        <f t="shared" si="3"/>
        <v/>
      </c>
    </row>
    <row r="69" spans="1:10" ht="24" customHeight="1" x14ac:dyDescent="0.25">
      <c r="A69" s="134" t="s">
        <v>236</v>
      </c>
      <c r="B69" s="122">
        <v>45778</v>
      </c>
      <c r="C69" s="122">
        <v>46142</v>
      </c>
      <c r="D69" s="123" t="s">
        <v>234</v>
      </c>
      <c r="E69" s="123" t="s">
        <v>6</v>
      </c>
      <c r="F69" s="123" t="s">
        <v>224</v>
      </c>
      <c r="G69" s="66">
        <v>43.25</v>
      </c>
      <c r="H69" s="67">
        <v>540</v>
      </c>
      <c r="I69" s="124" t="str">
        <f t="shared" ref="I69:I100" si="4">IF($A69="","",IF(OR($B69="",$C69="",$D69="",$E69="",$F69=""),"Stammdaten fehlen",IF(AND($G69="",$H69=""),"Werte fehlen",IF($G69="","Monatsstunden fehlen",IF($H69="","Monatslohn fehlt","OK")))))</f>
        <v>OK</v>
      </c>
      <c r="J69" s="140" t="str">
        <f t="shared" ref="J69:J100" si="5">IF($G69="","",IF(COUNTIFS($A:$A,$A69,$D:$D,$D69,$G:$G,$G69)&gt;1,"Doppelte Monatsstunden",""))</f>
        <v/>
      </c>
    </row>
    <row r="70" spans="1:10" ht="24" customHeight="1" x14ac:dyDescent="0.25">
      <c r="A70" s="134" t="s">
        <v>236</v>
      </c>
      <c r="B70" s="122">
        <v>45778</v>
      </c>
      <c r="C70" s="122">
        <v>46142</v>
      </c>
      <c r="D70" s="123" t="s">
        <v>234</v>
      </c>
      <c r="E70" s="123" t="s">
        <v>6</v>
      </c>
      <c r="F70" s="123" t="s">
        <v>224</v>
      </c>
      <c r="G70" s="66">
        <v>34.6</v>
      </c>
      <c r="H70" s="67">
        <v>432</v>
      </c>
      <c r="I70" s="124" t="str">
        <f t="shared" si="4"/>
        <v>OK</v>
      </c>
      <c r="J70" s="140" t="str">
        <f t="shared" si="5"/>
        <v/>
      </c>
    </row>
    <row r="71" spans="1:10" ht="24" customHeight="1" thickBot="1" x14ac:dyDescent="0.3">
      <c r="A71" s="134" t="s">
        <v>236</v>
      </c>
      <c r="B71" s="122">
        <v>45778</v>
      </c>
      <c r="C71" s="122">
        <v>46142</v>
      </c>
      <c r="D71" s="123" t="s">
        <v>234</v>
      </c>
      <c r="E71" s="123" t="s">
        <v>6</v>
      </c>
      <c r="F71" s="123" t="s">
        <v>224</v>
      </c>
      <c r="G71" s="66">
        <v>32.01</v>
      </c>
      <c r="H71" s="67">
        <v>399.6</v>
      </c>
      <c r="I71" s="124" t="str">
        <f t="shared" si="4"/>
        <v>OK</v>
      </c>
      <c r="J71" s="140" t="str">
        <f t="shared" si="5"/>
        <v/>
      </c>
    </row>
    <row r="72" spans="1:10" ht="24" customHeight="1" x14ac:dyDescent="0.25">
      <c r="A72" s="133" t="s">
        <v>236</v>
      </c>
      <c r="B72" s="119">
        <v>45778</v>
      </c>
      <c r="C72" s="119">
        <v>46142</v>
      </c>
      <c r="D72" s="120" t="s">
        <v>7</v>
      </c>
      <c r="E72" s="120" t="s">
        <v>6</v>
      </c>
      <c r="F72" s="120" t="s">
        <v>225</v>
      </c>
      <c r="G72" s="64">
        <v>173</v>
      </c>
      <c r="H72" s="65">
        <v>2160</v>
      </c>
      <c r="I72" s="121" t="str">
        <f t="shared" si="4"/>
        <v>OK</v>
      </c>
      <c r="J72" s="139" t="str">
        <f t="shared" si="5"/>
        <v/>
      </c>
    </row>
    <row r="73" spans="1:10" ht="24" customHeight="1" x14ac:dyDescent="0.25">
      <c r="A73" s="134" t="s">
        <v>236</v>
      </c>
      <c r="B73" s="122">
        <v>45778</v>
      </c>
      <c r="C73" s="122">
        <v>46142</v>
      </c>
      <c r="D73" s="123" t="s">
        <v>7</v>
      </c>
      <c r="E73" s="123" t="s">
        <v>6</v>
      </c>
      <c r="F73" s="123" t="s">
        <v>225</v>
      </c>
      <c r="G73" s="66">
        <v>151.38</v>
      </c>
      <c r="H73" s="67">
        <v>1890</v>
      </c>
      <c r="I73" s="124" t="str">
        <f t="shared" si="4"/>
        <v>OK</v>
      </c>
      <c r="J73" s="140" t="str">
        <f t="shared" si="5"/>
        <v/>
      </c>
    </row>
    <row r="74" spans="1:10" ht="24" customHeight="1" x14ac:dyDescent="0.25">
      <c r="A74" s="134" t="s">
        <v>236</v>
      </c>
      <c r="B74" s="122">
        <v>45778</v>
      </c>
      <c r="C74" s="122">
        <v>46142</v>
      </c>
      <c r="D74" s="123" t="s">
        <v>7</v>
      </c>
      <c r="E74" s="123" t="s">
        <v>6</v>
      </c>
      <c r="F74" s="123" t="s">
        <v>225</v>
      </c>
      <c r="G74" s="66">
        <v>138.4</v>
      </c>
      <c r="H74" s="67">
        <v>1728</v>
      </c>
      <c r="I74" s="124" t="str">
        <f t="shared" si="4"/>
        <v>OK</v>
      </c>
      <c r="J74" s="140" t="str">
        <f t="shared" si="5"/>
        <v/>
      </c>
    </row>
    <row r="75" spans="1:10" ht="24" customHeight="1" x14ac:dyDescent="0.25">
      <c r="A75" s="134" t="s">
        <v>236</v>
      </c>
      <c r="B75" s="122">
        <v>45778</v>
      </c>
      <c r="C75" s="122">
        <v>46142</v>
      </c>
      <c r="D75" s="123" t="s">
        <v>7</v>
      </c>
      <c r="E75" s="123" t="s">
        <v>6</v>
      </c>
      <c r="F75" s="123" t="s">
        <v>225</v>
      </c>
      <c r="G75" s="66">
        <v>129.75</v>
      </c>
      <c r="H75" s="67">
        <v>1620</v>
      </c>
      <c r="I75" s="124" t="str">
        <f t="shared" si="4"/>
        <v>OK</v>
      </c>
      <c r="J75" s="140" t="str">
        <f t="shared" si="5"/>
        <v/>
      </c>
    </row>
    <row r="76" spans="1:10" ht="24" customHeight="1" x14ac:dyDescent="0.25">
      <c r="A76" s="134" t="s">
        <v>236</v>
      </c>
      <c r="B76" s="122">
        <v>45778</v>
      </c>
      <c r="C76" s="122">
        <v>46142</v>
      </c>
      <c r="D76" s="123" t="s">
        <v>7</v>
      </c>
      <c r="E76" s="123" t="s">
        <v>6</v>
      </c>
      <c r="F76" s="123" t="s">
        <v>225</v>
      </c>
      <c r="G76" s="66">
        <v>108.13</v>
      </c>
      <c r="H76" s="67">
        <v>1350</v>
      </c>
      <c r="I76" s="124" t="str">
        <f t="shared" si="4"/>
        <v>OK</v>
      </c>
      <c r="J76" s="140" t="str">
        <f t="shared" si="5"/>
        <v/>
      </c>
    </row>
    <row r="77" spans="1:10" ht="24" customHeight="1" x14ac:dyDescent="0.25">
      <c r="A77" s="134" t="s">
        <v>236</v>
      </c>
      <c r="B77" s="122">
        <v>45778</v>
      </c>
      <c r="C77" s="122">
        <v>46142</v>
      </c>
      <c r="D77" s="123" t="s">
        <v>7</v>
      </c>
      <c r="E77" s="123" t="s">
        <v>6</v>
      </c>
      <c r="F77" s="123" t="s">
        <v>225</v>
      </c>
      <c r="G77" s="66">
        <v>103.8</v>
      </c>
      <c r="H77" s="67">
        <v>1296</v>
      </c>
      <c r="I77" s="124" t="str">
        <f t="shared" si="4"/>
        <v>OK</v>
      </c>
      <c r="J77" s="140" t="str">
        <f t="shared" si="5"/>
        <v/>
      </c>
    </row>
    <row r="78" spans="1:10" ht="24" customHeight="1" x14ac:dyDescent="0.25">
      <c r="A78" s="134" t="s">
        <v>236</v>
      </c>
      <c r="B78" s="122">
        <v>45778</v>
      </c>
      <c r="C78" s="122">
        <v>46142</v>
      </c>
      <c r="D78" s="123" t="s">
        <v>7</v>
      </c>
      <c r="E78" s="123" t="s">
        <v>6</v>
      </c>
      <c r="F78" s="123" t="s">
        <v>225</v>
      </c>
      <c r="G78" s="66">
        <v>86.5</v>
      </c>
      <c r="H78" s="67">
        <v>1080</v>
      </c>
      <c r="I78" s="124" t="str">
        <f t="shared" si="4"/>
        <v>OK</v>
      </c>
      <c r="J78" s="140" t="str">
        <f t="shared" si="5"/>
        <v/>
      </c>
    </row>
    <row r="79" spans="1:10" ht="24" customHeight="1" x14ac:dyDescent="0.25">
      <c r="A79" s="134" t="s">
        <v>236</v>
      </c>
      <c r="B79" s="122">
        <v>45778</v>
      </c>
      <c r="C79" s="122">
        <v>46142</v>
      </c>
      <c r="D79" s="123" t="s">
        <v>7</v>
      </c>
      <c r="E79" s="123" t="s">
        <v>6</v>
      </c>
      <c r="F79" s="123" t="s">
        <v>225</v>
      </c>
      <c r="G79" s="66">
        <v>69.2</v>
      </c>
      <c r="H79" s="67">
        <v>864</v>
      </c>
      <c r="I79" s="124" t="str">
        <f t="shared" si="4"/>
        <v>OK</v>
      </c>
      <c r="J79" s="140" t="str">
        <f t="shared" si="5"/>
        <v/>
      </c>
    </row>
    <row r="80" spans="1:10" ht="24" customHeight="1" x14ac:dyDescent="0.25">
      <c r="A80" s="134" t="s">
        <v>236</v>
      </c>
      <c r="B80" s="122">
        <v>45778</v>
      </c>
      <c r="C80" s="122">
        <v>46142</v>
      </c>
      <c r="D80" s="123" t="s">
        <v>7</v>
      </c>
      <c r="E80" s="123" t="s">
        <v>6</v>
      </c>
      <c r="F80" s="123" t="s">
        <v>225</v>
      </c>
      <c r="G80" s="66">
        <v>51.9</v>
      </c>
      <c r="H80" s="67">
        <v>648</v>
      </c>
      <c r="I80" s="124" t="str">
        <f t="shared" si="4"/>
        <v>OK</v>
      </c>
      <c r="J80" s="140" t="str">
        <f t="shared" si="5"/>
        <v/>
      </c>
    </row>
    <row r="81" spans="1:10" ht="24" customHeight="1" x14ac:dyDescent="0.25">
      <c r="A81" s="134" t="s">
        <v>236</v>
      </c>
      <c r="B81" s="122">
        <v>45778</v>
      </c>
      <c r="C81" s="122">
        <v>46142</v>
      </c>
      <c r="D81" s="123" t="s">
        <v>7</v>
      </c>
      <c r="E81" s="123" t="s">
        <v>6</v>
      </c>
      <c r="F81" s="123" t="s">
        <v>225</v>
      </c>
      <c r="G81" s="66">
        <v>47.58</v>
      </c>
      <c r="H81" s="67">
        <v>594</v>
      </c>
      <c r="I81" s="124" t="str">
        <f t="shared" si="4"/>
        <v>OK</v>
      </c>
      <c r="J81" s="140" t="str">
        <f t="shared" si="5"/>
        <v/>
      </c>
    </row>
    <row r="82" spans="1:10" ht="24" customHeight="1" x14ac:dyDescent="0.25">
      <c r="A82" s="134" t="s">
        <v>236</v>
      </c>
      <c r="B82" s="122">
        <v>45778</v>
      </c>
      <c r="C82" s="122">
        <v>46142</v>
      </c>
      <c r="D82" s="123" t="s">
        <v>7</v>
      </c>
      <c r="E82" s="123" t="s">
        <v>6</v>
      </c>
      <c r="F82" s="123" t="s">
        <v>225</v>
      </c>
      <c r="G82" s="66">
        <v>43.25</v>
      </c>
      <c r="H82" s="67">
        <v>540</v>
      </c>
      <c r="I82" s="124" t="str">
        <f t="shared" si="4"/>
        <v>OK</v>
      </c>
      <c r="J82" s="140" t="str">
        <f t="shared" si="5"/>
        <v/>
      </c>
    </row>
    <row r="83" spans="1:10" ht="24" customHeight="1" x14ac:dyDescent="0.25">
      <c r="A83" s="134" t="s">
        <v>236</v>
      </c>
      <c r="B83" s="122">
        <v>45778</v>
      </c>
      <c r="C83" s="122">
        <v>46142</v>
      </c>
      <c r="D83" s="123" t="s">
        <v>7</v>
      </c>
      <c r="E83" s="123" t="s">
        <v>6</v>
      </c>
      <c r="F83" s="123" t="s">
        <v>225</v>
      </c>
      <c r="G83" s="66">
        <v>34.6</v>
      </c>
      <c r="H83" s="67">
        <v>432</v>
      </c>
      <c r="I83" s="124" t="str">
        <f t="shared" si="4"/>
        <v>OK</v>
      </c>
      <c r="J83" s="140" t="str">
        <f t="shared" si="5"/>
        <v/>
      </c>
    </row>
    <row r="84" spans="1:10" ht="24" customHeight="1" thickBot="1" x14ac:dyDescent="0.3">
      <c r="A84" s="134" t="s">
        <v>236</v>
      </c>
      <c r="B84" s="122">
        <v>45778</v>
      </c>
      <c r="C84" s="122">
        <v>46142</v>
      </c>
      <c r="D84" s="123" t="s">
        <v>7</v>
      </c>
      <c r="E84" s="123" t="s">
        <v>6</v>
      </c>
      <c r="F84" s="123" t="s">
        <v>225</v>
      </c>
      <c r="G84" s="66">
        <v>32.01</v>
      </c>
      <c r="H84" s="67">
        <v>399.6</v>
      </c>
      <c r="I84" s="124" t="str">
        <f t="shared" si="4"/>
        <v>OK</v>
      </c>
      <c r="J84" s="140" t="str">
        <f t="shared" si="5"/>
        <v/>
      </c>
    </row>
    <row r="85" spans="1:10" ht="24" customHeight="1" x14ac:dyDescent="0.25">
      <c r="A85" s="133" t="s">
        <v>236</v>
      </c>
      <c r="B85" s="119">
        <v>45778</v>
      </c>
      <c r="C85" s="119">
        <v>46142</v>
      </c>
      <c r="D85" s="120" t="s">
        <v>8</v>
      </c>
      <c r="E85" s="120" t="s">
        <v>6</v>
      </c>
      <c r="F85" s="120" t="s">
        <v>226</v>
      </c>
      <c r="G85" s="64">
        <v>173</v>
      </c>
      <c r="H85" s="65">
        <v>2163</v>
      </c>
      <c r="I85" s="121" t="str">
        <f t="shared" si="4"/>
        <v>OK</v>
      </c>
      <c r="J85" s="139" t="str">
        <f t="shared" si="5"/>
        <v/>
      </c>
    </row>
    <row r="86" spans="1:10" ht="24" customHeight="1" x14ac:dyDescent="0.25">
      <c r="A86" s="134" t="s">
        <v>236</v>
      </c>
      <c r="B86" s="122">
        <v>45778</v>
      </c>
      <c r="C86" s="122">
        <v>46142</v>
      </c>
      <c r="D86" s="123" t="s">
        <v>8</v>
      </c>
      <c r="E86" s="123" t="s">
        <v>6</v>
      </c>
      <c r="F86" s="123" t="s">
        <v>226</v>
      </c>
      <c r="G86" s="66">
        <v>151.38</v>
      </c>
      <c r="H86" s="67">
        <v>1892.63</v>
      </c>
      <c r="I86" s="124" t="str">
        <f t="shared" si="4"/>
        <v>OK</v>
      </c>
      <c r="J86" s="140" t="str">
        <f t="shared" si="5"/>
        <v/>
      </c>
    </row>
    <row r="87" spans="1:10" ht="24" customHeight="1" x14ac:dyDescent="0.25">
      <c r="A87" s="134" t="s">
        <v>236</v>
      </c>
      <c r="B87" s="122">
        <v>45778</v>
      </c>
      <c r="C87" s="122">
        <v>46142</v>
      </c>
      <c r="D87" s="123" t="s">
        <v>8</v>
      </c>
      <c r="E87" s="123" t="s">
        <v>6</v>
      </c>
      <c r="F87" s="123" t="s">
        <v>226</v>
      </c>
      <c r="G87" s="66">
        <v>138.4</v>
      </c>
      <c r="H87" s="67">
        <v>1730.4</v>
      </c>
      <c r="I87" s="124" t="str">
        <f t="shared" si="4"/>
        <v>OK</v>
      </c>
      <c r="J87" s="140" t="str">
        <f t="shared" si="5"/>
        <v/>
      </c>
    </row>
    <row r="88" spans="1:10" ht="24" customHeight="1" x14ac:dyDescent="0.25">
      <c r="A88" s="134" t="s">
        <v>236</v>
      </c>
      <c r="B88" s="122">
        <v>45778</v>
      </c>
      <c r="C88" s="122">
        <v>46142</v>
      </c>
      <c r="D88" s="123" t="s">
        <v>8</v>
      </c>
      <c r="E88" s="123" t="s">
        <v>6</v>
      </c>
      <c r="F88" s="123" t="s">
        <v>226</v>
      </c>
      <c r="G88" s="66">
        <v>129.75</v>
      </c>
      <c r="H88" s="67">
        <v>1622.25</v>
      </c>
      <c r="I88" s="124" t="str">
        <f t="shared" si="4"/>
        <v>OK</v>
      </c>
      <c r="J88" s="140" t="str">
        <f t="shared" si="5"/>
        <v/>
      </c>
    </row>
    <row r="89" spans="1:10" ht="24" customHeight="1" x14ac:dyDescent="0.25">
      <c r="A89" s="134" t="s">
        <v>236</v>
      </c>
      <c r="B89" s="122">
        <v>45778</v>
      </c>
      <c r="C89" s="122">
        <v>46142</v>
      </c>
      <c r="D89" s="123" t="s">
        <v>8</v>
      </c>
      <c r="E89" s="123" t="s">
        <v>6</v>
      </c>
      <c r="F89" s="123" t="s">
        <v>226</v>
      </c>
      <c r="G89" s="66">
        <v>108.13</v>
      </c>
      <c r="H89" s="67">
        <v>1351.88</v>
      </c>
      <c r="I89" s="124" t="str">
        <f t="shared" si="4"/>
        <v>OK</v>
      </c>
      <c r="J89" s="140" t="str">
        <f t="shared" si="5"/>
        <v/>
      </c>
    </row>
    <row r="90" spans="1:10" ht="24" customHeight="1" x14ac:dyDescent="0.25">
      <c r="A90" s="134" t="s">
        <v>236</v>
      </c>
      <c r="B90" s="122">
        <v>45778</v>
      </c>
      <c r="C90" s="122">
        <v>46142</v>
      </c>
      <c r="D90" s="123" t="s">
        <v>8</v>
      </c>
      <c r="E90" s="123" t="s">
        <v>6</v>
      </c>
      <c r="F90" s="123" t="s">
        <v>226</v>
      </c>
      <c r="G90" s="66">
        <v>103.8</v>
      </c>
      <c r="H90" s="67">
        <v>1297.8</v>
      </c>
      <c r="I90" s="124" t="str">
        <f t="shared" si="4"/>
        <v>OK</v>
      </c>
      <c r="J90" s="140" t="str">
        <f t="shared" si="5"/>
        <v/>
      </c>
    </row>
    <row r="91" spans="1:10" ht="24" customHeight="1" x14ac:dyDescent="0.25">
      <c r="A91" s="134" t="s">
        <v>236</v>
      </c>
      <c r="B91" s="122">
        <v>45778</v>
      </c>
      <c r="C91" s="122">
        <v>46142</v>
      </c>
      <c r="D91" s="123" t="s">
        <v>8</v>
      </c>
      <c r="E91" s="123" t="s">
        <v>6</v>
      </c>
      <c r="F91" s="123" t="s">
        <v>226</v>
      </c>
      <c r="G91" s="66">
        <v>86.5</v>
      </c>
      <c r="H91" s="67">
        <v>1081.5</v>
      </c>
      <c r="I91" s="124" t="str">
        <f t="shared" si="4"/>
        <v>OK</v>
      </c>
      <c r="J91" s="140" t="str">
        <f t="shared" si="5"/>
        <v/>
      </c>
    </row>
    <row r="92" spans="1:10" ht="24" customHeight="1" x14ac:dyDescent="0.25">
      <c r="A92" s="134" t="s">
        <v>236</v>
      </c>
      <c r="B92" s="122">
        <v>45778</v>
      </c>
      <c r="C92" s="122">
        <v>46142</v>
      </c>
      <c r="D92" s="123" t="s">
        <v>8</v>
      </c>
      <c r="E92" s="123" t="s">
        <v>6</v>
      </c>
      <c r="F92" s="123" t="s">
        <v>226</v>
      </c>
      <c r="G92" s="66">
        <v>69.2</v>
      </c>
      <c r="H92" s="67">
        <v>865.2</v>
      </c>
      <c r="I92" s="124" t="str">
        <f t="shared" si="4"/>
        <v>OK</v>
      </c>
      <c r="J92" s="140" t="str">
        <f t="shared" si="5"/>
        <v/>
      </c>
    </row>
    <row r="93" spans="1:10" ht="24" customHeight="1" x14ac:dyDescent="0.25">
      <c r="A93" s="134" t="s">
        <v>236</v>
      </c>
      <c r="B93" s="122">
        <v>45778</v>
      </c>
      <c r="C93" s="122">
        <v>46142</v>
      </c>
      <c r="D93" s="123" t="s">
        <v>8</v>
      </c>
      <c r="E93" s="123" t="s">
        <v>6</v>
      </c>
      <c r="F93" s="123" t="s">
        <v>226</v>
      </c>
      <c r="G93" s="66">
        <v>51.9</v>
      </c>
      <c r="H93" s="67">
        <v>648.9</v>
      </c>
      <c r="I93" s="124" t="str">
        <f t="shared" si="4"/>
        <v>OK</v>
      </c>
      <c r="J93" s="140" t="str">
        <f t="shared" si="5"/>
        <v/>
      </c>
    </row>
    <row r="94" spans="1:10" ht="24" customHeight="1" x14ac:dyDescent="0.25">
      <c r="A94" s="134" t="s">
        <v>236</v>
      </c>
      <c r="B94" s="122">
        <v>45778</v>
      </c>
      <c r="C94" s="122">
        <v>46142</v>
      </c>
      <c r="D94" s="123" t="s">
        <v>8</v>
      </c>
      <c r="E94" s="123" t="s">
        <v>6</v>
      </c>
      <c r="F94" s="123" t="s">
        <v>226</v>
      </c>
      <c r="G94" s="66">
        <v>47.58</v>
      </c>
      <c r="H94" s="67">
        <v>594.83000000000004</v>
      </c>
      <c r="I94" s="124" t="str">
        <f t="shared" si="4"/>
        <v>OK</v>
      </c>
      <c r="J94" s="140" t="str">
        <f t="shared" si="5"/>
        <v/>
      </c>
    </row>
    <row r="95" spans="1:10" ht="24" customHeight="1" x14ac:dyDescent="0.25">
      <c r="A95" s="134" t="s">
        <v>236</v>
      </c>
      <c r="B95" s="122">
        <v>45778</v>
      </c>
      <c r="C95" s="122">
        <v>46142</v>
      </c>
      <c r="D95" s="123" t="s">
        <v>8</v>
      </c>
      <c r="E95" s="123" t="s">
        <v>6</v>
      </c>
      <c r="F95" s="123" t="s">
        <v>226</v>
      </c>
      <c r="G95" s="66">
        <v>43.25</v>
      </c>
      <c r="H95" s="67">
        <v>540.75</v>
      </c>
      <c r="I95" s="124" t="str">
        <f t="shared" si="4"/>
        <v>OK</v>
      </c>
      <c r="J95" s="140" t="str">
        <f t="shared" si="5"/>
        <v/>
      </c>
    </row>
    <row r="96" spans="1:10" ht="24" customHeight="1" x14ac:dyDescent="0.25">
      <c r="A96" s="134" t="s">
        <v>236</v>
      </c>
      <c r="B96" s="122">
        <v>45778</v>
      </c>
      <c r="C96" s="122">
        <v>46142</v>
      </c>
      <c r="D96" s="123" t="s">
        <v>8</v>
      </c>
      <c r="E96" s="123" t="s">
        <v>6</v>
      </c>
      <c r="F96" s="123" t="s">
        <v>226</v>
      </c>
      <c r="G96" s="66">
        <v>34.6</v>
      </c>
      <c r="H96" s="67">
        <v>432.6</v>
      </c>
      <c r="I96" s="124" t="str">
        <f t="shared" si="4"/>
        <v>OK</v>
      </c>
      <c r="J96" s="140" t="str">
        <f t="shared" si="5"/>
        <v/>
      </c>
    </row>
    <row r="97" spans="1:10" ht="24" customHeight="1" thickBot="1" x14ac:dyDescent="0.3">
      <c r="A97" s="134" t="s">
        <v>236</v>
      </c>
      <c r="B97" s="122">
        <v>45778</v>
      </c>
      <c r="C97" s="122">
        <v>46142</v>
      </c>
      <c r="D97" s="123" t="s">
        <v>8</v>
      </c>
      <c r="E97" s="123" t="s">
        <v>6</v>
      </c>
      <c r="F97" s="123" t="s">
        <v>226</v>
      </c>
      <c r="G97" s="66">
        <v>32.01</v>
      </c>
      <c r="H97" s="67">
        <v>400.16</v>
      </c>
      <c r="I97" s="124" t="str">
        <f t="shared" si="4"/>
        <v>OK</v>
      </c>
      <c r="J97" s="140" t="str">
        <f t="shared" si="5"/>
        <v/>
      </c>
    </row>
    <row r="98" spans="1:10" ht="24" customHeight="1" x14ac:dyDescent="0.25">
      <c r="A98" s="133" t="s">
        <v>236</v>
      </c>
      <c r="B98" s="119">
        <v>45778</v>
      </c>
      <c r="C98" s="119">
        <v>46142</v>
      </c>
      <c r="D98" s="120" t="s">
        <v>9</v>
      </c>
      <c r="E98" s="120" t="s">
        <v>6</v>
      </c>
      <c r="F98" s="120" t="s">
        <v>227</v>
      </c>
      <c r="G98" s="64">
        <v>173</v>
      </c>
      <c r="H98" s="65">
        <v>2225</v>
      </c>
      <c r="I98" s="121" t="str">
        <f t="shared" si="4"/>
        <v>OK</v>
      </c>
      <c r="J98" s="139" t="str">
        <f t="shared" si="5"/>
        <v/>
      </c>
    </row>
    <row r="99" spans="1:10" ht="24" customHeight="1" x14ac:dyDescent="0.25">
      <c r="A99" s="134" t="s">
        <v>236</v>
      </c>
      <c r="B99" s="122">
        <v>45778</v>
      </c>
      <c r="C99" s="122">
        <v>46142</v>
      </c>
      <c r="D99" s="123" t="s">
        <v>9</v>
      </c>
      <c r="E99" s="123" t="s">
        <v>6</v>
      </c>
      <c r="F99" s="123" t="s">
        <v>227</v>
      </c>
      <c r="G99" s="66">
        <v>151.38</v>
      </c>
      <c r="H99" s="67">
        <v>1946.88</v>
      </c>
      <c r="I99" s="124" t="str">
        <f t="shared" si="4"/>
        <v>OK</v>
      </c>
      <c r="J99" s="140" t="str">
        <f t="shared" si="5"/>
        <v/>
      </c>
    </row>
    <row r="100" spans="1:10" ht="24" customHeight="1" x14ac:dyDescent="0.25">
      <c r="A100" s="134" t="s">
        <v>236</v>
      </c>
      <c r="B100" s="122">
        <v>45778</v>
      </c>
      <c r="C100" s="122">
        <v>46142</v>
      </c>
      <c r="D100" s="123" t="s">
        <v>9</v>
      </c>
      <c r="E100" s="123" t="s">
        <v>6</v>
      </c>
      <c r="F100" s="123" t="s">
        <v>227</v>
      </c>
      <c r="G100" s="66">
        <v>138.4</v>
      </c>
      <c r="H100" s="67">
        <v>1780</v>
      </c>
      <c r="I100" s="124" t="str">
        <f t="shared" si="4"/>
        <v>OK</v>
      </c>
      <c r="J100" s="140" t="str">
        <f t="shared" si="5"/>
        <v/>
      </c>
    </row>
    <row r="101" spans="1:10" ht="24" customHeight="1" x14ac:dyDescent="0.25">
      <c r="A101" s="134" t="s">
        <v>236</v>
      </c>
      <c r="B101" s="122">
        <v>45778</v>
      </c>
      <c r="C101" s="122">
        <v>46142</v>
      </c>
      <c r="D101" s="123" t="s">
        <v>9</v>
      </c>
      <c r="E101" s="123" t="s">
        <v>6</v>
      </c>
      <c r="F101" s="123" t="s">
        <v>227</v>
      </c>
      <c r="G101" s="66">
        <v>129.75</v>
      </c>
      <c r="H101" s="67">
        <v>1668.75</v>
      </c>
      <c r="I101" s="124" t="str">
        <f t="shared" ref="I101:I132" si="6">IF($A101="","",IF(OR($B101="",$C101="",$D101="",$E101="",$F101=""),"Stammdaten fehlen",IF(AND($G101="",$H101=""),"Werte fehlen",IF($G101="","Monatsstunden fehlen",IF($H101="","Monatslohn fehlt","OK")))))</f>
        <v>OK</v>
      </c>
      <c r="J101" s="140" t="str">
        <f t="shared" ref="J101:J132" si="7">IF($G101="","",IF(COUNTIFS($A:$A,$A101,$D:$D,$D101,$G:$G,$G101)&gt;1,"Doppelte Monatsstunden",""))</f>
        <v/>
      </c>
    </row>
    <row r="102" spans="1:10" ht="24" customHeight="1" x14ac:dyDescent="0.25">
      <c r="A102" s="134" t="s">
        <v>236</v>
      </c>
      <c r="B102" s="122">
        <v>45778</v>
      </c>
      <c r="C102" s="122">
        <v>46142</v>
      </c>
      <c r="D102" s="123" t="s">
        <v>9</v>
      </c>
      <c r="E102" s="123" t="s">
        <v>6</v>
      </c>
      <c r="F102" s="123" t="s">
        <v>227</v>
      </c>
      <c r="G102" s="66">
        <v>108.13</v>
      </c>
      <c r="H102" s="67">
        <v>1390.63</v>
      </c>
      <c r="I102" s="124" t="str">
        <f t="shared" si="6"/>
        <v>OK</v>
      </c>
      <c r="J102" s="140" t="str">
        <f t="shared" si="7"/>
        <v/>
      </c>
    </row>
    <row r="103" spans="1:10" ht="24" customHeight="1" x14ac:dyDescent="0.25">
      <c r="A103" s="134" t="s">
        <v>236</v>
      </c>
      <c r="B103" s="122">
        <v>45778</v>
      </c>
      <c r="C103" s="122">
        <v>46142</v>
      </c>
      <c r="D103" s="123" t="s">
        <v>9</v>
      </c>
      <c r="E103" s="123" t="s">
        <v>6</v>
      </c>
      <c r="F103" s="123" t="s">
        <v>227</v>
      </c>
      <c r="G103" s="66">
        <v>103.8</v>
      </c>
      <c r="H103" s="67">
        <v>1335</v>
      </c>
      <c r="I103" s="124" t="str">
        <f t="shared" si="6"/>
        <v>OK</v>
      </c>
      <c r="J103" s="140" t="str">
        <f t="shared" si="7"/>
        <v/>
      </c>
    </row>
    <row r="104" spans="1:10" ht="24" customHeight="1" x14ac:dyDescent="0.25">
      <c r="A104" s="134" t="s">
        <v>236</v>
      </c>
      <c r="B104" s="122">
        <v>45778</v>
      </c>
      <c r="C104" s="122">
        <v>46142</v>
      </c>
      <c r="D104" s="123" t="s">
        <v>9</v>
      </c>
      <c r="E104" s="123" t="s">
        <v>6</v>
      </c>
      <c r="F104" s="123" t="s">
        <v>227</v>
      </c>
      <c r="G104" s="66">
        <v>86.5</v>
      </c>
      <c r="H104" s="67">
        <v>1112.5</v>
      </c>
      <c r="I104" s="124" t="str">
        <f t="shared" si="6"/>
        <v>OK</v>
      </c>
      <c r="J104" s="140" t="str">
        <f t="shared" si="7"/>
        <v/>
      </c>
    </row>
    <row r="105" spans="1:10" ht="24" customHeight="1" x14ac:dyDescent="0.25">
      <c r="A105" s="134" t="s">
        <v>236</v>
      </c>
      <c r="B105" s="122">
        <v>45778</v>
      </c>
      <c r="C105" s="122">
        <v>46142</v>
      </c>
      <c r="D105" s="123" t="s">
        <v>9</v>
      </c>
      <c r="E105" s="123" t="s">
        <v>6</v>
      </c>
      <c r="F105" s="123" t="s">
        <v>227</v>
      </c>
      <c r="G105" s="66">
        <v>69.2</v>
      </c>
      <c r="H105" s="67">
        <v>890</v>
      </c>
      <c r="I105" s="124" t="str">
        <f t="shared" si="6"/>
        <v>OK</v>
      </c>
      <c r="J105" s="140" t="str">
        <f t="shared" si="7"/>
        <v/>
      </c>
    </row>
    <row r="106" spans="1:10" ht="24" customHeight="1" x14ac:dyDescent="0.25">
      <c r="A106" s="134" t="s">
        <v>236</v>
      </c>
      <c r="B106" s="122">
        <v>45778</v>
      </c>
      <c r="C106" s="122">
        <v>46142</v>
      </c>
      <c r="D106" s="123" t="s">
        <v>9</v>
      </c>
      <c r="E106" s="123" t="s">
        <v>6</v>
      </c>
      <c r="F106" s="123" t="s">
        <v>227</v>
      </c>
      <c r="G106" s="66">
        <v>51.9</v>
      </c>
      <c r="H106" s="67">
        <v>667.5</v>
      </c>
      <c r="I106" s="124" t="str">
        <f t="shared" si="6"/>
        <v>OK</v>
      </c>
      <c r="J106" s="140" t="str">
        <f t="shared" si="7"/>
        <v/>
      </c>
    </row>
    <row r="107" spans="1:10" ht="24" customHeight="1" x14ac:dyDescent="0.25">
      <c r="A107" s="134" t="s">
        <v>236</v>
      </c>
      <c r="B107" s="122">
        <v>45778</v>
      </c>
      <c r="C107" s="122">
        <v>46142</v>
      </c>
      <c r="D107" s="123" t="s">
        <v>9</v>
      </c>
      <c r="E107" s="123" t="s">
        <v>6</v>
      </c>
      <c r="F107" s="123" t="s">
        <v>227</v>
      </c>
      <c r="G107" s="66">
        <v>47.58</v>
      </c>
      <c r="H107" s="67">
        <v>611.88</v>
      </c>
      <c r="I107" s="124" t="str">
        <f t="shared" si="6"/>
        <v>OK</v>
      </c>
      <c r="J107" s="140" t="str">
        <f t="shared" si="7"/>
        <v/>
      </c>
    </row>
    <row r="108" spans="1:10" ht="24" customHeight="1" x14ac:dyDescent="0.25">
      <c r="A108" s="134" t="s">
        <v>236</v>
      </c>
      <c r="B108" s="122">
        <v>45778</v>
      </c>
      <c r="C108" s="122">
        <v>46142</v>
      </c>
      <c r="D108" s="123" t="s">
        <v>9</v>
      </c>
      <c r="E108" s="123" t="s">
        <v>6</v>
      </c>
      <c r="F108" s="123" t="s">
        <v>227</v>
      </c>
      <c r="G108" s="66">
        <v>43.25</v>
      </c>
      <c r="H108" s="67">
        <v>556.25</v>
      </c>
      <c r="I108" s="124" t="str">
        <f t="shared" si="6"/>
        <v>OK</v>
      </c>
      <c r="J108" s="140" t="str">
        <f t="shared" si="7"/>
        <v/>
      </c>
    </row>
    <row r="109" spans="1:10" ht="24" customHeight="1" x14ac:dyDescent="0.25">
      <c r="A109" s="134" t="s">
        <v>236</v>
      </c>
      <c r="B109" s="122">
        <v>45778</v>
      </c>
      <c r="C109" s="122">
        <v>46142</v>
      </c>
      <c r="D109" s="123" t="s">
        <v>9</v>
      </c>
      <c r="E109" s="123" t="s">
        <v>6</v>
      </c>
      <c r="F109" s="123" t="s">
        <v>227</v>
      </c>
      <c r="G109" s="66">
        <v>34.6</v>
      </c>
      <c r="H109" s="67">
        <v>445</v>
      </c>
      <c r="I109" s="124" t="str">
        <f t="shared" si="6"/>
        <v>OK</v>
      </c>
      <c r="J109" s="140" t="str">
        <f t="shared" si="7"/>
        <v/>
      </c>
    </row>
    <row r="110" spans="1:10" ht="24" customHeight="1" thickBot="1" x14ac:dyDescent="0.3">
      <c r="A110" s="134" t="s">
        <v>236</v>
      </c>
      <c r="B110" s="122">
        <v>45778</v>
      </c>
      <c r="C110" s="122">
        <v>46142</v>
      </c>
      <c r="D110" s="123" t="s">
        <v>9</v>
      </c>
      <c r="E110" s="123" t="s">
        <v>6</v>
      </c>
      <c r="F110" s="123" t="s">
        <v>227</v>
      </c>
      <c r="G110" s="66">
        <v>32.01</v>
      </c>
      <c r="H110" s="67">
        <v>411.63</v>
      </c>
      <c r="I110" s="124" t="str">
        <f t="shared" si="6"/>
        <v>OK</v>
      </c>
      <c r="J110" s="140" t="str">
        <f t="shared" si="7"/>
        <v/>
      </c>
    </row>
    <row r="111" spans="1:10" ht="24" customHeight="1" x14ac:dyDescent="0.25">
      <c r="A111" s="135" t="s">
        <v>236</v>
      </c>
      <c r="B111" s="125">
        <v>45778</v>
      </c>
      <c r="C111" s="125">
        <v>46142</v>
      </c>
      <c r="D111" s="126" t="s">
        <v>235</v>
      </c>
      <c r="E111" s="126" t="s">
        <v>10</v>
      </c>
      <c r="F111" s="126" t="s">
        <v>224</v>
      </c>
      <c r="G111" s="68">
        <v>173</v>
      </c>
      <c r="H111" s="69">
        <v>2300</v>
      </c>
      <c r="I111" s="127" t="str">
        <f t="shared" si="6"/>
        <v>OK</v>
      </c>
      <c r="J111" s="141" t="str">
        <f t="shared" si="7"/>
        <v/>
      </c>
    </row>
    <row r="112" spans="1:10" ht="24" customHeight="1" x14ac:dyDescent="0.25">
      <c r="A112" s="136" t="s">
        <v>236</v>
      </c>
      <c r="B112" s="128">
        <v>45778</v>
      </c>
      <c r="C112" s="128">
        <v>46142</v>
      </c>
      <c r="D112" s="129" t="s">
        <v>235</v>
      </c>
      <c r="E112" s="129" t="s">
        <v>10</v>
      </c>
      <c r="F112" s="129" t="s">
        <v>224</v>
      </c>
      <c r="G112" s="70">
        <v>151.38</v>
      </c>
      <c r="H112" s="71">
        <v>2012.5</v>
      </c>
      <c r="I112" s="130" t="str">
        <f t="shared" si="6"/>
        <v>OK</v>
      </c>
      <c r="J112" s="142" t="str">
        <f t="shared" si="7"/>
        <v/>
      </c>
    </row>
    <row r="113" spans="1:10" ht="24" customHeight="1" x14ac:dyDescent="0.25">
      <c r="A113" s="136" t="s">
        <v>236</v>
      </c>
      <c r="B113" s="128">
        <v>45778</v>
      </c>
      <c r="C113" s="128">
        <v>46142</v>
      </c>
      <c r="D113" s="129" t="s">
        <v>235</v>
      </c>
      <c r="E113" s="129" t="s">
        <v>10</v>
      </c>
      <c r="F113" s="129" t="s">
        <v>224</v>
      </c>
      <c r="G113" s="70">
        <v>138.4</v>
      </c>
      <c r="H113" s="71">
        <v>1840</v>
      </c>
      <c r="I113" s="130" t="str">
        <f t="shared" si="6"/>
        <v>OK</v>
      </c>
      <c r="J113" s="142" t="str">
        <f t="shared" si="7"/>
        <v/>
      </c>
    </row>
    <row r="114" spans="1:10" ht="24" customHeight="1" x14ac:dyDescent="0.25">
      <c r="A114" s="136" t="s">
        <v>236</v>
      </c>
      <c r="B114" s="128">
        <v>45778</v>
      </c>
      <c r="C114" s="128">
        <v>46142</v>
      </c>
      <c r="D114" s="129" t="s">
        <v>235</v>
      </c>
      <c r="E114" s="129" t="s">
        <v>10</v>
      </c>
      <c r="F114" s="129" t="s">
        <v>224</v>
      </c>
      <c r="G114" s="70">
        <v>129.75</v>
      </c>
      <c r="H114" s="71">
        <v>1725</v>
      </c>
      <c r="I114" s="130" t="str">
        <f t="shared" si="6"/>
        <v>OK</v>
      </c>
      <c r="J114" s="142" t="str">
        <f t="shared" si="7"/>
        <v/>
      </c>
    </row>
    <row r="115" spans="1:10" ht="24" customHeight="1" x14ac:dyDescent="0.25">
      <c r="A115" s="136" t="s">
        <v>236</v>
      </c>
      <c r="B115" s="128">
        <v>45778</v>
      </c>
      <c r="C115" s="128">
        <v>46142</v>
      </c>
      <c r="D115" s="129" t="s">
        <v>235</v>
      </c>
      <c r="E115" s="129" t="s">
        <v>10</v>
      </c>
      <c r="F115" s="129" t="s">
        <v>224</v>
      </c>
      <c r="G115" s="70">
        <v>108.13</v>
      </c>
      <c r="H115" s="71">
        <v>1437.5</v>
      </c>
      <c r="I115" s="130" t="str">
        <f t="shared" si="6"/>
        <v>OK</v>
      </c>
      <c r="J115" s="142" t="str">
        <f t="shared" si="7"/>
        <v/>
      </c>
    </row>
    <row r="116" spans="1:10" ht="24" customHeight="1" x14ac:dyDescent="0.25">
      <c r="A116" s="136" t="s">
        <v>236</v>
      </c>
      <c r="B116" s="128">
        <v>45778</v>
      </c>
      <c r="C116" s="128">
        <v>46142</v>
      </c>
      <c r="D116" s="129" t="s">
        <v>235</v>
      </c>
      <c r="E116" s="129" t="s">
        <v>10</v>
      </c>
      <c r="F116" s="129" t="s">
        <v>224</v>
      </c>
      <c r="G116" s="70">
        <v>103.8</v>
      </c>
      <c r="H116" s="71">
        <v>1380</v>
      </c>
      <c r="I116" s="130" t="str">
        <f t="shared" si="6"/>
        <v>OK</v>
      </c>
      <c r="J116" s="142" t="str">
        <f t="shared" si="7"/>
        <v/>
      </c>
    </row>
    <row r="117" spans="1:10" ht="24" customHeight="1" x14ac:dyDescent="0.25">
      <c r="A117" s="136" t="s">
        <v>236</v>
      </c>
      <c r="B117" s="128">
        <v>45778</v>
      </c>
      <c r="C117" s="128">
        <v>46142</v>
      </c>
      <c r="D117" s="129" t="s">
        <v>235</v>
      </c>
      <c r="E117" s="129" t="s">
        <v>10</v>
      </c>
      <c r="F117" s="129" t="s">
        <v>224</v>
      </c>
      <c r="G117" s="70">
        <v>86.5</v>
      </c>
      <c r="H117" s="71">
        <v>1150</v>
      </c>
      <c r="I117" s="130" t="str">
        <f t="shared" si="6"/>
        <v>OK</v>
      </c>
      <c r="J117" s="142" t="str">
        <f t="shared" si="7"/>
        <v/>
      </c>
    </row>
    <row r="118" spans="1:10" ht="24" customHeight="1" x14ac:dyDescent="0.25">
      <c r="A118" s="136" t="s">
        <v>236</v>
      </c>
      <c r="B118" s="128">
        <v>45778</v>
      </c>
      <c r="C118" s="128">
        <v>46142</v>
      </c>
      <c r="D118" s="129" t="s">
        <v>235</v>
      </c>
      <c r="E118" s="129" t="s">
        <v>10</v>
      </c>
      <c r="F118" s="129" t="s">
        <v>224</v>
      </c>
      <c r="G118" s="70">
        <v>69.2</v>
      </c>
      <c r="H118" s="71">
        <v>920</v>
      </c>
      <c r="I118" s="130" t="str">
        <f t="shared" si="6"/>
        <v>OK</v>
      </c>
      <c r="J118" s="142" t="str">
        <f t="shared" si="7"/>
        <v/>
      </c>
    </row>
    <row r="119" spans="1:10" ht="24" customHeight="1" x14ac:dyDescent="0.25">
      <c r="A119" s="136" t="s">
        <v>236</v>
      </c>
      <c r="B119" s="128">
        <v>45778</v>
      </c>
      <c r="C119" s="128">
        <v>46142</v>
      </c>
      <c r="D119" s="129" t="s">
        <v>235</v>
      </c>
      <c r="E119" s="129" t="s">
        <v>10</v>
      </c>
      <c r="F119" s="129" t="s">
        <v>224</v>
      </c>
      <c r="G119" s="70">
        <v>51.9</v>
      </c>
      <c r="H119" s="71">
        <v>690</v>
      </c>
      <c r="I119" s="130" t="str">
        <f t="shared" si="6"/>
        <v>OK</v>
      </c>
      <c r="J119" s="142" t="str">
        <f t="shared" si="7"/>
        <v/>
      </c>
    </row>
    <row r="120" spans="1:10" ht="24" customHeight="1" x14ac:dyDescent="0.25">
      <c r="A120" s="136" t="s">
        <v>236</v>
      </c>
      <c r="B120" s="128">
        <v>45778</v>
      </c>
      <c r="C120" s="128">
        <v>46142</v>
      </c>
      <c r="D120" s="129" t="s">
        <v>235</v>
      </c>
      <c r="E120" s="129" t="s">
        <v>10</v>
      </c>
      <c r="F120" s="129" t="s">
        <v>224</v>
      </c>
      <c r="G120" s="70">
        <v>47.58</v>
      </c>
      <c r="H120" s="71">
        <v>632.5</v>
      </c>
      <c r="I120" s="130" t="str">
        <f t="shared" si="6"/>
        <v>OK</v>
      </c>
      <c r="J120" s="142" t="str">
        <f t="shared" si="7"/>
        <v/>
      </c>
    </row>
    <row r="121" spans="1:10" ht="24" customHeight="1" x14ac:dyDescent="0.25">
      <c r="A121" s="136" t="s">
        <v>236</v>
      </c>
      <c r="B121" s="128">
        <v>45778</v>
      </c>
      <c r="C121" s="128">
        <v>46142</v>
      </c>
      <c r="D121" s="129" t="s">
        <v>235</v>
      </c>
      <c r="E121" s="129" t="s">
        <v>10</v>
      </c>
      <c r="F121" s="129" t="s">
        <v>224</v>
      </c>
      <c r="G121" s="70">
        <v>43.25</v>
      </c>
      <c r="H121" s="71">
        <v>575</v>
      </c>
      <c r="I121" s="130" t="str">
        <f t="shared" si="6"/>
        <v>OK</v>
      </c>
      <c r="J121" s="142" t="str">
        <f t="shared" si="7"/>
        <v/>
      </c>
    </row>
    <row r="122" spans="1:10" ht="24" customHeight="1" x14ac:dyDescent="0.25">
      <c r="A122" s="136" t="s">
        <v>236</v>
      </c>
      <c r="B122" s="128">
        <v>45778</v>
      </c>
      <c r="C122" s="128">
        <v>46142</v>
      </c>
      <c r="D122" s="129" t="s">
        <v>235</v>
      </c>
      <c r="E122" s="129" t="s">
        <v>10</v>
      </c>
      <c r="F122" s="129" t="s">
        <v>224</v>
      </c>
      <c r="G122" s="70">
        <v>34.6</v>
      </c>
      <c r="H122" s="71">
        <v>460</v>
      </c>
      <c r="I122" s="130" t="str">
        <f t="shared" si="6"/>
        <v>OK</v>
      </c>
      <c r="J122" s="142" t="str">
        <f t="shared" si="7"/>
        <v/>
      </c>
    </row>
    <row r="123" spans="1:10" ht="24" customHeight="1" thickBot="1" x14ac:dyDescent="0.3">
      <c r="A123" s="136" t="s">
        <v>236</v>
      </c>
      <c r="B123" s="128">
        <v>45778</v>
      </c>
      <c r="C123" s="128">
        <v>46142</v>
      </c>
      <c r="D123" s="129" t="s">
        <v>235</v>
      </c>
      <c r="E123" s="129" t="s">
        <v>10</v>
      </c>
      <c r="F123" s="129" t="s">
        <v>224</v>
      </c>
      <c r="G123" s="70">
        <v>32.01</v>
      </c>
      <c r="H123" s="71">
        <v>425.5</v>
      </c>
      <c r="I123" s="130" t="str">
        <f t="shared" si="6"/>
        <v>OK</v>
      </c>
      <c r="J123" s="142" t="str">
        <f t="shared" si="7"/>
        <v/>
      </c>
    </row>
    <row r="124" spans="1:10" ht="24" customHeight="1" x14ac:dyDescent="0.25">
      <c r="A124" s="135" t="s">
        <v>236</v>
      </c>
      <c r="B124" s="125">
        <v>45778</v>
      </c>
      <c r="C124" s="125">
        <v>46142</v>
      </c>
      <c r="D124" s="126" t="s">
        <v>11</v>
      </c>
      <c r="E124" s="126" t="s">
        <v>10</v>
      </c>
      <c r="F124" s="126" t="s">
        <v>225</v>
      </c>
      <c r="G124" s="68">
        <v>173</v>
      </c>
      <c r="H124" s="69">
        <v>2300</v>
      </c>
      <c r="I124" s="127" t="str">
        <f t="shared" si="6"/>
        <v>OK</v>
      </c>
      <c r="J124" s="141" t="str">
        <f t="shared" si="7"/>
        <v/>
      </c>
    </row>
    <row r="125" spans="1:10" ht="24" customHeight="1" x14ac:dyDescent="0.25">
      <c r="A125" s="136" t="s">
        <v>236</v>
      </c>
      <c r="B125" s="128">
        <v>45778</v>
      </c>
      <c r="C125" s="128">
        <v>46142</v>
      </c>
      <c r="D125" s="129" t="s">
        <v>11</v>
      </c>
      <c r="E125" s="129" t="s">
        <v>10</v>
      </c>
      <c r="F125" s="129" t="s">
        <v>225</v>
      </c>
      <c r="G125" s="70">
        <v>151.38</v>
      </c>
      <c r="H125" s="71">
        <v>2012.5</v>
      </c>
      <c r="I125" s="130" t="str">
        <f t="shared" si="6"/>
        <v>OK</v>
      </c>
      <c r="J125" s="142" t="str">
        <f t="shared" si="7"/>
        <v/>
      </c>
    </row>
    <row r="126" spans="1:10" ht="24" customHeight="1" x14ac:dyDescent="0.25">
      <c r="A126" s="136" t="s">
        <v>236</v>
      </c>
      <c r="B126" s="128">
        <v>45778</v>
      </c>
      <c r="C126" s="128">
        <v>46142</v>
      </c>
      <c r="D126" s="129" t="s">
        <v>11</v>
      </c>
      <c r="E126" s="129" t="s">
        <v>10</v>
      </c>
      <c r="F126" s="129" t="s">
        <v>225</v>
      </c>
      <c r="G126" s="70">
        <v>138.4</v>
      </c>
      <c r="H126" s="71">
        <v>1840</v>
      </c>
      <c r="I126" s="130" t="str">
        <f t="shared" si="6"/>
        <v>OK</v>
      </c>
      <c r="J126" s="142" t="str">
        <f t="shared" si="7"/>
        <v/>
      </c>
    </row>
    <row r="127" spans="1:10" ht="24" customHeight="1" x14ac:dyDescent="0.25">
      <c r="A127" s="136" t="s">
        <v>236</v>
      </c>
      <c r="B127" s="128">
        <v>45778</v>
      </c>
      <c r="C127" s="128">
        <v>46142</v>
      </c>
      <c r="D127" s="129" t="s">
        <v>11</v>
      </c>
      <c r="E127" s="129" t="s">
        <v>10</v>
      </c>
      <c r="F127" s="129" t="s">
        <v>225</v>
      </c>
      <c r="G127" s="70">
        <v>129.75</v>
      </c>
      <c r="H127" s="71">
        <v>1725</v>
      </c>
      <c r="I127" s="130" t="str">
        <f t="shared" si="6"/>
        <v>OK</v>
      </c>
      <c r="J127" s="142" t="str">
        <f t="shared" si="7"/>
        <v/>
      </c>
    </row>
    <row r="128" spans="1:10" ht="24" customHeight="1" x14ac:dyDescent="0.25">
      <c r="A128" s="136" t="s">
        <v>236</v>
      </c>
      <c r="B128" s="128">
        <v>45778</v>
      </c>
      <c r="C128" s="128">
        <v>46142</v>
      </c>
      <c r="D128" s="129" t="s">
        <v>11</v>
      </c>
      <c r="E128" s="129" t="s">
        <v>10</v>
      </c>
      <c r="F128" s="129" t="s">
        <v>225</v>
      </c>
      <c r="G128" s="70">
        <v>108.13</v>
      </c>
      <c r="H128" s="71">
        <v>1437.5</v>
      </c>
      <c r="I128" s="130" t="str">
        <f t="shared" si="6"/>
        <v>OK</v>
      </c>
      <c r="J128" s="142" t="str">
        <f t="shared" si="7"/>
        <v/>
      </c>
    </row>
    <row r="129" spans="1:10" ht="24" customHeight="1" x14ac:dyDescent="0.25">
      <c r="A129" s="136" t="s">
        <v>236</v>
      </c>
      <c r="B129" s="128">
        <v>45778</v>
      </c>
      <c r="C129" s="128">
        <v>46142</v>
      </c>
      <c r="D129" s="129" t="s">
        <v>11</v>
      </c>
      <c r="E129" s="129" t="s">
        <v>10</v>
      </c>
      <c r="F129" s="129" t="s">
        <v>225</v>
      </c>
      <c r="G129" s="70">
        <v>103.8</v>
      </c>
      <c r="H129" s="71">
        <v>1380</v>
      </c>
      <c r="I129" s="130" t="str">
        <f t="shared" si="6"/>
        <v>OK</v>
      </c>
      <c r="J129" s="142" t="str">
        <f t="shared" si="7"/>
        <v/>
      </c>
    </row>
    <row r="130" spans="1:10" ht="24" customHeight="1" x14ac:dyDescent="0.25">
      <c r="A130" s="136" t="s">
        <v>236</v>
      </c>
      <c r="B130" s="128">
        <v>45778</v>
      </c>
      <c r="C130" s="128">
        <v>46142</v>
      </c>
      <c r="D130" s="129" t="s">
        <v>11</v>
      </c>
      <c r="E130" s="129" t="s">
        <v>10</v>
      </c>
      <c r="F130" s="129" t="s">
        <v>225</v>
      </c>
      <c r="G130" s="70">
        <v>86.5</v>
      </c>
      <c r="H130" s="71">
        <v>1150</v>
      </c>
      <c r="I130" s="130" t="str">
        <f t="shared" si="6"/>
        <v>OK</v>
      </c>
      <c r="J130" s="142" t="str">
        <f t="shared" si="7"/>
        <v/>
      </c>
    </row>
    <row r="131" spans="1:10" ht="24" customHeight="1" x14ac:dyDescent="0.25">
      <c r="A131" s="136" t="s">
        <v>236</v>
      </c>
      <c r="B131" s="128">
        <v>45778</v>
      </c>
      <c r="C131" s="128">
        <v>46142</v>
      </c>
      <c r="D131" s="129" t="s">
        <v>11</v>
      </c>
      <c r="E131" s="129" t="s">
        <v>10</v>
      </c>
      <c r="F131" s="129" t="s">
        <v>225</v>
      </c>
      <c r="G131" s="70">
        <v>69.2</v>
      </c>
      <c r="H131" s="71">
        <v>920</v>
      </c>
      <c r="I131" s="130" t="str">
        <f t="shared" si="6"/>
        <v>OK</v>
      </c>
      <c r="J131" s="142" t="str">
        <f t="shared" si="7"/>
        <v/>
      </c>
    </row>
    <row r="132" spans="1:10" ht="24" customHeight="1" x14ac:dyDescent="0.25">
      <c r="A132" s="136" t="s">
        <v>236</v>
      </c>
      <c r="B132" s="128">
        <v>45778</v>
      </c>
      <c r="C132" s="128">
        <v>46142</v>
      </c>
      <c r="D132" s="129" t="s">
        <v>11</v>
      </c>
      <c r="E132" s="129" t="s">
        <v>10</v>
      </c>
      <c r="F132" s="129" t="s">
        <v>225</v>
      </c>
      <c r="G132" s="70">
        <v>51.9</v>
      </c>
      <c r="H132" s="71">
        <v>690</v>
      </c>
      <c r="I132" s="130" t="str">
        <f t="shared" si="6"/>
        <v>OK</v>
      </c>
      <c r="J132" s="142" t="str">
        <f t="shared" si="7"/>
        <v/>
      </c>
    </row>
    <row r="133" spans="1:10" ht="24" customHeight="1" x14ac:dyDescent="0.25">
      <c r="A133" s="136" t="s">
        <v>236</v>
      </c>
      <c r="B133" s="128">
        <v>45778</v>
      </c>
      <c r="C133" s="128">
        <v>46142</v>
      </c>
      <c r="D133" s="129" t="s">
        <v>11</v>
      </c>
      <c r="E133" s="129" t="s">
        <v>10</v>
      </c>
      <c r="F133" s="129" t="s">
        <v>225</v>
      </c>
      <c r="G133" s="70">
        <v>47.58</v>
      </c>
      <c r="H133" s="71">
        <v>632.5</v>
      </c>
      <c r="I133" s="130" t="str">
        <f t="shared" ref="I133:I162" si="8">IF($A133="","",IF(OR($B133="",$C133="",$D133="",$E133="",$F133=""),"Stammdaten fehlen",IF(AND($G133="",$H133=""),"Werte fehlen",IF($G133="","Monatsstunden fehlen",IF($H133="","Monatslohn fehlt","OK")))))</f>
        <v>OK</v>
      </c>
      <c r="J133" s="142" t="str">
        <f t="shared" ref="J133:J162" si="9">IF($G133="","",IF(COUNTIFS($A:$A,$A133,$D:$D,$D133,$G:$G,$G133)&gt;1,"Doppelte Monatsstunden",""))</f>
        <v/>
      </c>
    </row>
    <row r="134" spans="1:10" ht="24" customHeight="1" x14ac:dyDescent="0.25">
      <c r="A134" s="136" t="s">
        <v>236</v>
      </c>
      <c r="B134" s="128">
        <v>45778</v>
      </c>
      <c r="C134" s="128">
        <v>46142</v>
      </c>
      <c r="D134" s="129" t="s">
        <v>11</v>
      </c>
      <c r="E134" s="129" t="s">
        <v>10</v>
      </c>
      <c r="F134" s="129" t="s">
        <v>225</v>
      </c>
      <c r="G134" s="70">
        <v>43.25</v>
      </c>
      <c r="H134" s="71">
        <v>575</v>
      </c>
      <c r="I134" s="130" t="str">
        <f t="shared" si="8"/>
        <v>OK</v>
      </c>
      <c r="J134" s="142" t="str">
        <f t="shared" si="9"/>
        <v/>
      </c>
    </row>
    <row r="135" spans="1:10" ht="24" customHeight="1" x14ac:dyDescent="0.25">
      <c r="A135" s="136" t="s">
        <v>236</v>
      </c>
      <c r="B135" s="128">
        <v>45778</v>
      </c>
      <c r="C135" s="128">
        <v>46142</v>
      </c>
      <c r="D135" s="129" t="s">
        <v>11</v>
      </c>
      <c r="E135" s="129" t="s">
        <v>10</v>
      </c>
      <c r="F135" s="129" t="s">
        <v>225</v>
      </c>
      <c r="G135" s="70">
        <v>34.6</v>
      </c>
      <c r="H135" s="71">
        <v>460</v>
      </c>
      <c r="I135" s="130" t="str">
        <f t="shared" si="8"/>
        <v>OK</v>
      </c>
      <c r="J135" s="142" t="str">
        <f t="shared" si="9"/>
        <v/>
      </c>
    </row>
    <row r="136" spans="1:10" ht="24" customHeight="1" thickBot="1" x14ac:dyDescent="0.3">
      <c r="A136" s="136" t="s">
        <v>236</v>
      </c>
      <c r="B136" s="128">
        <v>45778</v>
      </c>
      <c r="C136" s="128">
        <v>46142</v>
      </c>
      <c r="D136" s="129" t="s">
        <v>11</v>
      </c>
      <c r="E136" s="129" t="s">
        <v>10</v>
      </c>
      <c r="F136" s="129" t="s">
        <v>225</v>
      </c>
      <c r="G136" s="70">
        <v>32.01</v>
      </c>
      <c r="H136" s="71">
        <v>425.5</v>
      </c>
      <c r="I136" s="130" t="str">
        <f t="shared" si="8"/>
        <v>OK</v>
      </c>
      <c r="J136" s="142" t="str">
        <f t="shared" si="9"/>
        <v/>
      </c>
    </row>
    <row r="137" spans="1:10" ht="24" customHeight="1" x14ac:dyDescent="0.25">
      <c r="A137" s="135" t="s">
        <v>236</v>
      </c>
      <c r="B137" s="125">
        <v>45778</v>
      </c>
      <c r="C137" s="125">
        <v>46142</v>
      </c>
      <c r="D137" s="126" t="s">
        <v>12</v>
      </c>
      <c r="E137" s="126" t="s">
        <v>10</v>
      </c>
      <c r="F137" s="126" t="s">
        <v>226</v>
      </c>
      <c r="G137" s="68">
        <v>173</v>
      </c>
      <c r="H137" s="69">
        <v>2300</v>
      </c>
      <c r="I137" s="127" t="str">
        <f t="shared" si="8"/>
        <v>OK</v>
      </c>
      <c r="J137" s="141" t="str">
        <f t="shared" si="9"/>
        <v/>
      </c>
    </row>
    <row r="138" spans="1:10" ht="24" customHeight="1" x14ac:dyDescent="0.25">
      <c r="A138" s="136" t="s">
        <v>236</v>
      </c>
      <c r="B138" s="128">
        <v>45778</v>
      </c>
      <c r="C138" s="128">
        <v>46142</v>
      </c>
      <c r="D138" s="129" t="s">
        <v>12</v>
      </c>
      <c r="E138" s="129" t="s">
        <v>10</v>
      </c>
      <c r="F138" s="129" t="s">
        <v>226</v>
      </c>
      <c r="G138" s="70">
        <v>151.38</v>
      </c>
      <c r="H138" s="71">
        <v>2012.5</v>
      </c>
      <c r="I138" s="130" t="str">
        <f t="shared" si="8"/>
        <v>OK</v>
      </c>
      <c r="J138" s="142" t="str">
        <f t="shared" si="9"/>
        <v/>
      </c>
    </row>
    <row r="139" spans="1:10" ht="24" customHeight="1" x14ac:dyDescent="0.25">
      <c r="A139" s="136" t="s">
        <v>236</v>
      </c>
      <c r="B139" s="128">
        <v>45778</v>
      </c>
      <c r="C139" s="128">
        <v>46142</v>
      </c>
      <c r="D139" s="129" t="s">
        <v>12</v>
      </c>
      <c r="E139" s="129" t="s">
        <v>10</v>
      </c>
      <c r="F139" s="129" t="s">
        <v>226</v>
      </c>
      <c r="G139" s="70">
        <v>138.4</v>
      </c>
      <c r="H139" s="71">
        <v>1840</v>
      </c>
      <c r="I139" s="130" t="str">
        <f t="shared" si="8"/>
        <v>OK</v>
      </c>
      <c r="J139" s="142" t="str">
        <f t="shared" si="9"/>
        <v/>
      </c>
    </row>
    <row r="140" spans="1:10" ht="24" customHeight="1" x14ac:dyDescent="0.25">
      <c r="A140" s="136" t="s">
        <v>236</v>
      </c>
      <c r="B140" s="128">
        <v>45778</v>
      </c>
      <c r="C140" s="128">
        <v>46142</v>
      </c>
      <c r="D140" s="129" t="s">
        <v>12</v>
      </c>
      <c r="E140" s="129" t="s">
        <v>10</v>
      </c>
      <c r="F140" s="129" t="s">
        <v>226</v>
      </c>
      <c r="G140" s="70">
        <v>129.75</v>
      </c>
      <c r="H140" s="71">
        <v>1725</v>
      </c>
      <c r="I140" s="130" t="str">
        <f t="shared" si="8"/>
        <v>OK</v>
      </c>
      <c r="J140" s="142" t="str">
        <f t="shared" si="9"/>
        <v/>
      </c>
    </row>
    <row r="141" spans="1:10" ht="24" customHeight="1" x14ac:dyDescent="0.25">
      <c r="A141" s="136" t="s">
        <v>236</v>
      </c>
      <c r="B141" s="128">
        <v>45778</v>
      </c>
      <c r="C141" s="128">
        <v>46142</v>
      </c>
      <c r="D141" s="129" t="s">
        <v>12</v>
      </c>
      <c r="E141" s="129" t="s">
        <v>10</v>
      </c>
      <c r="F141" s="129" t="s">
        <v>226</v>
      </c>
      <c r="G141" s="70">
        <v>108.13</v>
      </c>
      <c r="H141" s="71">
        <v>1437.5</v>
      </c>
      <c r="I141" s="130" t="str">
        <f t="shared" si="8"/>
        <v>OK</v>
      </c>
      <c r="J141" s="142" t="str">
        <f t="shared" si="9"/>
        <v/>
      </c>
    </row>
    <row r="142" spans="1:10" ht="24" customHeight="1" x14ac:dyDescent="0.25">
      <c r="A142" s="136" t="s">
        <v>236</v>
      </c>
      <c r="B142" s="128">
        <v>45778</v>
      </c>
      <c r="C142" s="128">
        <v>46142</v>
      </c>
      <c r="D142" s="129" t="s">
        <v>12</v>
      </c>
      <c r="E142" s="129" t="s">
        <v>10</v>
      </c>
      <c r="F142" s="129" t="s">
        <v>226</v>
      </c>
      <c r="G142" s="70">
        <v>103.8</v>
      </c>
      <c r="H142" s="71">
        <v>1380</v>
      </c>
      <c r="I142" s="130" t="str">
        <f t="shared" si="8"/>
        <v>OK</v>
      </c>
      <c r="J142" s="142" t="str">
        <f t="shared" si="9"/>
        <v/>
      </c>
    </row>
    <row r="143" spans="1:10" ht="24" customHeight="1" x14ac:dyDescent="0.25">
      <c r="A143" s="136" t="s">
        <v>236</v>
      </c>
      <c r="B143" s="128">
        <v>45778</v>
      </c>
      <c r="C143" s="128">
        <v>46142</v>
      </c>
      <c r="D143" s="129" t="s">
        <v>12</v>
      </c>
      <c r="E143" s="129" t="s">
        <v>10</v>
      </c>
      <c r="F143" s="129" t="s">
        <v>226</v>
      </c>
      <c r="G143" s="70">
        <v>86.5</v>
      </c>
      <c r="H143" s="71">
        <v>1150</v>
      </c>
      <c r="I143" s="130" t="str">
        <f t="shared" si="8"/>
        <v>OK</v>
      </c>
      <c r="J143" s="142" t="str">
        <f t="shared" si="9"/>
        <v/>
      </c>
    </row>
    <row r="144" spans="1:10" ht="24" customHeight="1" x14ac:dyDescent="0.25">
      <c r="A144" s="136" t="s">
        <v>236</v>
      </c>
      <c r="B144" s="128">
        <v>45778</v>
      </c>
      <c r="C144" s="128">
        <v>46142</v>
      </c>
      <c r="D144" s="129" t="s">
        <v>12</v>
      </c>
      <c r="E144" s="129" t="s">
        <v>10</v>
      </c>
      <c r="F144" s="129" t="s">
        <v>226</v>
      </c>
      <c r="G144" s="70">
        <v>69.2</v>
      </c>
      <c r="H144" s="71">
        <v>920</v>
      </c>
      <c r="I144" s="130" t="str">
        <f t="shared" si="8"/>
        <v>OK</v>
      </c>
      <c r="J144" s="142" t="str">
        <f t="shared" si="9"/>
        <v/>
      </c>
    </row>
    <row r="145" spans="1:10" ht="24" customHeight="1" x14ac:dyDescent="0.25">
      <c r="A145" s="136" t="s">
        <v>236</v>
      </c>
      <c r="B145" s="128">
        <v>45778</v>
      </c>
      <c r="C145" s="128">
        <v>46142</v>
      </c>
      <c r="D145" s="129" t="s">
        <v>12</v>
      </c>
      <c r="E145" s="129" t="s">
        <v>10</v>
      </c>
      <c r="F145" s="129" t="s">
        <v>226</v>
      </c>
      <c r="G145" s="70">
        <v>51.9</v>
      </c>
      <c r="H145" s="71">
        <v>690</v>
      </c>
      <c r="I145" s="130" t="str">
        <f t="shared" si="8"/>
        <v>OK</v>
      </c>
      <c r="J145" s="142" t="str">
        <f t="shared" si="9"/>
        <v/>
      </c>
    </row>
    <row r="146" spans="1:10" ht="24" customHeight="1" x14ac:dyDescent="0.25">
      <c r="A146" s="136" t="s">
        <v>236</v>
      </c>
      <c r="B146" s="128">
        <v>45778</v>
      </c>
      <c r="C146" s="128">
        <v>46142</v>
      </c>
      <c r="D146" s="129" t="s">
        <v>12</v>
      </c>
      <c r="E146" s="129" t="s">
        <v>10</v>
      </c>
      <c r="F146" s="129" t="s">
        <v>226</v>
      </c>
      <c r="G146" s="70">
        <v>47.58</v>
      </c>
      <c r="H146" s="71">
        <v>632.5</v>
      </c>
      <c r="I146" s="130" t="str">
        <f t="shared" si="8"/>
        <v>OK</v>
      </c>
      <c r="J146" s="142" t="str">
        <f t="shared" si="9"/>
        <v/>
      </c>
    </row>
    <row r="147" spans="1:10" ht="24" customHeight="1" x14ac:dyDescent="0.25">
      <c r="A147" s="136" t="s">
        <v>236</v>
      </c>
      <c r="B147" s="128">
        <v>45778</v>
      </c>
      <c r="C147" s="128">
        <v>46142</v>
      </c>
      <c r="D147" s="129" t="s">
        <v>12</v>
      </c>
      <c r="E147" s="129" t="s">
        <v>10</v>
      </c>
      <c r="F147" s="129" t="s">
        <v>226</v>
      </c>
      <c r="G147" s="70">
        <v>43.25</v>
      </c>
      <c r="H147" s="71">
        <v>575</v>
      </c>
      <c r="I147" s="130" t="str">
        <f t="shared" si="8"/>
        <v>OK</v>
      </c>
      <c r="J147" s="142" t="str">
        <f t="shared" si="9"/>
        <v/>
      </c>
    </row>
    <row r="148" spans="1:10" ht="24" customHeight="1" x14ac:dyDescent="0.25">
      <c r="A148" s="136" t="s">
        <v>236</v>
      </c>
      <c r="B148" s="128">
        <v>45778</v>
      </c>
      <c r="C148" s="128">
        <v>46142</v>
      </c>
      <c r="D148" s="129" t="s">
        <v>12</v>
      </c>
      <c r="E148" s="129" t="s">
        <v>10</v>
      </c>
      <c r="F148" s="129" t="s">
        <v>226</v>
      </c>
      <c r="G148" s="70">
        <v>34.6</v>
      </c>
      <c r="H148" s="71">
        <v>460</v>
      </c>
      <c r="I148" s="130" t="str">
        <f t="shared" si="8"/>
        <v>OK</v>
      </c>
      <c r="J148" s="142" t="str">
        <f t="shared" si="9"/>
        <v/>
      </c>
    </row>
    <row r="149" spans="1:10" ht="24" customHeight="1" thickBot="1" x14ac:dyDescent="0.3">
      <c r="A149" s="136" t="s">
        <v>236</v>
      </c>
      <c r="B149" s="128">
        <v>45778</v>
      </c>
      <c r="C149" s="128">
        <v>46142</v>
      </c>
      <c r="D149" s="129" t="s">
        <v>12</v>
      </c>
      <c r="E149" s="129" t="s">
        <v>10</v>
      </c>
      <c r="F149" s="129" t="s">
        <v>226</v>
      </c>
      <c r="G149" s="70">
        <v>32.01</v>
      </c>
      <c r="H149" s="71">
        <v>425.5</v>
      </c>
      <c r="I149" s="130" t="str">
        <f t="shared" si="8"/>
        <v>OK</v>
      </c>
      <c r="J149" s="142" t="str">
        <f t="shared" si="9"/>
        <v/>
      </c>
    </row>
    <row r="150" spans="1:10" ht="24" customHeight="1" x14ac:dyDescent="0.25">
      <c r="A150" s="135" t="s">
        <v>236</v>
      </c>
      <c r="B150" s="125">
        <v>45778</v>
      </c>
      <c r="C150" s="125">
        <v>46142</v>
      </c>
      <c r="D150" s="126" t="s">
        <v>13</v>
      </c>
      <c r="E150" s="126" t="s">
        <v>10</v>
      </c>
      <c r="F150" s="126" t="s">
        <v>227</v>
      </c>
      <c r="G150" s="68">
        <v>173</v>
      </c>
      <c r="H150" s="69">
        <v>2328</v>
      </c>
      <c r="I150" s="127" t="str">
        <f t="shared" si="8"/>
        <v>OK</v>
      </c>
      <c r="J150" s="141" t="str">
        <f t="shared" si="9"/>
        <v/>
      </c>
    </row>
    <row r="151" spans="1:10" ht="24" customHeight="1" x14ac:dyDescent="0.25">
      <c r="A151" s="136" t="s">
        <v>236</v>
      </c>
      <c r="B151" s="128">
        <v>45778</v>
      </c>
      <c r="C151" s="128">
        <v>46142</v>
      </c>
      <c r="D151" s="129" t="s">
        <v>13</v>
      </c>
      <c r="E151" s="129" t="s">
        <v>10</v>
      </c>
      <c r="F151" s="129" t="s">
        <v>227</v>
      </c>
      <c r="G151" s="70">
        <v>151.38</v>
      </c>
      <c r="H151" s="71">
        <v>2037</v>
      </c>
      <c r="I151" s="130" t="str">
        <f t="shared" si="8"/>
        <v>OK</v>
      </c>
      <c r="J151" s="142" t="str">
        <f t="shared" si="9"/>
        <v/>
      </c>
    </row>
    <row r="152" spans="1:10" ht="24" customHeight="1" x14ac:dyDescent="0.25">
      <c r="A152" s="136" t="s">
        <v>236</v>
      </c>
      <c r="B152" s="128">
        <v>45778</v>
      </c>
      <c r="C152" s="128">
        <v>46142</v>
      </c>
      <c r="D152" s="129" t="s">
        <v>13</v>
      </c>
      <c r="E152" s="129" t="s">
        <v>10</v>
      </c>
      <c r="F152" s="129" t="s">
        <v>227</v>
      </c>
      <c r="G152" s="70">
        <v>138.4</v>
      </c>
      <c r="H152" s="71">
        <v>1862.4</v>
      </c>
      <c r="I152" s="130" t="str">
        <f t="shared" si="8"/>
        <v>OK</v>
      </c>
      <c r="J152" s="142" t="str">
        <f t="shared" si="9"/>
        <v/>
      </c>
    </row>
    <row r="153" spans="1:10" ht="24" customHeight="1" x14ac:dyDescent="0.25">
      <c r="A153" s="136" t="s">
        <v>236</v>
      </c>
      <c r="B153" s="128">
        <v>45778</v>
      </c>
      <c r="C153" s="128">
        <v>46142</v>
      </c>
      <c r="D153" s="129" t="s">
        <v>13</v>
      </c>
      <c r="E153" s="129" t="s">
        <v>10</v>
      </c>
      <c r="F153" s="129" t="s">
        <v>227</v>
      </c>
      <c r="G153" s="70">
        <v>129.75</v>
      </c>
      <c r="H153" s="71">
        <v>1476</v>
      </c>
      <c r="I153" s="130" t="str">
        <f t="shared" si="8"/>
        <v>OK</v>
      </c>
      <c r="J153" s="142" t="str">
        <f t="shared" si="9"/>
        <v/>
      </c>
    </row>
    <row r="154" spans="1:10" ht="24" customHeight="1" x14ac:dyDescent="0.25">
      <c r="A154" s="136" t="s">
        <v>236</v>
      </c>
      <c r="B154" s="128">
        <v>45778</v>
      </c>
      <c r="C154" s="128">
        <v>46142</v>
      </c>
      <c r="D154" s="129" t="s">
        <v>13</v>
      </c>
      <c r="E154" s="129" t="s">
        <v>10</v>
      </c>
      <c r="F154" s="129" t="s">
        <v>227</v>
      </c>
      <c r="G154" s="70">
        <v>108.13</v>
      </c>
      <c r="H154" s="71">
        <v>1455</v>
      </c>
      <c r="I154" s="130" t="str">
        <f t="shared" si="8"/>
        <v>OK</v>
      </c>
      <c r="J154" s="142" t="str">
        <f t="shared" si="9"/>
        <v/>
      </c>
    </row>
    <row r="155" spans="1:10" ht="24" customHeight="1" x14ac:dyDescent="0.25">
      <c r="A155" s="136" t="s">
        <v>236</v>
      </c>
      <c r="B155" s="128">
        <v>45778</v>
      </c>
      <c r="C155" s="128">
        <v>46142</v>
      </c>
      <c r="D155" s="129" t="s">
        <v>13</v>
      </c>
      <c r="E155" s="129" t="s">
        <v>10</v>
      </c>
      <c r="F155" s="129" t="s">
        <v>227</v>
      </c>
      <c r="G155" s="70">
        <v>103.8</v>
      </c>
      <c r="H155" s="71">
        <v>1396.8</v>
      </c>
      <c r="I155" s="130" t="str">
        <f t="shared" si="8"/>
        <v>OK</v>
      </c>
      <c r="J155" s="142" t="str">
        <f t="shared" si="9"/>
        <v/>
      </c>
    </row>
    <row r="156" spans="1:10" ht="24" customHeight="1" x14ac:dyDescent="0.25">
      <c r="A156" s="136" t="s">
        <v>236</v>
      </c>
      <c r="B156" s="128">
        <v>45778</v>
      </c>
      <c r="C156" s="128">
        <v>46142</v>
      </c>
      <c r="D156" s="129" t="s">
        <v>13</v>
      </c>
      <c r="E156" s="129" t="s">
        <v>10</v>
      </c>
      <c r="F156" s="129" t="s">
        <v>227</v>
      </c>
      <c r="G156" s="70">
        <v>86.5</v>
      </c>
      <c r="H156" s="71">
        <v>1164</v>
      </c>
      <c r="I156" s="130" t="str">
        <f t="shared" si="8"/>
        <v>OK</v>
      </c>
      <c r="J156" s="142" t="str">
        <f t="shared" si="9"/>
        <v/>
      </c>
    </row>
    <row r="157" spans="1:10" ht="24" customHeight="1" x14ac:dyDescent="0.25">
      <c r="A157" s="136" t="s">
        <v>236</v>
      </c>
      <c r="B157" s="128">
        <v>45778</v>
      </c>
      <c r="C157" s="128">
        <v>46142</v>
      </c>
      <c r="D157" s="129" t="s">
        <v>13</v>
      </c>
      <c r="E157" s="129" t="s">
        <v>10</v>
      </c>
      <c r="F157" s="129" t="s">
        <v>227</v>
      </c>
      <c r="G157" s="70">
        <v>69.2</v>
      </c>
      <c r="H157" s="71">
        <v>931.2</v>
      </c>
      <c r="I157" s="130" t="str">
        <f t="shared" si="8"/>
        <v>OK</v>
      </c>
      <c r="J157" s="142" t="str">
        <f t="shared" si="9"/>
        <v/>
      </c>
    </row>
    <row r="158" spans="1:10" ht="24" customHeight="1" x14ac:dyDescent="0.25">
      <c r="A158" s="136" t="s">
        <v>236</v>
      </c>
      <c r="B158" s="128">
        <v>45778</v>
      </c>
      <c r="C158" s="128">
        <v>46142</v>
      </c>
      <c r="D158" s="129" t="s">
        <v>13</v>
      </c>
      <c r="E158" s="129" t="s">
        <v>10</v>
      </c>
      <c r="F158" s="129" t="s">
        <v>227</v>
      </c>
      <c r="G158" s="70">
        <v>51.9</v>
      </c>
      <c r="H158" s="71">
        <v>698.4</v>
      </c>
      <c r="I158" s="130" t="str">
        <f t="shared" si="8"/>
        <v>OK</v>
      </c>
      <c r="J158" s="142" t="str">
        <f t="shared" si="9"/>
        <v/>
      </c>
    </row>
    <row r="159" spans="1:10" ht="24" customHeight="1" x14ac:dyDescent="0.25">
      <c r="A159" s="136" t="s">
        <v>236</v>
      </c>
      <c r="B159" s="128">
        <v>45778</v>
      </c>
      <c r="C159" s="128">
        <v>46142</v>
      </c>
      <c r="D159" s="129" t="s">
        <v>13</v>
      </c>
      <c r="E159" s="129" t="s">
        <v>10</v>
      </c>
      <c r="F159" s="129" t="s">
        <v>227</v>
      </c>
      <c r="G159" s="70">
        <v>47.58</v>
      </c>
      <c r="H159" s="71">
        <v>640</v>
      </c>
      <c r="I159" s="130" t="str">
        <f t="shared" si="8"/>
        <v>OK</v>
      </c>
      <c r="J159" s="142" t="str">
        <f t="shared" si="9"/>
        <v/>
      </c>
    </row>
    <row r="160" spans="1:10" ht="24" customHeight="1" x14ac:dyDescent="0.25">
      <c r="A160" s="136" t="s">
        <v>236</v>
      </c>
      <c r="B160" s="128">
        <v>45778</v>
      </c>
      <c r="C160" s="128">
        <v>46142</v>
      </c>
      <c r="D160" s="129" t="s">
        <v>13</v>
      </c>
      <c r="E160" s="129" t="s">
        <v>10</v>
      </c>
      <c r="F160" s="129" t="s">
        <v>227</v>
      </c>
      <c r="G160" s="70">
        <v>43.25</v>
      </c>
      <c r="H160" s="71">
        <v>582</v>
      </c>
      <c r="I160" s="130" t="str">
        <f t="shared" si="8"/>
        <v>OK</v>
      </c>
      <c r="J160" s="142" t="str">
        <f t="shared" si="9"/>
        <v/>
      </c>
    </row>
    <row r="161" spans="1:10" ht="24" customHeight="1" x14ac:dyDescent="0.25">
      <c r="A161" s="136" t="s">
        <v>236</v>
      </c>
      <c r="B161" s="128">
        <v>45778</v>
      </c>
      <c r="C161" s="128">
        <v>46142</v>
      </c>
      <c r="D161" s="129" t="s">
        <v>13</v>
      </c>
      <c r="E161" s="129" t="s">
        <v>10</v>
      </c>
      <c r="F161" s="129" t="s">
        <v>227</v>
      </c>
      <c r="G161" s="70">
        <v>34.6</v>
      </c>
      <c r="H161" s="71">
        <v>465.6</v>
      </c>
      <c r="I161" s="130" t="str">
        <f t="shared" si="8"/>
        <v>OK</v>
      </c>
      <c r="J161" s="142" t="str">
        <f t="shared" si="9"/>
        <v/>
      </c>
    </row>
    <row r="162" spans="1:10" ht="24" customHeight="1" thickBot="1" x14ac:dyDescent="0.3">
      <c r="A162" s="143" t="s">
        <v>236</v>
      </c>
      <c r="B162" s="144">
        <v>45778</v>
      </c>
      <c r="C162" s="144">
        <v>46142</v>
      </c>
      <c r="D162" s="145" t="s">
        <v>13</v>
      </c>
      <c r="E162" s="145" t="s">
        <v>10</v>
      </c>
      <c r="F162" s="145" t="s">
        <v>227</v>
      </c>
      <c r="G162" s="72">
        <v>32.01</v>
      </c>
      <c r="H162" s="73">
        <v>430.68</v>
      </c>
      <c r="I162" s="146" t="str">
        <f t="shared" si="8"/>
        <v>OK</v>
      </c>
      <c r="J162" s="147" t="str">
        <f t="shared" si="9"/>
        <v/>
      </c>
    </row>
  </sheetData>
  <sheetProtection algorithmName="SHA-512" hashValue="8/zfaqNIPYPMMxkNdcWIXG0S3hpPUE7KUT90y8NqtppSrZe5OohxYTBYkLDsrxD4BtZoHah7R7hHkhnHNNicZw==" saltValue="uojqd533iCHKQWUPxbUzPA==" spinCount="100000" sheet="1" objects="1" scenarios="1" sort="0" autoFilter="0"/>
  <mergeCells count="3">
    <mergeCell ref="A1:J1"/>
    <mergeCell ref="L2:N2"/>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topLeftCell="A2" zoomScaleNormal="100" workbookViewId="0">
      <selection activeCell="N24" sqref="N24"/>
    </sheetView>
  </sheetViews>
  <sheetFormatPr baseColWidth="10" defaultColWidth="11.42578125" defaultRowHeight="15" x14ac:dyDescent="0.25"/>
  <cols>
    <col min="1" max="1" width="4" customWidth="1"/>
    <col min="2" max="2" width="18" customWidth="1"/>
    <col min="3" max="3" width="14.5703125" customWidth="1"/>
    <col min="4" max="5" width="17.5703125" customWidth="1"/>
    <col min="6" max="6" width="17" customWidth="1"/>
    <col min="7" max="7" width="3.42578125" customWidth="1"/>
    <col min="9" max="9" width="10.5703125" customWidth="1"/>
    <col min="10" max="10" width="3.85546875" customWidth="1"/>
    <col min="13" max="13" width="3.42578125" customWidth="1"/>
  </cols>
  <sheetData>
    <row r="1" spans="2:21" ht="27.95" customHeight="1" x14ac:dyDescent="0.25">
      <c r="B1" s="212" t="s">
        <v>271</v>
      </c>
      <c r="C1" s="212"/>
      <c r="D1" s="212"/>
      <c r="E1" s="212"/>
      <c r="F1" s="212"/>
      <c r="G1" s="212"/>
      <c r="H1" s="212"/>
      <c r="I1" s="212"/>
      <c r="J1" s="212"/>
      <c r="K1" s="212"/>
      <c r="L1" s="212"/>
      <c r="M1" s="212"/>
      <c r="N1" s="212"/>
      <c r="O1" s="212"/>
      <c r="P1" s="212"/>
      <c r="Q1" s="212"/>
      <c r="R1" s="212"/>
      <c r="S1" s="212"/>
      <c r="T1" s="212"/>
      <c r="U1" s="212"/>
    </row>
    <row r="2" spans="2:21" ht="17.25" customHeight="1" x14ac:dyDescent="0.25">
      <c r="B2" s="80"/>
      <c r="C2" s="80"/>
      <c r="D2" s="80"/>
      <c r="E2" s="80"/>
      <c r="F2" s="80"/>
      <c r="G2" s="80"/>
      <c r="H2" s="80"/>
      <c r="I2" s="80"/>
      <c r="J2" s="80"/>
      <c r="K2" s="80"/>
      <c r="L2" s="80"/>
      <c r="M2" s="80"/>
      <c r="N2" s="80"/>
      <c r="O2" s="80"/>
      <c r="P2" s="81"/>
      <c r="Q2" s="81"/>
      <c r="R2" s="81"/>
      <c r="S2" s="217" t="s">
        <v>291</v>
      </c>
      <c r="T2" s="217"/>
      <c r="U2" s="217"/>
    </row>
    <row r="3" spans="2:21" ht="20.100000000000001" customHeight="1" x14ac:dyDescent="0.25">
      <c r="B3" s="218" t="s">
        <v>93</v>
      </c>
      <c r="C3" s="219"/>
      <c r="D3" s="219"/>
      <c r="E3" s="219"/>
      <c r="F3" s="220"/>
      <c r="G3" s="81"/>
      <c r="H3" s="213" t="s">
        <v>14</v>
      </c>
      <c r="I3" s="213"/>
      <c r="J3" s="81"/>
      <c r="K3" s="213" t="s">
        <v>15</v>
      </c>
      <c r="L3" s="213"/>
      <c r="M3" s="81"/>
      <c r="N3" s="213" t="s">
        <v>16</v>
      </c>
      <c r="O3" s="213"/>
      <c r="P3" s="81"/>
      <c r="Q3" s="81"/>
      <c r="R3" s="81"/>
      <c r="S3" s="81"/>
      <c r="T3" s="81"/>
      <c r="U3" s="81"/>
    </row>
    <row r="4" spans="2:21" ht="20.100000000000001" customHeight="1" thickBot="1" x14ac:dyDescent="0.3">
      <c r="B4" s="221"/>
      <c r="C4" s="212"/>
      <c r="D4" s="212"/>
      <c r="E4" s="212"/>
      <c r="F4" s="222"/>
      <c r="G4" s="81"/>
      <c r="H4" s="214"/>
      <c r="I4" s="214"/>
      <c r="J4" s="81"/>
      <c r="K4" s="214"/>
      <c r="L4" s="214"/>
      <c r="M4" s="81"/>
      <c r="N4" s="214"/>
      <c r="O4" s="214"/>
      <c r="P4" s="81"/>
      <c r="Q4" s="81"/>
      <c r="R4" s="81"/>
      <c r="S4" s="81"/>
      <c r="T4" s="81"/>
      <c r="U4" s="81"/>
    </row>
    <row r="5" spans="2:21" ht="18" customHeight="1" x14ac:dyDescent="0.25">
      <c r="B5" s="82"/>
      <c r="C5" s="83" t="s">
        <v>17</v>
      </c>
      <c r="D5" s="84" t="s">
        <v>18</v>
      </c>
      <c r="E5" s="84" t="s">
        <v>19</v>
      </c>
      <c r="F5" s="85" t="s">
        <v>20</v>
      </c>
      <c r="G5" s="81"/>
      <c r="H5" s="215" t="s">
        <v>21</v>
      </c>
      <c r="I5" s="216"/>
      <c r="J5" s="81"/>
      <c r="K5" s="215" t="s">
        <v>21</v>
      </c>
      <c r="L5" s="216"/>
      <c r="M5" s="81"/>
      <c r="N5" s="215" t="s">
        <v>22</v>
      </c>
      <c r="O5" s="216"/>
      <c r="P5" s="81"/>
      <c r="Q5" s="81"/>
      <c r="R5" s="81"/>
      <c r="S5" s="81"/>
      <c r="T5" s="81"/>
      <c r="U5" s="81"/>
    </row>
    <row r="6" spans="2:21" ht="21.95" customHeight="1" x14ac:dyDescent="0.25">
      <c r="B6" s="100" t="s">
        <v>23</v>
      </c>
      <c r="C6" s="12"/>
      <c r="D6" s="13"/>
      <c r="E6" s="86">
        <f>Januar!$Q$37</f>
        <v>0</v>
      </c>
      <c r="F6" s="14"/>
      <c r="G6" s="81"/>
      <c r="H6" s="101" t="s">
        <v>23</v>
      </c>
      <c r="I6" s="15"/>
      <c r="J6" s="81"/>
      <c r="K6" s="101" t="s">
        <v>23</v>
      </c>
      <c r="L6" s="15"/>
      <c r="M6" s="81"/>
      <c r="N6" s="101" t="s">
        <v>23</v>
      </c>
      <c r="O6" s="15"/>
      <c r="P6" s="81"/>
      <c r="Q6" s="81"/>
      <c r="R6" s="81"/>
      <c r="S6" s="81"/>
      <c r="T6" s="81"/>
      <c r="U6" s="81"/>
    </row>
    <row r="7" spans="2:21" ht="21.95" customHeight="1" x14ac:dyDescent="0.25">
      <c r="B7" s="100" t="s">
        <v>24</v>
      </c>
      <c r="C7" s="12"/>
      <c r="D7" s="13"/>
      <c r="E7" s="86">
        <f>Februar!$Q$37</f>
        <v>0</v>
      </c>
      <c r="F7" s="14"/>
      <c r="G7" s="81"/>
      <c r="H7" s="101" t="s">
        <v>25</v>
      </c>
      <c r="I7" s="15"/>
      <c r="J7" s="81"/>
      <c r="K7" s="101" t="s">
        <v>25</v>
      </c>
      <c r="L7" s="15"/>
      <c r="M7" s="81"/>
      <c r="N7" s="101" t="s">
        <v>25</v>
      </c>
      <c r="O7" s="15"/>
      <c r="P7" s="81"/>
      <c r="Q7" s="81"/>
      <c r="R7" s="81"/>
      <c r="S7" s="81"/>
      <c r="T7" s="81"/>
      <c r="U7" s="81"/>
    </row>
    <row r="8" spans="2:21" ht="21.95" customHeight="1" x14ac:dyDescent="0.25">
      <c r="B8" s="100" t="s">
        <v>26</v>
      </c>
      <c r="C8" s="12"/>
      <c r="D8" s="13"/>
      <c r="E8" s="86">
        <f>Marz!$Q$37</f>
        <v>0</v>
      </c>
      <c r="F8" s="14"/>
      <c r="G8" s="81"/>
      <c r="H8" s="101" t="s">
        <v>26</v>
      </c>
      <c r="I8" s="15"/>
      <c r="J8" s="81"/>
      <c r="K8" s="101" t="s">
        <v>26</v>
      </c>
      <c r="L8" s="15"/>
      <c r="M8" s="81"/>
      <c r="N8" s="101" t="s">
        <v>26</v>
      </c>
      <c r="O8" s="15"/>
      <c r="P8" s="81"/>
      <c r="Q8" s="81"/>
      <c r="R8" s="81"/>
      <c r="S8" s="81"/>
      <c r="T8" s="81"/>
      <c r="U8" s="81"/>
    </row>
    <row r="9" spans="2:21" ht="21.95" customHeight="1" x14ac:dyDescent="0.25">
      <c r="B9" s="100" t="s">
        <v>27</v>
      </c>
      <c r="C9" s="12"/>
      <c r="D9" s="13"/>
      <c r="E9" s="86">
        <f>April!$Q$37</f>
        <v>0</v>
      </c>
      <c r="F9" s="14"/>
      <c r="G9" s="81"/>
      <c r="H9" s="101" t="s">
        <v>27</v>
      </c>
      <c r="I9" s="15"/>
      <c r="J9" s="81"/>
      <c r="K9" s="101" t="s">
        <v>27</v>
      </c>
      <c r="L9" s="15"/>
      <c r="M9" s="81"/>
      <c r="N9" s="101" t="s">
        <v>27</v>
      </c>
      <c r="O9" s="15"/>
      <c r="P9" s="81"/>
      <c r="Q9" s="81"/>
      <c r="R9" s="81"/>
      <c r="S9" s="81"/>
      <c r="T9" s="81"/>
      <c r="U9" s="81"/>
    </row>
    <row r="10" spans="2:21" ht="21.95" customHeight="1" x14ac:dyDescent="0.25">
      <c r="B10" s="100" t="s">
        <v>28</v>
      </c>
      <c r="C10" s="12"/>
      <c r="D10" s="13"/>
      <c r="E10" s="86">
        <f>Mai!$Q$37</f>
        <v>0</v>
      </c>
      <c r="F10" s="14"/>
      <c r="G10" s="81"/>
      <c r="H10" s="101" t="s">
        <v>28</v>
      </c>
      <c r="I10" s="15"/>
      <c r="J10" s="81"/>
      <c r="K10" s="101" t="s">
        <v>28</v>
      </c>
      <c r="L10" s="15"/>
      <c r="M10" s="81"/>
      <c r="N10" s="101" t="s">
        <v>28</v>
      </c>
      <c r="O10" s="15"/>
      <c r="P10" s="81"/>
      <c r="Q10" s="81"/>
      <c r="R10" s="81"/>
      <c r="S10" s="81"/>
      <c r="T10" s="81"/>
      <c r="U10" s="81"/>
    </row>
    <row r="11" spans="2:21" ht="21.95" customHeight="1" x14ac:dyDescent="0.25">
      <c r="B11" s="100" t="s">
        <v>29</v>
      </c>
      <c r="C11" s="12"/>
      <c r="D11" s="13"/>
      <c r="E11" s="86">
        <f>Juni!$Q$37</f>
        <v>0</v>
      </c>
      <c r="F11" s="14"/>
      <c r="G11" s="81"/>
      <c r="H11" s="101" t="s">
        <v>29</v>
      </c>
      <c r="I11" s="15"/>
      <c r="J11" s="81"/>
      <c r="K11" s="101" t="s">
        <v>29</v>
      </c>
      <c r="L11" s="15"/>
      <c r="M11" s="81"/>
      <c r="N11" s="101" t="s">
        <v>29</v>
      </c>
      <c r="O11" s="15"/>
      <c r="P11" s="81"/>
      <c r="Q11" s="81"/>
      <c r="R11" s="81"/>
      <c r="S11" s="81"/>
      <c r="T11" s="81"/>
      <c r="U11" s="81"/>
    </row>
    <row r="12" spans="2:21" ht="21.95" customHeight="1" x14ac:dyDescent="0.25">
      <c r="B12" s="100" t="s">
        <v>30</v>
      </c>
      <c r="C12" s="12"/>
      <c r="D12" s="13"/>
      <c r="E12" s="86">
        <f>Juli!$Q$37</f>
        <v>0</v>
      </c>
      <c r="F12" s="14"/>
      <c r="G12" s="81"/>
      <c r="H12" s="101" t="s">
        <v>30</v>
      </c>
      <c r="I12" s="15"/>
      <c r="J12" s="81"/>
      <c r="K12" s="101" t="s">
        <v>30</v>
      </c>
      <c r="L12" s="15"/>
      <c r="M12" s="81"/>
      <c r="N12" s="101" t="s">
        <v>30</v>
      </c>
      <c r="O12" s="15"/>
      <c r="P12" s="81"/>
      <c r="Q12" s="81"/>
      <c r="R12" s="81"/>
      <c r="S12" s="81"/>
      <c r="T12" s="81"/>
      <c r="U12" s="81"/>
    </row>
    <row r="13" spans="2:21" ht="21.95" customHeight="1" x14ac:dyDescent="0.25">
      <c r="B13" s="100" t="s">
        <v>31</v>
      </c>
      <c r="C13" s="12"/>
      <c r="D13" s="13"/>
      <c r="E13" s="86">
        <f>August!$Q$37</f>
        <v>0</v>
      </c>
      <c r="F13" s="14"/>
      <c r="G13" s="81"/>
      <c r="H13" s="101" t="s">
        <v>31</v>
      </c>
      <c r="I13" s="15"/>
      <c r="J13" s="81"/>
      <c r="K13" s="101" t="s">
        <v>31</v>
      </c>
      <c r="L13" s="15"/>
      <c r="M13" s="81"/>
      <c r="N13" s="101" t="s">
        <v>31</v>
      </c>
      <c r="O13" s="15"/>
      <c r="P13" s="81"/>
      <c r="Q13" s="81"/>
      <c r="R13" s="81"/>
      <c r="S13" s="81"/>
      <c r="T13" s="81"/>
      <c r="U13" s="81"/>
    </row>
    <row r="14" spans="2:21" ht="21.95" customHeight="1" x14ac:dyDescent="0.25">
      <c r="B14" s="100" t="s">
        <v>32</v>
      </c>
      <c r="C14" s="12"/>
      <c r="D14" s="13"/>
      <c r="E14" s="86">
        <f>September!$Q$37</f>
        <v>0</v>
      </c>
      <c r="F14" s="14"/>
      <c r="G14" s="81"/>
      <c r="H14" s="101" t="s">
        <v>32</v>
      </c>
      <c r="I14" s="15"/>
      <c r="J14" s="81"/>
      <c r="K14" s="101" t="s">
        <v>32</v>
      </c>
      <c r="L14" s="15"/>
      <c r="M14" s="81"/>
      <c r="N14" s="101" t="s">
        <v>32</v>
      </c>
      <c r="O14" s="15"/>
      <c r="P14" s="81"/>
      <c r="Q14" s="81"/>
      <c r="R14" s="81"/>
      <c r="S14" s="81"/>
      <c r="T14" s="81"/>
      <c r="U14" s="81"/>
    </row>
    <row r="15" spans="2:21" ht="21.95" customHeight="1" x14ac:dyDescent="0.25">
      <c r="B15" s="100" t="s">
        <v>33</v>
      </c>
      <c r="C15" s="12"/>
      <c r="D15" s="13"/>
      <c r="E15" s="86">
        <f>Oktober!$Q$37</f>
        <v>0</v>
      </c>
      <c r="F15" s="14"/>
      <c r="G15" s="81"/>
      <c r="H15" s="101" t="s">
        <v>33</v>
      </c>
      <c r="I15" s="15"/>
      <c r="J15" s="81"/>
      <c r="K15" s="101" t="s">
        <v>33</v>
      </c>
      <c r="L15" s="15"/>
      <c r="M15" s="81"/>
      <c r="N15" s="101" t="s">
        <v>33</v>
      </c>
      <c r="O15" s="15"/>
      <c r="P15" s="81"/>
      <c r="Q15" s="81"/>
      <c r="R15" s="81"/>
      <c r="S15" s="81"/>
      <c r="T15" s="81"/>
      <c r="U15" s="81"/>
    </row>
    <row r="16" spans="2:21" ht="21.95" customHeight="1" x14ac:dyDescent="0.25">
      <c r="B16" s="100" t="s">
        <v>34</v>
      </c>
      <c r="C16" s="12"/>
      <c r="D16" s="13"/>
      <c r="E16" s="86">
        <f>November!$Q$37</f>
        <v>0</v>
      </c>
      <c r="F16" s="14"/>
      <c r="G16" s="81"/>
      <c r="H16" s="101" t="s">
        <v>34</v>
      </c>
      <c r="I16" s="15"/>
      <c r="J16" s="81"/>
      <c r="K16" s="101" t="s">
        <v>34</v>
      </c>
      <c r="L16" s="15"/>
      <c r="M16" s="81"/>
      <c r="N16" s="101" t="s">
        <v>34</v>
      </c>
      <c r="O16" s="15"/>
      <c r="P16" s="81"/>
      <c r="Q16" s="81"/>
      <c r="R16" s="81"/>
      <c r="S16" s="81"/>
      <c r="T16" s="81"/>
      <c r="U16" s="81"/>
    </row>
    <row r="17" spans="2:21" ht="21.95" customHeight="1" thickBot="1" x14ac:dyDescent="0.3">
      <c r="B17" s="100" t="s">
        <v>35</v>
      </c>
      <c r="C17" s="17"/>
      <c r="D17" s="18"/>
      <c r="E17" s="87">
        <f>Dezember!$Q$37</f>
        <v>0</v>
      </c>
      <c r="F17" s="19"/>
      <c r="G17" s="81"/>
      <c r="H17" s="102" t="s">
        <v>35</v>
      </c>
      <c r="I17" s="20"/>
      <c r="J17" s="81"/>
      <c r="K17" s="102" t="s">
        <v>35</v>
      </c>
      <c r="L17" s="20"/>
      <c r="M17" s="81"/>
      <c r="N17" s="102" t="s">
        <v>35</v>
      </c>
      <c r="O17" s="20"/>
      <c r="P17" s="81"/>
      <c r="Q17" s="81"/>
      <c r="R17" s="81"/>
      <c r="S17" s="81"/>
      <c r="T17" s="81"/>
      <c r="U17" s="81"/>
    </row>
    <row r="18" spans="2:21" x14ac:dyDescent="0.25">
      <c r="B18" s="81"/>
      <c r="C18" s="81"/>
      <c r="D18" s="81"/>
      <c r="E18" s="81"/>
      <c r="F18" s="81"/>
      <c r="G18" s="81"/>
      <c r="H18" s="81"/>
      <c r="I18" s="81"/>
      <c r="J18" s="81"/>
      <c r="K18" s="81"/>
      <c r="L18" s="81"/>
      <c r="M18" s="81"/>
      <c r="N18" s="81"/>
      <c r="O18" s="81"/>
      <c r="P18" s="81"/>
      <c r="Q18" s="81"/>
      <c r="R18" s="81"/>
      <c r="S18" s="81"/>
      <c r="T18" s="81"/>
      <c r="U18" s="81"/>
    </row>
    <row r="19" spans="2:21" ht="20.100000000000001" customHeight="1" x14ac:dyDescent="0.25">
      <c r="B19" s="213" t="s">
        <v>36</v>
      </c>
      <c r="C19" s="213"/>
      <c r="D19" s="213"/>
      <c r="E19" s="213"/>
      <c r="F19" s="213"/>
      <c r="G19" s="81"/>
      <c r="H19" s="213" t="s">
        <v>37</v>
      </c>
      <c r="I19" s="213"/>
      <c r="J19" s="81"/>
      <c r="K19" s="213" t="s">
        <v>38</v>
      </c>
      <c r="L19" s="213"/>
      <c r="M19" s="81"/>
      <c r="N19" s="88"/>
      <c r="O19" s="88"/>
      <c r="P19" s="88"/>
      <c r="Q19" s="88"/>
      <c r="R19" s="88"/>
      <c r="S19" s="88"/>
      <c r="T19" s="88"/>
      <c r="U19" s="88"/>
    </row>
    <row r="20" spans="2:21" ht="20.100000000000001" customHeight="1" thickBot="1" x14ac:dyDescent="0.3">
      <c r="B20" s="213"/>
      <c r="C20" s="214"/>
      <c r="D20" s="214"/>
      <c r="E20" s="214"/>
      <c r="F20" s="214"/>
      <c r="G20" s="81"/>
      <c r="H20" s="214"/>
      <c r="I20" s="214"/>
      <c r="J20" s="81"/>
      <c r="K20" s="214"/>
      <c r="L20" s="214"/>
      <c r="M20" s="81"/>
      <c r="N20" s="88"/>
      <c r="O20" s="88"/>
      <c r="P20" s="88"/>
      <c r="Q20" s="88"/>
      <c r="R20" s="88"/>
      <c r="S20" s="88"/>
      <c r="T20" s="88"/>
      <c r="U20" s="88"/>
    </row>
    <row r="21" spans="2:21" ht="18" customHeight="1" x14ac:dyDescent="0.25">
      <c r="B21" s="82"/>
      <c r="C21" s="83" t="s">
        <v>17</v>
      </c>
      <c r="D21" s="84" t="s">
        <v>18</v>
      </c>
      <c r="E21" s="84" t="s">
        <v>19</v>
      </c>
      <c r="F21" s="85" t="s">
        <v>20</v>
      </c>
      <c r="G21" s="81"/>
      <c r="H21" s="215" t="s">
        <v>21</v>
      </c>
      <c r="I21" s="216"/>
      <c r="J21" s="81"/>
      <c r="K21" s="215" t="s">
        <v>21</v>
      </c>
      <c r="L21" s="216"/>
      <c r="M21" s="81"/>
      <c r="N21" s="88"/>
      <c r="O21" s="88"/>
      <c r="P21" s="88"/>
      <c r="Q21" s="88"/>
      <c r="R21" s="88"/>
      <c r="S21" s="88"/>
      <c r="T21" s="88"/>
      <c r="U21" s="88"/>
    </row>
    <row r="22" spans="2:21" ht="21.95" customHeight="1" x14ac:dyDescent="0.25">
      <c r="B22" s="100" t="s">
        <v>23</v>
      </c>
      <c r="C22" s="12"/>
      <c r="D22" s="89">
        <f>UBERSICHT!G7</f>
        <v>4112.5</v>
      </c>
      <c r="E22" s="86">
        <v>0</v>
      </c>
      <c r="F22" s="14"/>
      <c r="G22" s="81"/>
      <c r="H22" s="101" t="s">
        <v>23</v>
      </c>
      <c r="I22" s="15"/>
      <c r="J22" s="81"/>
      <c r="K22" s="101" t="s">
        <v>23</v>
      </c>
      <c r="L22" s="15"/>
      <c r="M22" s="81"/>
      <c r="N22" s="88"/>
      <c r="O22" s="88"/>
      <c r="P22" s="88"/>
      <c r="Q22" s="88"/>
      <c r="R22" s="88"/>
      <c r="S22" s="88"/>
      <c r="T22" s="88"/>
      <c r="U22" s="88"/>
    </row>
    <row r="23" spans="2:21" ht="21.95" customHeight="1" x14ac:dyDescent="0.25">
      <c r="B23" s="100" t="s">
        <v>24</v>
      </c>
      <c r="C23" s="12"/>
      <c r="D23" s="89">
        <f>UBERSICHT!G8</f>
        <v>3868.38</v>
      </c>
      <c r="E23" s="86">
        <v>0</v>
      </c>
      <c r="F23" s="14"/>
      <c r="G23" s="81"/>
      <c r="H23" s="101" t="s">
        <v>25</v>
      </c>
      <c r="I23" s="15"/>
      <c r="J23" s="81"/>
      <c r="K23" s="101" t="s">
        <v>25</v>
      </c>
      <c r="L23" s="15"/>
      <c r="M23" s="81"/>
      <c r="N23" s="88"/>
      <c r="O23" s="88"/>
      <c r="P23" s="88"/>
      <c r="Q23" s="88"/>
      <c r="R23" s="88"/>
      <c r="S23" s="88"/>
      <c r="T23" s="88"/>
      <c r="U23" s="88"/>
    </row>
    <row r="24" spans="2:21" ht="21.95" customHeight="1" x14ac:dyDescent="0.25">
      <c r="B24" s="100" t="s">
        <v>26</v>
      </c>
      <c r="C24" s="12"/>
      <c r="D24" s="89">
        <f>UBERSICHT!G9</f>
        <v>3868.38</v>
      </c>
      <c r="E24" s="86">
        <v>0</v>
      </c>
      <c r="F24" s="14"/>
      <c r="G24" s="81"/>
      <c r="H24" s="101" t="s">
        <v>26</v>
      </c>
      <c r="I24" s="15"/>
      <c r="J24" s="81"/>
      <c r="K24" s="101" t="s">
        <v>26</v>
      </c>
      <c r="L24" s="15"/>
      <c r="M24" s="81"/>
      <c r="N24" s="88"/>
      <c r="O24" s="88"/>
      <c r="P24" s="88"/>
      <c r="Q24" s="88"/>
      <c r="R24" s="88"/>
      <c r="S24" s="88"/>
      <c r="T24" s="88"/>
      <c r="U24" s="88"/>
    </row>
    <row r="25" spans="2:21" ht="21.95" customHeight="1" x14ac:dyDescent="0.25">
      <c r="B25" s="100" t="s">
        <v>27</v>
      </c>
      <c r="C25" s="12"/>
      <c r="D25" s="89">
        <f>UBERSICHT!G11</f>
        <v>3868.38</v>
      </c>
      <c r="E25" s="86">
        <v>0</v>
      </c>
      <c r="F25" s="14"/>
      <c r="G25" s="81"/>
      <c r="H25" s="101" t="s">
        <v>27</v>
      </c>
      <c r="I25" s="15"/>
      <c r="J25" s="81"/>
      <c r="K25" s="101" t="s">
        <v>27</v>
      </c>
      <c r="L25" s="15"/>
      <c r="M25" s="81"/>
      <c r="N25" s="88"/>
      <c r="O25" s="88"/>
      <c r="P25" s="88"/>
      <c r="Q25" s="88"/>
      <c r="R25" s="88"/>
      <c r="S25" s="88"/>
      <c r="T25" s="88"/>
      <c r="U25" s="88"/>
    </row>
    <row r="26" spans="2:21" ht="21.95" customHeight="1" x14ac:dyDescent="0.25">
      <c r="B26" s="100" t="s">
        <v>28</v>
      </c>
      <c r="C26" s="12"/>
      <c r="D26" s="89">
        <f>UBERSICHT!G12</f>
        <v>3868.38</v>
      </c>
      <c r="E26" s="86">
        <v>0</v>
      </c>
      <c r="F26" s="14"/>
      <c r="G26" s="81"/>
      <c r="H26" s="101" t="s">
        <v>28</v>
      </c>
      <c r="I26" s="15"/>
      <c r="J26" s="81"/>
      <c r="K26" s="101" t="s">
        <v>28</v>
      </c>
      <c r="L26" s="15"/>
      <c r="M26" s="90"/>
      <c r="N26" s="88"/>
      <c r="O26" s="88"/>
      <c r="P26" s="88"/>
      <c r="Q26" s="88"/>
      <c r="R26" s="88"/>
      <c r="S26" s="88"/>
      <c r="T26" s="88"/>
      <c r="U26" s="88"/>
    </row>
    <row r="27" spans="2:21" ht="21.95" customHeight="1" x14ac:dyDescent="0.25">
      <c r="B27" s="100" t="s">
        <v>29</v>
      </c>
      <c r="C27" s="12"/>
      <c r="D27" s="89">
        <f>UBERSICHT!G13</f>
        <v>3868.38</v>
      </c>
      <c r="E27" s="86">
        <v>0</v>
      </c>
      <c r="F27" s="14"/>
      <c r="G27" s="81"/>
      <c r="H27" s="101" t="s">
        <v>29</v>
      </c>
      <c r="I27" s="15"/>
      <c r="J27" s="81"/>
      <c r="K27" s="101" t="s">
        <v>29</v>
      </c>
      <c r="L27" s="15"/>
      <c r="M27" s="90"/>
      <c r="N27" s="88"/>
      <c r="O27" s="88"/>
      <c r="P27" s="88"/>
      <c r="Q27" s="88"/>
      <c r="R27" s="88"/>
      <c r="S27" s="88"/>
      <c r="T27" s="88"/>
      <c r="U27" s="88"/>
    </row>
    <row r="28" spans="2:21" ht="21.95" customHeight="1" x14ac:dyDescent="0.25">
      <c r="B28" s="100" t="s">
        <v>30</v>
      </c>
      <c r="C28" s="12"/>
      <c r="D28" s="89">
        <f>UBERSICHT!G15</f>
        <v>3868.38</v>
      </c>
      <c r="E28" s="86">
        <v>0</v>
      </c>
      <c r="F28" s="14"/>
      <c r="G28" s="81"/>
      <c r="H28" s="101" t="s">
        <v>30</v>
      </c>
      <c r="I28" s="15"/>
      <c r="J28" s="81"/>
      <c r="K28" s="101" t="s">
        <v>30</v>
      </c>
      <c r="L28" s="15"/>
      <c r="M28" s="90"/>
      <c r="N28" s="88"/>
      <c r="O28" s="88"/>
      <c r="P28" s="88"/>
      <c r="Q28" s="88"/>
      <c r="R28" s="88"/>
      <c r="S28" s="88"/>
      <c r="T28" s="88"/>
      <c r="U28" s="88"/>
    </row>
    <row r="29" spans="2:21" ht="21.95" customHeight="1" x14ac:dyDescent="0.25">
      <c r="B29" s="100" t="s">
        <v>31</v>
      </c>
      <c r="C29" s="12"/>
      <c r="D29" s="89">
        <f>UBERSICHT!G16</f>
        <v>3868.38</v>
      </c>
      <c r="E29" s="86">
        <v>0</v>
      </c>
      <c r="F29" s="14"/>
      <c r="G29" s="81"/>
      <c r="H29" s="101" t="s">
        <v>31</v>
      </c>
      <c r="I29" s="15"/>
      <c r="J29" s="81"/>
      <c r="K29" s="101" t="s">
        <v>31</v>
      </c>
      <c r="L29" s="15"/>
      <c r="M29" s="90"/>
      <c r="N29" s="88"/>
      <c r="O29" s="88"/>
      <c r="P29" s="88"/>
      <c r="Q29" s="88"/>
      <c r="R29" s="88"/>
      <c r="S29" s="88"/>
      <c r="T29" s="88"/>
      <c r="U29" s="88"/>
    </row>
    <row r="30" spans="2:21" ht="21.95" customHeight="1" x14ac:dyDescent="0.25">
      <c r="B30" s="100" t="s">
        <v>32</v>
      </c>
      <c r="C30" s="12"/>
      <c r="D30" s="89">
        <f>UBERSICHT!G17</f>
        <v>3868.38</v>
      </c>
      <c r="E30" s="86">
        <v>0</v>
      </c>
      <c r="F30" s="14"/>
      <c r="G30" s="81"/>
      <c r="H30" s="101" t="s">
        <v>32</v>
      </c>
      <c r="I30" s="15"/>
      <c r="J30" s="81"/>
      <c r="K30" s="101" t="s">
        <v>32</v>
      </c>
      <c r="L30" s="15"/>
      <c r="M30" s="81"/>
      <c r="N30" s="88"/>
      <c r="O30" s="88"/>
      <c r="P30" s="88"/>
      <c r="Q30" s="88"/>
      <c r="R30" s="88"/>
      <c r="S30" s="88"/>
      <c r="T30" s="88"/>
      <c r="U30" s="88"/>
    </row>
    <row r="31" spans="2:21" ht="21.95" customHeight="1" x14ac:dyDescent="0.25">
      <c r="B31" s="100" t="s">
        <v>33</v>
      </c>
      <c r="C31" s="12"/>
      <c r="D31" s="89">
        <f>UBERSICHT!G19</f>
        <v>3868.38</v>
      </c>
      <c r="E31" s="86">
        <v>0</v>
      </c>
      <c r="F31" s="14"/>
      <c r="G31" s="81"/>
      <c r="H31" s="101" t="s">
        <v>33</v>
      </c>
      <c r="I31" s="15"/>
      <c r="J31" s="81"/>
      <c r="K31" s="101" t="s">
        <v>33</v>
      </c>
      <c r="L31" s="15"/>
      <c r="M31" s="81"/>
      <c r="N31" s="88"/>
      <c r="O31" s="88"/>
      <c r="P31" s="88"/>
      <c r="Q31" s="88"/>
      <c r="R31" s="88"/>
      <c r="S31" s="88"/>
      <c r="T31" s="88"/>
      <c r="U31" s="88"/>
    </row>
    <row r="32" spans="2:21" ht="21.95" customHeight="1" x14ac:dyDescent="0.25">
      <c r="B32" s="100" t="s">
        <v>34</v>
      </c>
      <c r="C32" s="12"/>
      <c r="D32" s="89">
        <f>UBERSICHT!G20</f>
        <v>3868.38</v>
      </c>
      <c r="E32" s="86">
        <v>0</v>
      </c>
      <c r="F32" s="14"/>
      <c r="G32" s="81"/>
      <c r="H32" s="101" t="s">
        <v>34</v>
      </c>
      <c r="I32" s="15"/>
      <c r="J32" s="81"/>
      <c r="K32" s="101" t="s">
        <v>34</v>
      </c>
      <c r="L32" s="15"/>
      <c r="M32" s="81"/>
      <c r="N32" s="88"/>
      <c r="O32" s="88"/>
      <c r="P32" s="88"/>
      <c r="Q32" s="88"/>
      <c r="R32" s="88"/>
      <c r="S32" s="88"/>
      <c r="T32" s="88"/>
      <c r="U32" s="88"/>
    </row>
    <row r="33" spans="2:21" ht="21.95" customHeight="1" thickBot="1" x14ac:dyDescent="0.3">
      <c r="B33" s="100" t="s">
        <v>35</v>
      </c>
      <c r="C33" s="17"/>
      <c r="D33" s="91">
        <f>UBERSICHT!G21</f>
        <v>3868.38</v>
      </c>
      <c r="E33" s="87">
        <v>0</v>
      </c>
      <c r="F33" s="19"/>
      <c r="G33" s="81"/>
      <c r="H33" s="102" t="s">
        <v>35</v>
      </c>
      <c r="I33" s="20"/>
      <c r="J33" s="81"/>
      <c r="K33" s="102" t="s">
        <v>35</v>
      </c>
      <c r="L33" s="20"/>
      <c r="M33" s="81"/>
      <c r="N33" s="88"/>
      <c r="O33" s="88"/>
      <c r="P33" s="88"/>
      <c r="Q33" s="88"/>
      <c r="R33" s="88"/>
      <c r="S33" s="88"/>
      <c r="T33" s="88"/>
      <c r="U33" s="88"/>
    </row>
    <row r="34" spans="2:21" ht="15.75" thickBot="1" x14ac:dyDescent="0.3">
      <c r="B34" s="81"/>
      <c r="C34" s="81"/>
      <c r="D34" s="81"/>
      <c r="E34" s="81"/>
      <c r="F34" s="81"/>
      <c r="G34" s="81"/>
      <c r="H34" s="81"/>
      <c r="I34" s="81"/>
      <c r="J34" s="81"/>
      <c r="K34" s="81"/>
      <c r="L34" s="81"/>
      <c r="M34" s="81"/>
      <c r="N34" s="88"/>
      <c r="O34" s="88"/>
      <c r="P34" s="88"/>
      <c r="Q34" s="88"/>
      <c r="R34" s="88"/>
      <c r="S34" s="88"/>
      <c r="T34" s="88"/>
      <c r="U34" s="88"/>
    </row>
    <row r="35" spans="2:21" ht="24" customHeight="1" thickBot="1" x14ac:dyDescent="0.3">
      <c r="B35" s="103" t="s">
        <v>244</v>
      </c>
      <c r="C35" s="16">
        <v>2026</v>
      </c>
      <c r="D35" s="92"/>
      <c r="E35" s="92"/>
      <c r="F35" s="81"/>
      <c r="G35" s="81"/>
      <c r="H35" s="81"/>
      <c r="I35" s="81"/>
      <c r="J35" s="81"/>
      <c r="K35" s="81"/>
      <c r="L35" s="81"/>
      <c r="M35" s="81"/>
      <c r="N35" s="88"/>
      <c r="O35" s="88"/>
      <c r="P35" s="88"/>
      <c r="Q35" s="88"/>
      <c r="R35" s="88"/>
      <c r="S35" s="88"/>
      <c r="T35" s="88"/>
      <c r="U35" s="88"/>
    </row>
    <row r="36" spans="2:21" x14ac:dyDescent="0.25">
      <c r="B36" s="92"/>
      <c r="C36" s="92"/>
      <c r="D36" s="92"/>
      <c r="E36" s="81"/>
      <c r="F36" s="81"/>
      <c r="G36" s="81"/>
      <c r="H36" s="81"/>
      <c r="I36" s="81"/>
      <c r="J36" s="81"/>
      <c r="K36" s="81"/>
      <c r="L36" s="81"/>
      <c r="M36" s="81"/>
      <c r="N36" s="88"/>
      <c r="O36" s="88"/>
      <c r="P36" s="88"/>
      <c r="Q36" s="88"/>
      <c r="R36" s="88"/>
      <c r="S36" s="88"/>
      <c r="T36" s="88"/>
      <c r="U36" s="88"/>
    </row>
    <row r="37" spans="2:21" ht="18" hidden="1" customHeight="1" x14ac:dyDescent="0.25">
      <c r="B37" s="93" t="s">
        <v>182</v>
      </c>
      <c r="C37" s="94" t="s">
        <v>186</v>
      </c>
      <c r="D37" s="81"/>
      <c r="E37" s="81"/>
      <c r="F37" s="81"/>
      <c r="G37" s="81"/>
      <c r="H37" s="81"/>
      <c r="I37" s="81"/>
      <c r="J37" s="81"/>
      <c r="K37" s="81"/>
      <c r="L37" s="81"/>
      <c r="M37" s="81"/>
      <c r="N37" s="88"/>
      <c r="O37" s="88"/>
      <c r="P37" s="88"/>
      <c r="Q37" s="88"/>
      <c r="R37" s="88"/>
      <c r="S37" s="88"/>
      <c r="T37" s="88"/>
      <c r="U37" s="88"/>
    </row>
    <row r="38" spans="2:21" ht="21.95" hidden="1" customHeight="1" x14ac:dyDescent="0.25">
      <c r="B38" s="95" t="s">
        <v>187</v>
      </c>
      <c r="C38" s="96">
        <v>0</v>
      </c>
      <c r="D38" s="81"/>
      <c r="E38" s="81"/>
      <c r="F38" s="81"/>
      <c r="G38" s="81"/>
      <c r="H38" s="81"/>
      <c r="I38" s="81"/>
      <c r="J38" s="81"/>
      <c r="K38" s="81"/>
      <c r="L38" s="81"/>
      <c r="M38" s="81"/>
      <c r="N38" s="88"/>
      <c r="O38" s="88"/>
      <c r="P38" s="88"/>
      <c r="Q38" s="88"/>
      <c r="R38" s="88"/>
      <c r="S38" s="88"/>
      <c r="T38" s="88"/>
      <c r="U38" s="88"/>
    </row>
    <row r="39" spans="2:21" ht="21.95" hidden="1" customHeight="1" x14ac:dyDescent="0.25">
      <c r="B39" s="95" t="s">
        <v>188</v>
      </c>
      <c r="C39" s="96">
        <v>0</v>
      </c>
      <c r="D39" s="81"/>
      <c r="E39" s="81"/>
      <c r="F39" s="81"/>
      <c r="G39" s="81"/>
      <c r="H39" s="81"/>
      <c r="I39" s="81"/>
      <c r="J39" s="81"/>
      <c r="K39" s="81"/>
      <c r="L39" s="81"/>
      <c r="M39" s="81"/>
      <c r="N39" s="88"/>
      <c r="O39" s="88"/>
      <c r="P39" s="88"/>
      <c r="Q39" s="88"/>
      <c r="R39" s="88"/>
      <c r="S39" s="88"/>
      <c r="T39" s="88"/>
      <c r="U39" s="88"/>
    </row>
    <row r="40" spans="2:21" ht="21.95" hidden="1" customHeight="1" x14ac:dyDescent="0.25">
      <c r="B40" s="95" t="s">
        <v>184</v>
      </c>
      <c r="C40" s="96">
        <v>0</v>
      </c>
      <c r="D40" s="81"/>
      <c r="E40" s="81"/>
      <c r="F40" s="81"/>
      <c r="G40" s="81"/>
      <c r="H40" s="81"/>
      <c r="I40" s="81"/>
      <c r="J40" s="81"/>
      <c r="K40" s="81"/>
      <c r="L40" s="81"/>
      <c r="M40" s="81"/>
      <c r="N40" s="88"/>
      <c r="O40" s="88"/>
      <c r="P40" s="88"/>
      <c r="Q40" s="88"/>
      <c r="R40" s="88"/>
      <c r="S40" s="88"/>
      <c r="T40" s="88"/>
      <c r="U40" s="88"/>
    </row>
    <row r="41" spans="2:21" ht="21.95" hidden="1" customHeight="1" x14ac:dyDescent="0.25">
      <c r="B41" s="95" t="s">
        <v>189</v>
      </c>
      <c r="C41" s="96">
        <v>0</v>
      </c>
      <c r="D41" s="81"/>
      <c r="E41" s="81"/>
      <c r="F41" s="81"/>
      <c r="G41" s="81"/>
      <c r="H41" s="81"/>
      <c r="I41" s="81"/>
      <c r="J41" s="81"/>
      <c r="K41" s="81"/>
      <c r="L41" s="81"/>
      <c r="M41" s="81"/>
      <c r="N41" s="88"/>
      <c r="O41" s="88"/>
      <c r="P41" s="88"/>
      <c r="Q41" s="88"/>
      <c r="R41" s="88"/>
      <c r="S41" s="88"/>
      <c r="T41" s="88"/>
      <c r="U41" s="88"/>
    </row>
    <row r="42" spans="2:21" ht="21.95" hidden="1" customHeight="1" x14ac:dyDescent="0.25">
      <c r="B42" s="95" t="s">
        <v>190</v>
      </c>
      <c r="C42" s="96">
        <v>0.35</v>
      </c>
      <c r="D42" s="81"/>
      <c r="E42" s="81"/>
      <c r="F42" s="81"/>
      <c r="G42" s="81"/>
      <c r="H42" s="81"/>
      <c r="I42" s="81"/>
      <c r="J42" s="81"/>
      <c r="K42" s="81"/>
      <c r="L42" s="81"/>
      <c r="M42" s="81"/>
      <c r="N42" s="88"/>
      <c r="O42" s="88"/>
      <c r="P42" s="88"/>
      <c r="Q42" s="88"/>
      <c r="R42" s="88"/>
      <c r="S42" s="88"/>
      <c r="T42" s="88"/>
      <c r="U42" s="88"/>
    </row>
    <row r="43" spans="2:21" ht="21.95" hidden="1" customHeight="1" x14ac:dyDescent="0.25">
      <c r="B43" s="95" t="s">
        <v>191</v>
      </c>
      <c r="C43" s="96">
        <v>0.35</v>
      </c>
      <c r="D43" s="81"/>
      <c r="E43" s="81"/>
      <c r="F43" s="81"/>
      <c r="G43" s="81"/>
      <c r="H43" s="81"/>
      <c r="I43" s="81"/>
      <c r="J43" s="81"/>
      <c r="K43" s="81"/>
      <c r="L43" s="81"/>
      <c r="M43" s="81"/>
      <c r="N43" s="81"/>
      <c r="O43" s="81"/>
      <c r="P43" s="81"/>
      <c r="Q43" s="81"/>
      <c r="R43" s="81"/>
      <c r="S43" s="81"/>
      <c r="T43" s="81"/>
      <c r="U43" s="81"/>
    </row>
    <row r="44" spans="2:21" ht="21.95" hidden="1" customHeight="1" x14ac:dyDescent="0.25">
      <c r="B44" s="95" t="s">
        <v>185</v>
      </c>
      <c r="C44" s="96">
        <v>0.5</v>
      </c>
      <c r="D44" s="81"/>
      <c r="E44" s="81"/>
      <c r="F44" s="81"/>
      <c r="G44" s="81"/>
      <c r="H44" s="81"/>
      <c r="I44" s="81"/>
      <c r="J44" s="81"/>
      <c r="K44" s="81"/>
      <c r="L44" s="81"/>
      <c r="M44" s="81"/>
      <c r="N44" s="81"/>
      <c r="O44" s="81"/>
      <c r="P44" s="81"/>
      <c r="Q44" s="81"/>
      <c r="R44" s="81"/>
      <c r="S44" s="81"/>
      <c r="T44" s="81"/>
      <c r="U44" s="81"/>
    </row>
    <row r="45" spans="2:21" ht="21.95" hidden="1" customHeight="1" x14ac:dyDescent="0.25">
      <c r="B45" s="95" t="s">
        <v>192</v>
      </c>
      <c r="C45" s="96">
        <v>0.6</v>
      </c>
      <c r="D45" s="81"/>
      <c r="E45" s="81"/>
      <c r="F45" s="81"/>
      <c r="G45" s="81"/>
      <c r="H45" s="81"/>
      <c r="I45" s="81"/>
      <c r="J45" s="81"/>
      <c r="K45" s="81"/>
      <c r="L45" s="81"/>
      <c r="M45" s="81"/>
      <c r="N45" s="81"/>
      <c r="O45" s="81"/>
      <c r="P45" s="81"/>
      <c r="Q45" s="81"/>
      <c r="R45" s="81"/>
      <c r="S45" s="81"/>
      <c r="T45" s="81"/>
      <c r="U45" s="81"/>
    </row>
    <row r="46" spans="2:21" ht="21.95" hidden="1" customHeight="1" x14ac:dyDescent="0.25">
      <c r="B46" s="95" t="s">
        <v>183</v>
      </c>
      <c r="C46" s="96">
        <v>0.75</v>
      </c>
      <c r="D46" s="81"/>
      <c r="E46" s="81"/>
      <c r="F46" s="81"/>
      <c r="G46" s="81"/>
      <c r="H46" s="81"/>
      <c r="I46" s="81"/>
      <c r="J46" s="81"/>
      <c r="K46" s="81"/>
      <c r="L46" s="81"/>
      <c r="M46" s="81"/>
      <c r="N46" s="81"/>
      <c r="O46" s="81"/>
      <c r="P46" s="81"/>
      <c r="Q46" s="81"/>
      <c r="R46" s="81"/>
      <c r="S46" s="81"/>
      <c r="T46" s="81"/>
      <c r="U46" s="81"/>
    </row>
    <row r="47" spans="2:21" ht="21.95" hidden="1" customHeight="1" x14ac:dyDescent="0.25">
      <c r="B47" s="95" t="s">
        <v>193</v>
      </c>
      <c r="C47" s="96">
        <v>1</v>
      </c>
      <c r="D47" s="81"/>
      <c r="E47" s="81"/>
      <c r="F47" s="81"/>
      <c r="G47" s="81"/>
      <c r="H47" s="81"/>
      <c r="I47" s="81"/>
      <c r="J47" s="81"/>
      <c r="K47" s="81"/>
      <c r="L47" s="81"/>
      <c r="M47" s="81"/>
      <c r="N47" s="81"/>
      <c r="O47" s="81"/>
      <c r="P47" s="81"/>
      <c r="Q47" s="81"/>
      <c r="R47" s="81"/>
      <c r="S47" s="81"/>
      <c r="T47" s="81"/>
      <c r="U47" s="81"/>
    </row>
    <row r="48" spans="2:21" ht="21.95" hidden="1" customHeight="1" x14ac:dyDescent="0.25">
      <c r="B48" s="95" t="s">
        <v>194</v>
      </c>
      <c r="C48" s="96">
        <v>1.1000000000000001</v>
      </c>
      <c r="D48" s="81"/>
      <c r="E48" s="81"/>
      <c r="F48" s="81"/>
      <c r="G48" s="81"/>
      <c r="H48" s="81"/>
      <c r="I48" s="81"/>
      <c r="J48" s="81"/>
      <c r="K48" s="81"/>
      <c r="L48" s="81"/>
      <c r="M48" s="81"/>
      <c r="N48" s="81"/>
      <c r="O48" s="81"/>
      <c r="P48" s="81"/>
      <c r="Q48" s="81"/>
      <c r="R48" s="81"/>
      <c r="S48" s="81"/>
      <c r="T48" s="81"/>
      <c r="U48" s="81"/>
    </row>
    <row r="49" spans="2:21" ht="21.95" hidden="1" customHeight="1" thickBot="1" x14ac:dyDescent="0.3">
      <c r="B49" s="97" t="s">
        <v>195</v>
      </c>
      <c r="C49" s="98">
        <v>0.7</v>
      </c>
      <c r="D49" s="81"/>
      <c r="E49" s="81"/>
      <c r="F49" s="81"/>
      <c r="G49" s="81"/>
      <c r="H49" s="81"/>
      <c r="I49" s="81"/>
      <c r="J49" s="81"/>
      <c r="K49" s="81"/>
      <c r="L49" s="81"/>
      <c r="M49" s="81"/>
      <c r="N49" s="81"/>
      <c r="O49" s="81"/>
      <c r="P49" s="81"/>
      <c r="Q49" s="81"/>
      <c r="R49" s="81"/>
      <c r="S49" s="81"/>
      <c r="T49" s="81"/>
      <c r="U49" s="81"/>
    </row>
    <row r="50" spans="2:21" ht="15.75" hidden="1" x14ac:dyDescent="0.25">
      <c r="B50" s="99"/>
      <c r="C50" s="99"/>
      <c r="D50" s="81"/>
      <c r="E50" s="81"/>
      <c r="F50" s="81"/>
      <c r="G50" s="81"/>
      <c r="H50" s="81"/>
      <c r="I50" s="81"/>
      <c r="J50" s="81"/>
      <c r="K50" s="81"/>
      <c r="L50" s="81"/>
      <c r="M50" s="81"/>
      <c r="N50" s="81"/>
      <c r="O50" s="81"/>
      <c r="P50" s="81"/>
      <c r="Q50" s="81"/>
      <c r="R50" s="81"/>
      <c r="S50" s="81"/>
      <c r="T50" s="81"/>
      <c r="U50" s="81"/>
    </row>
    <row r="51" spans="2:21" ht="15.75" hidden="1" x14ac:dyDescent="0.25">
      <c r="B51" s="99"/>
      <c r="C51" s="99"/>
      <c r="D51" s="81"/>
      <c r="E51" s="81"/>
      <c r="F51" s="81"/>
      <c r="G51" s="81"/>
      <c r="H51" s="81"/>
      <c r="I51" s="81"/>
      <c r="J51" s="81"/>
      <c r="K51" s="81"/>
      <c r="L51" s="81"/>
      <c r="M51" s="81"/>
      <c r="N51" s="81"/>
      <c r="O51" s="81"/>
      <c r="P51" s="81"/>
      <c r="Q51" s="81"/>
      <c r="R51" s="81"/>
      <c r="S51" s="81"/>
      <c r="T51" s="81"/>
      <c r="U51" s="81"/>
    </row>
    <row r="52" spans="2:21" ht="18" hidden="1" customHeight="1" x14ac:dyDescent="0.25">
      <c r="B52" s="93" t="s">
        <v>196</v>
      </c>
      <c r="C52" s="94" t="s">
        <v>197</v>
      </c>
      <c r="D52" s="81"/>
      <c r="E52" s="81"/>
      <c r="F52" s="81"/>
      <c r="G52" s="81"/>
      <c r="H52" s="81"/>
      <c r="I52" s="81"/>
      <c r="J52" s="81"/>
      <c r="K52" s="81"/>
      <c r="L52" s="81"/>
      <c r="M52" s="81"/>
      <c r="N52" s="81"/>
      <c r="O52" s="81"/>
      <c r="P52" s="81"/>
      <c r="Q52" s="81"/>
      <c r="R52" s="81"/>
      <c r="S52" s="81"/>
      <c r="T52" s="81"/>
      <c r="U52" s="81"/>
    </row>
    <row r="53" spans="2:21" ht="21.95" hidden="1" customHeight="1" x14ac:dyDescent="0.25">
      <c r="B53" s="95" t="s">
        <v>198</v>
      </c>
      <c r="C53" s="96">
        <v>0.3</v>
      </c>
      <c r="D53" s="81"/>
      <c r="E53" s="81"/>
      <c r="F53" s="81"/>
      <c r="G53" s="81"/>
      <c r="H53" s="81"/>
      <c r="I53" s="81"/>
      <c r="J53" s="81"/>
      <c r="K53" s="81"/>
      <c r="L53" s="81"/>
      <c r="M53" s="81"/>
      <c r="N53" s="81"/>
      <c r="O53" s="81"/>
      <c r="P53" s="81"/>
      <c r="Q53" s="81"/>
      <c r="R53" s="81"/>
      <c r="S53" s="81"/>
      <c r="T53" s="81"/>
      <c r="U53" s="81"/>
    </row>
    <row r="54" spans="2:21" ht="21.95" hidden="1" customHeight="1" x14ac:dyDescent="0.25">
      <c r="B54" s="95" t="s">
        <v>199</v>
      </c>
      <c r="C54" s="96">
        <v>0.5</v>
      </c>
      <c r="D54" s="81"/>
      <c r="E54" s="81"/>
      <c r="F54" s="81"/>
      <c r="G54" s="81"/>
      <c r="H54" s="81"/>
      <c r="I54" s="81"/>
      <c r="J54" s="81"/>
      <c r="K54" s="81"/>
      <c r="L54" s="81"/>
      <c r="M54" s="81"/>
      <c r="N54" s="81"/>
      <c r="O54" s="81"/>
      <c r="P54" s="81"/>
      <c r="Q54" s="81"/>
      <c r="R54" s="81"/>
      <c r="S54" s="81"/>
      <c r="T54" s="81"/>
      <c r="U54" s="81"/>
    </row>
    <row r="55" spans="2:21" ht="21.95" hidden="1" customHeight="1" x14ac:dyDescent="0.25">
      <c r="B55" s="95" t="s">
        <v>200</v>
      </c>
      <c r="C55" s="96">
        <v>0.75</v>
      </c>
      <c r="D55" s="81"/>
      <c r="E55" s="81"/>
      <c r="F55" s="81"/>
      <c r="G55" s="81"/>
      <c r="H55" s="81"/>
      <c r="I55" s="81"/>
      <c r="J55" s="81"/>
      <c r="K55" s="81"/>
      <c r="L55" s="81"/>
      <c r="M55" s="81"/>
      <c r="N55" s="81"/>
      <c r="O55" s="81"/>
      <c r="P55" s="81"/>
      <c r="Q55" s="81"/>
      <c r="R55" s="81"/>
      <c r="S55" s="81"/>
      <c r="T55" s="81"/>
      <c r="U55" s="81"/>
    </row>
    <row r="56" spans="2:21" ht="21.95" hidden="1" customHeight="1" x14ac:dyDescent="0.25">
      <c r="B56" s="95" t="s">
        <v>201</v>
      </c>
      <c r="C56" s="96">
        <v>1</v>
      </c>
      <c r="D56" s="81"/>
      <c r="E56" s="81"/>
      <c r="F56" s="81"/>
      <c r="G56" s="81"/>
      <c r="H56" s="81"/>
      <c r="I56" s="81"/>
      <c r="J56" s="81"/>
      <c r="K56" s="81"/>
      <c r="L56" s="81"/>
      <c r="M56" s="81"/>
      <c r="N56" s="81"/>
      <c r="O56" s="81"/>
      <c r="P56" s="81"/>
      <c r="Q56" s="81"/>
      <c r="R56" s="81"/>
      <c r="S56" s="81"/>
      <c r="T56" s="81"/>
      <c r="U56" s="81"/>
    </row>
    <row r="57" spans="2:21" ht="21.95" hidden="1" customHeight="1" x14ac:dyDescent="0.25">
      <c r="B57" s="95" t="s">
        <v>202</v>
      </c>
      <c r="C57" s="96">
        <v>1.25</v>
      </c>
      <c r="D57" s="81"/>
      <c r="E57" s="81"/>
      <c r="F57" s="81"/>
      <c r="G57" s="81"/>
      <c r="H57" s="81"/>
      <c r="I57" s="81"/>
      <c r="J57" s="81"/>
      <c r="K57" s="81"/>
      <c r="L57" s="81"/>
      <c r="M57" s="81"/>
      <c r="N57" s="81"/>
      <c r="O57" s="81"/>
      <c r="P57" s="81"/>
      <c r="Q57" s="81"/>
      <c r="R57" s="81"/>
      <c r="S57" s="81"/>
      <c r="T57" s="81"/>
      <c r="U57" s="81"/>
    </row>
    <row r="58" spans="2:21" ht="21.95" hidden="1" customHeight="1" x14ac:dyDescent="0.25">
      <c r="B58" s="95" t="s">
        <v>203</v>
      </c>
      <c r="C58" s="96">
        <v>1.5</v>
      </c>
      <c r="D58" s="81"/>
      <c r="E58" s="81"/>
      <c r="F58" s="81"/>
      <c r="G58" s="81"/>
      <c r="H58" s="81"/>
      <c r="I58" s="81"/>
      <c r="J58" s="81"/>
      <c r="K58" s="81"/>
      <c r="L58" s="81"/>
      <c r="M58" s="81"/>
      <c r="N58" s="81"/>
      <c r="O58" s="81"/>
      <c r="P58" s="81"/>
      <c r="Q58" s="81"/>
      <c r="R58" s="81"/>
      <c r="S58" s="81"/>
      <c r="T58" s="81"/>
      <c r="U58" s="81"/>
    </row>
    <row r="59" spans="2:21" ht="21.95" hidden="1" customHeight="1" thickBot="1" x14ac:dyDescent="0.3">
      <c r="B59" s="97" t="s">
        <v>204</v>
      </c>
      <c r="C59" s="98">
        <v>2</v>
      </c>
      <c r="D59" s="81"/>
      <c r="E59" s="81"/>
      <c r="F59" s="81"/>
      <c r="G59" s="81"/>
      <c r="H59" s="81"/>
      <c r="I59" s="81"/>
      <c r="J59" s="81"/>
      <c r="K59" s="81"/>
      <c r="L59" s="81"/>
      <c r="M59" s="81"/>
      <c r="N59" s="81"/>
      <c r="O59" s="81"/>
      <c r="P59" s="81"/>
      <c r="Q59" s="81"/>
      <c r="R59" s="81"/>
      <c r="S59" s="81"/>
      <c r="T59" s="81"/>
      <c r="U59" s="81"/>
    </row>
    <row r="100" spans="26:26" x14ac:dyDescent="0.25">
      <c r="Z100" s="79"/>
    </row>
  </sheetData>
  <sheetProtection algorithmName="SHA-512" hashValue="T2UJ3TCyirxeNlIn9ZWADPnUDRdboftisYKigk1gPiDfmI0ttAoKWbIQJHKV+PD+fA1Cr7jFAnBC/dYPsR/Bmw==" saltValue="SOMDOwa6Q6ur8hAfvOYmXg=="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40625" defaultRowHeight="15.95" customHeight="1" x14ac:dyDescent="0.3"/>
  <cols>
    <col min="1" max="1" width="4.42578125" style="427" customWidth="1"/>
    <col min="2" max="2" width="9.140625" style="427" customWidth="1"/>
    <col min="3" max="3" width="35.5703125" style="263" customWidth="1"/>
    <col min="4" max="4" width="13.5703125" style="263" customWidth="1"/>
    <col min="5" max="5" width="9.5703125" style="263" customWidth="1"/>
    <col min="6" max="6" width="10.5703125" style="263" customWidth="1"/>
    <col min="7" max="7" width="13.5703125" style="263" customWidth="1"/>
    <col min="8" max="8" width="11.5703125" style="263" customWidth="1"/>
    <col min="9" max="10" width="13.5703125" style="263" customWidth="1"/>
    <col min="11" max="11" width="14.5703125" style="263" customWidth="1"/>
    <col min="12" max="12" width="14.5703125" style="389" customWidth="1"/>
    <col min="13" max="13" width="17.85546875" style="263" customWidth="1"/>
    <col min="14" max="14" width="34.5703125" style="263" customWidth="1"/>
    <col min="15" max="15" width="12.5703125" style="263" customWidth="1"/>
    <col min="16" max="16" width="16.5703125" style="263" customWidth="1"/>
    <col min="17" max="17" width="14.5703125" style="263" customWidth="1"/>
    <col min="18" max="18" width="13.5703125" style="263" customWidth="1"/>
    <col min="19" max="19" width="9.5703125" style="263" customWidth="1"/>
    <col min="20" max="20" width="10.5703125" style="263" customWidth="1"/>
    <col min="21" max="21" width="7.5703125" style="263" customWidth="1"/>
    <col min="22" max="27" width="9.140625" style="263"/>
    <col min="28" max="28" width="10.140625" style="263" bestFit="1" customWidth="1"/>
    <col min="29" max="16384" width="9.140625" style="263"/>
  </cols>
  <sheetData>
    <row r="1" spans="1:28" ht="18" customHeight="1" x14ac:dyDescent="0.3">
      <c r="A1" s="344">
        <v>1</v>
      </c>
      <c r="B1" s="345" t="s">
        <v>179</v>
      </c>
      <c r="C1" s="346" t="s">
        <v>39</v>
      </c>
      <c r="D1" s="346" t="s">
        <v>180</v>
      </c>
      <c r="E1" s="346" t="s">
        <v>0</v>
      </c>
      <c r="F1" s="346" t="s">
        <v>40</v>
      </c>
      <c r="G1" s="346" t="s">
        <v>41</v>
      </c>
      <c r="H1" s="346" t="s">
        <v>42</v>
      </c>
      <c r="I1" s="346" t="s">
        <v>181</v>
      </c>
      <c r="J1" s="346" t="s">
        <v>43</v>
      </c>
      <c r="K1" s="346" t="s">
        <v>44</v>
      </c>
      <c r="L1" s="346" t="s">
        <v>45</v>
      </c>
      <c r="M1" s="346" t="s">
        <v>46</v>
      </c>
      <c r="N1" s="347" t="s">
        <v>182</v>
      </c>
      <c r="AB1" s="348">
        <f>DATE(EINSTELLUNG!$C$35,$A$1,1)</f>
        <v>46023</v>
      </c>
    </row>
    <row r="2" spans="1:28" ht="18" customHeight="1" thickBot="1" x14ac:dyDescent="0.35">
      <c r="A2" s="349"/>
      <c r="B2" s="350"/>
      <c r="C2" s="351"/>
      <c r="D2" s="351"/>
      <c r="E2" s="351"/>
      <c r="F2" s="351"/>
      <c r="G2" s="351"/>
      <c r="H2" s="351"/>
      <c r="I2" s="351"/>
      <c r="J2" s="351"/>
      <c r="K2" s="351"/>
      <c r="L2" s="351"/>
      <c r="M2" s="351"/>
      <c r="N2" s="352"/>
      <c r="O2" s="353"/>
      <c r="P2" s="353"/>
      <c r="Q2" s="353"/>
      <c r="S2" s="354" t="s">
        <v>291</v>
      </c>
      <c r="T2" s="354"/>
      <c r="U2" s="354"/>
      <c r="V2" s="354"/>
      <c r="AB2" s="348">
        <f>EOMONTH(DATE(EINSTELLUNG!$C$35,$A$1,1),0)</f>
        <v>46053</v>
      </c>
    </row>
    <row r="3" spans="1:28" ht="18" customHeight="1" x14ac:dyDescent="0.35">
      <c r="A3" s="355" t="s">
        <v>292</v>
      </c>
      <c r="B3" s="74">
        <v>221340</v>
      </c>
      <c r="C3" s="151" t="s">
        <v>333</v>
      </c>
      <c r="D3" s="24">
        <v>32994</v>
      </c>
      <c r="E3" s="25" t="s">
        <v>11</v>
      </c>
      <c r="F3" s="26">
        <v>151.38</v>
      </c>
      <c r="G3" s="429">
        <v>2012.5</v>
      </c>
      <c r="H3" s="430">
        <f>IF(AND(ISNUMBER(D3),ISNUMBER(F3)),ROUNDDOWN(MIN(IF(OR(ISBLANK(I3),I3=""),EOMONTH(DATE(EINSTELLUNG!$C$35,$A$1,1),0),I3)-MAX(D3,DATE(EINSTELLUNG!$C$35,$A$1,1))+1)/DAY(EOMONTH(DATE(EINSTELLUNG!$C$35,$A$1,1),0))*F3,2),"")</f>
        <v>151.38</v>
      </c>
      <c r="I3" s="27"/>
      <c r="J3" s="28"/>
      <c r="K3" s="429">
        <f t="shared" ref="K3:K34" si="0">IF(OR(B3="",C3=""),"",IFERROR(IF(OR(MONTH(D3)=1,MONTH(D3)=3,MONTH(D3)=5,MONTH(D3)=7,MONTH(D3)=8,MONTH(D3)=10,MONTH(D3)=12),(G3/31)*J3,IF(OR(MONTH(D3)=4,MONTH(D3)=6,MONTH(D3)=9,MONTH(D3)=11),(G3/30)*J3,(G3/DAY(EOMONTH(D3,0)))*J3)),0))</f>
        <v>0</v>
      </c>
      <c r="L3" s="431">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2012.5</v>
      </c>
      <c r="M3" s="29"/>
      <c r="N3" s="53"/>
      <c r="O3" s="359" t="s">
        <v>47</v>
      </c>
      <c r="P3" s="359" t="s">
        <v>48</v>
      </c>
      <c r="Q3" s="359" t="s">
        <v>49</v>
      </c>
      <c r="R3" s="360" t="s">
        <v>50</v>
      </c>
      <c r="S3" s="361"/>
      <c r="T3" s="361"/>
      <c r="U3" s="361"/>
      <c r="V3" s="361"/>
      <c r="AB3" s="362"/>
    </row>
    <row r="4" spans="1:28" ht="21.95" customHeight="1" x14ac:dyDescent="0.35">
      <c r="A4" s="363" t="s">
        <v>51</v>
      </c>
      <c r="B4" s="75">
        <v>21867</v>
      </c>
      <c r="C4" s="153" t="s">
        <v>385</v>
      </c>
      <c r="D4" s="31">
        <v>46023</v>
      </c>
      <c r="E4" s="32" t="s">
        <v>2</v>
      </c>
      <c r="F4" s="33">
        <v>173</v>
      </c>
      <c r="G4" s="432">
        <v>2100</v>
      </c>
      <c r="H4" s="433">
        <f>IF(AND(ISNUMBER(D4),ISNUMBER(F4)),ROUNDDOWN(MIN(IF(OR(ISBLANK(I4),I4=""),EOMONTH(DATE(EINSTELLUNG!$C$35,$A$1,1),0),I4)-MAX(D4,DATE(EINSTELLUNG!$C$35,$A$1,1))+1)/DAY(EOMONTH(DATE(EINSTELLUNG!$C$35,$A$1,1),0))*F4,2),"")</f>
        <v>173</v>
      </c>
      <c r="I4" s="34"/>
      <c r="J4" s="35"/>
      <c r="K4" s="432">
        <f t="shared" si="0"/>
        <v>0</v>
      </c>
      <c r="L4" s="43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2100</v>
      </c>
      <c r="M4" s="36"/>
      <c r="N4" s="54"/>
      <c r="O4" s="367"/>
      <c r="P4" s="367"/>
      <c r="Q4" s="367"/>
      <c r="R4" s="368"/>
      <c r="S4" s="361"/>
      <c r="T4" s="361"/>
      <c r="U4" s="361"/>
      <c r="V4" s="361"/>
    </row>
    <row r="5" spans="1:28" ht="21.95" customHeight="1" x14ac:dyDescent="0.35">
      <c r="A5" s="363" t="s">
        <v>52</v>
      </c>
      <c r="B5" s="76"/>
      <c r="C5" s="37"/>
      <c r="D5" s="38"/>
      <c r="E5" s="39"/>
      <c r="F5" s="40"/>
      <c r="G5" s="432" t="str">
        <f>IF(OR(E5="",F5=""),"",PID_KVLohnLookup($A$1,E5,F5,LOHNTABELLE!$H$4))</f>
        <v/>
      </c>
      <c r="H5" s="433" t="str">
        <f>IF(AND(ISNUMBER(D5),ISNUMBER(F5)),ROUNDDOWN(MIN(IF(OR(ISBLANK(I5),I5=""),EOMONTH(DATE(EINSTELLUNG!$C$35,$A$1,1),0),I5)-MAX(D5,DATE(EINSTELLUNG!$C$35,$A$1,1))+1)/DAY(EOMONTH(DATE(EINSTELLUNG!$C$35,$A$1,1),0))*F5,2),"")</f>
        <v/>
      </c>
      <c r="I5" s="41"/>
      <c r="J5" s="42"/>
      <c r="K5" s="432" t="str">
        <f t="shared" si="0"/>
        <v/>
      </c>
      <c r="L5" s="434"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369" cm="1">
        <f t="array" ref="O5">SUMPRODUCT((F3:F82/4.310808)/5*2.08)</f>
        <v>31.303198843465079</v>
      </c>
      <c r="P5" s="370">
        <f>EINSTELLUNG!I6</f>
        <v>0</v>
      </c>
      <c r="Q5" s="370">
        <f>P5-O5</f>
        <v>-31.303198843465079</v>
      </c>
      <c r="R5" s="371">
        <f>IFERROR(Q5*Q42, 0)</f>
        <v>-396.86295469434037</v>
      </c>
      <c r="S5" s="361"/>
      <c r="T5" s="361"/>
      <c r="U5" s="361"/>
      <c r="V5" s="361"/>
    </row>
    <row r="6" spans="1:28" ht="21.95" customHeight="1" x14ac:dyDescent="0.35">
      <c r="A6" s="363" t="s">
        <v>53</v>
      </c>
      <c r="B6" s="75"/>
      <c r="C6" s="30"/>
      <c r="D6" s="31"/>
      <c r="E6" s="32"/>
      <c r="F6" s="33"/>
      <c r="G6" s="432" t="str">
        <f>IF(OR(E6="",F6=""),"",PID_KVLohnLookup($A$1,E6,F6,LOHNTABELLE!$H$4))</f>
        <v/>
      </c>
      <c r="H6" s="433" t="str">
        <f>IF(AND(ISNUMBER(D6),ISNUMBER(F6)),ROUNDDOWN(MIN(IF(OR(ISBLANK(I6),I6=""),EOMONTH(DATE(EINSTELLUNG!$C$35,$A$1,1),0),I6)-MAX(D6,DATE(EINSTELLUNG!$C$35,$A$1,1))+1)/DAY(EOMONTH(DATE(EINSTELLUNG!$C$35,$A$1,1),0))*F6,2),"")</f>
        <v/>
      </c>
      <c r="I6" s="34"/>
      <c r="J6" s="35"/>
      <c r="K6" s="432" t="str">
        <f t="shared" si="0"/>
        <v/>
      </c>
      <c r="L6" s="434"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372" t="str">
        <f>IF(Q5&lt;0, "Schlecht! Zu wenig Urlaub abgebaut.", IF(Q5&gt;0, "Gut! Mehr Urlaub abgebaut als aufgebaut.", ""))</f>
        <v>Schlecht! Zu wenig Urlaub abgebaut.</v>
      </c>
      <c r="P6" s="373"/>
      <c r="Q6" s="373"/>
      <c r="R6" s="374"/>
      <c r="S6" s="361"/>
      <c r="T6" s="361"/>
      <c r="U6" s="361"/>
      <c r="V6" s="361"/>
    </row>
    <row r="7" spans="1:28" ht="21.95" customHeight="1" thickBot="1" x14ac:dyDescent="0.4">
      <c r="A7" s="363" t="s">
        <v>54</v>
      </c>
      <c r="B7" s="76"/>
      <c r="C7" s="37"/>
      <c r="D7" s="38"/>
      <c r="E7" s="39"/>
      <c r="F7" s="40"/>
      <c r="G7" s="432" t="str">
        <f>IF(OR(E7="",F7=""),"",PID_KVLohnLookup($A$1,E7,F7,LOHNTABELLE!$H$4))</f>
        <v/>
      </c>
      <c r="H7" s="433" t="str">
        <f>IF(AND(ISNUMBER(D7),ISNUMBER(F7)),ROUNDDOWN(MIN(IF(OR(ISBLANK(I7),I7=""),EOMONTH(DATE(EINSTELLUNG!$C$35,$A$1,1),0),I7)-MAX(D7,DATE(EINSTELLUNG!$C$35,$A$1,1))+1)/DAY(EOMONTH(DATE(EINSTELLUNG!$C$35,$A$1,1),0))*F7,2),"")</f>
        <v/>
      </c>
      <c r="I7" s="41"/>
      <c r="J7" s="42"/>
      <c r="K7" s="432" t="str">
        <f t="shared" si="0"/>
        <v/>
      </c>
      <c r="L7" s="434"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361"/>
      <c r="P7" s="361"/>
      <c r="Q7" s="361"/>
      <c r="R7" s="361"/>
      <c r="S7" s="361"/>
      <c r="T7" s="361"/>
      <c r="U7" s="361"/>
      <c r="V7" s="361"/>
    </row>
    <row r="8" spans="1:28" ht="21.95" customHeight="1" x14ac:dyDescent="0.35">
      <c r="A8" s="363" t="s">
        <v>55</v>
      </c>
      <c r="B8" s="75"/>
      <c r="C8" s="30"/>
      <c r="D8" s="31"/>
      <c r="E8" s="32"/>
      <c r="F8" s="33"/>
      <c r="G8" s="432" t="str">
        <f>IF(OR(E8="",F8=""),"",PID_KVLohnLookup($A$1,E8,F8,LOHNTABELLE!$H$4))</f>
        <v/>
      </c>
      <c r="H8" s="433" t="str">
        <f>IF(AND(ISNUMBER(D8),ISNUMBER(F8)),ROUNDDOWN(MIN(IF(OR(ISBLANK(I8),I8=""),EOMONTH(DATE(EINSTELLUNG!$C$35,$A$1,1),0),I8)-MAX(D8,DATE(EINSTELLUNG!$C$35,$A$1,1))+1)/DAY(EOMONTH(DATE(EINSTELLUNG!$C$35,$A$1,1),0))*F8,2),"")</f>
        <v/>
      </c>
      <c r="I8" s="34"/>
      <c r="J8" s="35"/>
      <c r="K8" s="432" t="str">
        <f t="shared" si="0"/>
        <v/>
      </c>
      <c r="L8" s="434"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6"/>
      <c r="O8" s="435" t="s">
        <v>56</v>
      </c>
      <c r="P8" s="376"/>
      <c r="Q8" s="377">
        <f>SUM(H3:H82)</f>
        <v>324.38</v>
      </c>
      <c r="R8" s="378"/>
      <c r="S8" s="361"/>
      <c r="T8" s="361"/>
      <c r="U8" s="361"/>
      <c r="V8" s="361"/>
    </row>
    <row r="9" spans="1:28" ht="21.95" customHeight="1" x14ac:dyDescent="0.35">
      <c r="A9" s="363" t="s">
        <v>57</v>
      </c>
      <c r="B9" s="76"/>
      <c r="C9" s="37"/>
      <c r="D9" s="38"/>
      <c r="E9" s="39"/>
      <c r="F9" s="40"/>
      <c r="G9" s="432" t="str">
        <f>IF(OR(E9="",F9=""),"",PID_KVLohnLookup($A$1,E9,F9,LOHNTABELLE!$H$4))</f>
        <v/>
      </c>
      <c r="H9" s="433" t="str">
        <f>IF(AND(ISNUMBER(D9),ISNUMBER(F9)),ROUNDDOWN(MIN(IF(OR(ISBLANK(I9),I9=""),EOMONTH(DATE(EINSTELLUNG!$C$35,$A$1,1),0),I9)-MAX(D9,DATE(EINSTELLUNG!$C$35,$A$1,1))+1)/DAY(EOMONTH(DATE(EINSTELLUNG!$C$35,$A$1,1),0))*F9,2),"")</f>
        <v/>
      </c>
      <c r="I9" s="41"/>
      <c r="J9" s="42"/>
      <c r="K9" s="432" t="str">
        <f t="shared" si="0"/>
        <v/>
      </c>
      <c r="L9" s="434"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7"/>
      <c r="O9" s="436" t="s">
        <v>58</v>
      </c>
      <c r="P9" s="380"/>
      <c r="Q9" s="381">
        <f>EINSTELLUNG!L22</f>
        <v>0</v>
      </c>
      <c r="R9" s="382"/>
      <c r="S9" s="383">
        <f>IFERROR(Q9/Q8, 0)</f>
        <v>0</v>
      </c>
      <c r="T9" s="361"/>
      <c r="U9" s="361"/>
      <c r="V9" s="361"/>
    </row>
    <row r="10" spans="1:28" ht="21.95" customHeight="1" x14ac:dyDescent="0.35">
      <c r="A10" s="363" t="s">
        <v>59</v>
      </c>
      <c r="B10" s="75"/>
      <c r="C10" s="30"/>
      <c r="D10" s="31"/>
      <c r="E10" s="32"/>
      <c r="F10" s="33"/>
      <c r="G10" s="432" t="str">
        <f>IF(OR(E10="",F10=""),"",PID_KVLohnLookup($A$1,E10,F10,LOHNTABELLE!$H$4))</f>
        <v/>
      </c>
      <c r="H10" s="433" t="str">
        <f>IF(AND(ISNUMBER(D10),ISNUMBER(F10)),ROUNDDOWN(MIN(IF(OR(ISBLANK(I10),I10=""),EOMONTH(DATE(EINSTELLUNG!$C$35,$A$1,1),0),I10)-MAX(D10,DATE(EINSTELLUNG!$C$35,$A$1,1))+1)/DAY(EOMONTH(DATE(EINSTELLUNG!$C$35,$A$1,1),0))*F10,2),"")</f>
        <v/>
      </c>
      <c r="I10" s="34"/>
      <c r="J10" s="35"/>
      <c r="K10" s="432" t="str">
        <f t="shared" si="0"/>
        <v/>
      </c>
      <c r="L10" s="434"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6"/>
      <c r="O10" s="436" t="s">
        <v>60</v>
      </c>
      <c r="P10" s="380"/>
      <c r="Q10" s="381">
        <f>EINSTELLUNG!I22</f>
        <v>0</v>
      </c>
      <c r="R10" s="382"/>
      <c r="S10" s="361"/>
      <c r="T10" s="361"/>
      <c r="U10" s="361"/>
      <c r="V10" s="361"/>
    </row>
    <row r="11" spans="1:28" ht="21.95" customHeight="1" x14ac:dyDescent="0.35">
      <c r="A11" s="363" t="s">
        <v>61</v>
      </c>
      <c r="B11" s="76"/>
      <c r="C11" s="37"/>
      <c r="D11" s="38"/>
      <c r="E11" s="39"/>
      <c r="F11" s="40"/>
      <c r="G11" s="432" t="str">
        <f>IF(OR(E11="",F11=""),"",PID_KVLohnLookup($A$1,E11,F11,LOHNTABELLE!$H$4))</f>
        <v/>
      </c>
      <c r="H11" s="433" t="str">
        <f>IF(AND(ISNUMBER(D11),ISNUMBER(F11)),ROUNDDOWN(MIN(IF(OR(ISBLANK(I11),I11=""),EOMONTH(DATE(EINSTELLUNG!$C$35,$A$1,1),0),I11)-MAX(D11,DATE(EINSTELLUNG!$C$35,$A$1,1))+1)/DAY(EOMONTH(DATE(EINSTELLUNG!$C$35,$A$1,1),0))*F11,2),"")</f>
        <v/>
      </c>
      <c r="I11" s="41"/>
      <c r="J11" s="42"/>
      <c r="K11" s="432" t="str">
        <f t="shared" si="0"/>
        <v/>
      </c>
      <c r="L11" s="434"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7"/>
      <c r="O11" s="436" t="s">
        <v>62</v>
      </c>
      <c r="P11" s="380"/>
      <c r="Q11" s="381">
        <f>P5</f>
        <v>0</v>
      </c>
      <c r="R11" s="382"/>
      <c r="S11" s="361"/>
      <c r="T11" s="361"/>
      <c r="U11" s="361"/>
      <c r="V11" s="361"/>
    </row>
    <row r="12" spans="1:28" ht="21.95" customHeight="1" x14ac:dyDescent="0.35">
      <c r="A12" s="363" t="s">
        <v>63</v>
      </c>
      <c r="B12" s="75"/>
      <c r="C12" s="30"/>
      <c r="D12" s="31"/>
      <c r="E12" s="32"/>
      <c r="F12" s="33"/>
      <c r="G12" s="432" t="str">
        <f>IF(OR(E12="",F12=""),"",PID_KVLohnLookup($A$1,E12,F12,LOHNTABELLE!$H$4))</f>
        <v/>
      </c>
      <c r="H12" s="433" t="str">
        <f>IF(AND(ISNUMBER(D12),ISNUMBER(F12)),ROUNDDOWN(MIN(IF(OR(ISBLANK(I12),I12=""),EOMONTH(DATE(EINSTELLUNG!$C$35,$A$1,1),0),I12)-MAX(D12,DATE(EINSTELLUNG!$C$35,$A$1,1))+1)/DAY(EOMONTH(DATE(EINSTELLUNG!$C$35,$A$1,1),0))*F12,2),"")</f>
        <v/>
      </c>
      <c r="I12" s="34"/>
      <c r="J12" s="35"/>
      <c r="K12" s="432" t="str">
        <f t="shared" si="0"/>
        <v/>
      </c>
      <c r="L12" s="434"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6"/>
      <c r="O12" s="436" t="s">
        <v>64</v>
      </c>
      <c r="P12" s="380"/>
      <c r="Q12" s="199"/>
      <c r="R12" s="200"/>
      <c r="S12" s="361"/>
      <c r="T12" s="361"/>
      <c r="U12" s="361"/>
      <c r="V12" s="361"/>
    </row>
    <row r="13" spans="1:28" ht="21.95" customHeight="1" x14ac:dyDescent="0.35">
      <c r="A13" s="363" t="s">
        <v>65</v>
      </c>
      <c r="B13" s="76"/>
      <c r="C13" s="37"/>
      <c r="D13" s="38"/>
      <c r="E13" s="39"/>
      <c r="F13" s="40"/>
      <c r="G13" s="432" t="str">
        <f>IF(OR(E13="",F13=""),"",PID_KVLohnLookup($A$1,E13,F13,LOHNTABELLE!$H$4))</f>
        <v/>
      </c>
      <c r="H13" s="433" t="str">
        <f>IF(AND(ISNUMBER(D13),ISNUMBER(F13)),ROUNDDOWN(MIN(IF(OR(ISBLANK(I13),I13=""),EOMONTH(DATE(EINSTELLUNG!$C$35,$A$1,1),0),I13)-MAX(D13,DATE(EINSTELLUNG!$C$35,$A$1,1))+1)/DAY(EOMONTH(DATE(EINSTELLUNG!$C$35,$A$1,1),0))*F13,2),"")</f>
        <v/>
      </c>
      <c r="I13" s="41"/>
      <c r="J13" s="42"/>
      <c r="K13" s="432" t="str">
        <f t="shared" si="0"/>
        <v/>
      </c>
      <c r="L13" s="434"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7"/>
      <c r="O13" s="436" t="s">
        <v>66</v>
      </c>
      <c r="P13" s="380"/>
      <c r="Q13" s="381">
        <f>Q8-Q9-Q10-Q11-Q12</f>
        <v>324.38</v>
      </c>
      <c r="R13" s="382"/>
      <c r="S13" s="361"/>
      <c r="T13" s="361"/>
      <c r="U13" s="361"/>
      <c r="V13" s="361"/>
    </row>
    <row r="14" spans="1:28" ht="21.95" customHeight="1" x14ac:dyDescent="0.35">
      <c r="A14" s="363" t="s">
        <v>67</v>
      </c>
      <c r="B14" s="75"/>
      <c r="C14" s="30"/>
      <c r="D14" s="31"/>
      <c r="E14" s="32"/>
      <c r="F14" s="33"/>
      <c r="G14" s="432" t="str">
        <f>IF(OR(E14="",F14=""),"",PID_KVLohnLookup($A$1,E14,F14,LOHNTABELLE!$H$4))</f>
        <v/>
      </c>
      <c r="H14" s="433" t="str">
        <f>IF(AND(ISNUMBER(D14),ISNUMBER(F14)),ROUNDDOWN(MIN(IF(OR(ISBLANK(I14),I14=""),EOMONTH(DATE(EINSTELLUNG!$C$35,$A$1,1),0),I14)-MAX(D14,DATE(EINSTELLUNG!$C$35,$A$1,1))+1)/DAY(EOMONTH(DATE(EINSTELLUNG!$C$35,$A$1,1),0))*F14,2),"")</f>
        <v/>
      </c>
      <c r="I14" s="34"/>
      <c r="J14" s="35"/>
      <c r="K14" s="432" t="str">
        <f t="shared" si="0"/>
        <v/>
      </c>
      <c r="L14" s="434"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6"/>
      <c r="O14" s="436" t="s">
        <v>68</v>
      </c>
      <c r="P14" s="380"/>
      <c r="Q14" s="381">
        <f>EINSTELLUNG!L6</f>
        <v>0</v>
      </c>
      <c r="R14" s="382"/>
      <c r="S14" s="361"/>
      <c r="T14" s="361"/>
      <c r="U14" s="361"/>
      <c r="V14" s="361"/>
    </row>
    <row r="15" spans="1:28" ht="21.95" customHeight="1" x14ac:dyDescent="0.35">
      <c r="A15" s="363" t="s">
        <v>69</v>
      </c>
      <c r="B15" s="76"/>
      <c r="C15" s="37"/>
      <c r="D15" s="38"/>
      <c r="E15" s="39"/>
      <c r="F15" s="40"/>
      <c r="G15" s="432" t="str">
        <f>IF(OR(E15="",F15=""),"",PID_KVLohnLookup($A$1,E15,F15,LOHNTABELLE!$H$4))</f>
        <v/>
      </c>
      <c r="H15" s="433" t="str">
        <f>IF(AND(ISNUMBER(D15),ISNUMBER(F15)),ROUNDDOWN(MIN(IF(OR(ISBLANK(I15),I15=""),EOMONTH(DATE(EINSTELLUNG!$C$35,$A$1,1),0),I15)-MAX(D15,DATE(EINSTELLUNG!$C$35,$A$1,1))+1)/DAY(EOMONTH(DATE(EINSTELLUNG!$C$35,$A$1,1),0))*F15,2),"")</f>
        <v/>
      </c>
      <c r="I15" s="41"/>
      <c r="J15" s="42"/>
      <c r="K15" s="432" t="str">
        <f t="shared" si="0"/>
        <v/>
      </c>
      <c r="L15" s="434"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7"/>
      <c r="O15" s="436" t="s">
        <v>70</v>
      </c>
      <c r="P15" s="380"/>
      <c r="Q15" s="381">
        <f>Q13-Q14</f>
        <v>324.38</v>
      </c>
      <c r="R15" s="382"/>
      <c r="S15" s="384"/>
      <c r="T15" s="384"/>
      <c r="U15" s="384"/>
      <c r="V15" s="361"/>
    </row>
    <row r="16" spans="1:28" ht="21.95" customHeight="1" thickBot="1" x14ac:dyDescent="0.4">
      <c r="A16" s="363" t="s">
        <v>71</v>
      </c>
      <c r="B16" s="75"/>
      <c r="C16" s="30"/>
      <c r="D16" s="31"/>
      <c r="E16" s="32"/>
      <c r="F16" s="33"/>
      <c r="G16" s="432" t="str">
        <f>IF(OR(E16="",F16=""),"",PID_KVLohnLookup($A$1,E16,F16,LOHNTABELLE!$H$4))</f>
        <v/>
      </c>
      <c r="H16" s="433" t="str">
        <f>IF(AND(ISNUMBER(D16),ISNUMBER(F16)),ROUNDDOWN(MIN(IF(OR(ISBLANK(I16),I16=""),EOMONTH(DATE(EINSTELLUNG!$C$35,$A$1,1),0),I16)-MAX(D16,DATE(EINSTELLUNG!$C$35,$A$1,1))+1)/DAY(EOMONTH(DATE(EINSTELLUNG!$C$35,$A$1,1),0))*F16,2),"")</f>
        <v/>
      </c>
      <c r="I16" s="34"/>
      <c r="J16" s="35"/>
      <c r="K16" s="432" t="str">
        <f t="shared" si="0"/>
        <v/>
      </c>
      <c r="L16" s="434"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6"/>
      <c r="O16" s="437" t="str">
        <f>IF(Q15&lt;0, "Schlecht! Zu wenig Stunden für Dienstplan.", IF(Q15&gt;0, "Du hast mehr als genug Stunden für Dienstplan.", ""))</f>
        <v>Du hast mehr als genug Stunden für Dienstplan.</v>
      </c>
      <c r="P16" s="386"/>
      <c r="Q16" s="386"/>
      <c r="R16" s="387"/>
      <c r="S16" s="388"/>
      <c r="T16" s="388"/>
      <c r="U16" s="388"/>
      <c r="V16" s="388"/>
      <c r="W16" s="389"/>
    </row>
    <row r="17" spans="1:29" ht="21.95" customHeight="1" x14ac:dyDescent="0.35">
      <c r="A17" s="363" t="s">
        <v>72</v>
      </c>
      <c r="B17" s="76"/>
      <c r="C17" s="37"/>
      <c r="D17" s="38"/>
      <c r="E17" s="39"/>
      <c r="F17" s="40"/>
      <c r="G17" s="432" t="str">
        <f>IF(OR(E17="",F17=""),"",PID_KVLohnLookup($A$1,E17,F17,LOHNTABELLE!$H$4))</f>
        <v/>
      </c>
      <c r="H17" s="433" t="str">
        <f>IF(AND(ISNUMBER(D17),ISNUMBER(F17)),ROUNDDOWN(MIN(IF(OR(ISBLANK(I17),I17=""),EOMONTH(DATE(EINSTELLUNG!$C$35,$A$1,1),0),I17)-MAX(D17,DATE(EINSTELLUNG!$C$35,$A$1,1))+1)/DAY(EOMONTH(DATE(EINSTELLUNG!$C$35,$A$1,1),0))*F17,2),"")</f>
        <v/>
      </c>
      <c r="I17" s="41"/>
      <c r="J17" s="42"/>
      <c r="K17" s="432" t="str">
        <f t="shared" si="0"/>
        <v/>
      </c>
      <c r="L17" s="434"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7"/>
      <c r="O17" s="435" t="s">
        <v>73</v>
      </c>
      <c r="P17" s="376"/>
      <c r="Q17" s="390">
        <f>SUM(L3:L82)</f>
        <v>4112.5</v>
      </c>
      <c r="R17" s="391"/>
      <c r="S17" s="361"/>
      <c r="T17" s="361"/>
      <c r="U17" s="361"/>
      <c r="V17" s="361"/>
      <c r="W17" s="389"/>
    </row>
    <row r="18" spans="1:29" ht="21.95" customHeight="1" x14ac:dyDescent="0.35">
      <c r="A18" s="363" t="s">
        <v>74</v>
      </c>
      <c r="B18" s="75"/>
      <c r="C18" s="30"/>
      <c r="D18" s="31"/>
      <c r="E18" s="32"/>
      <c r="F18" s="33"/>
      <c r="G18" s="432" t="str">
        <f>IF(OR(E18="",F18=""),"",PID_KVLohnLookup($A$1,E18,F18,LOHNTABELLE!$H$4))</f>
        <v/>
      </c>
      <c r="H18" s="433" t="str">
        <f>IF(AND(ISNUMBER(D18),ISNUMBER(F18)),ROUNDDOWN(MIN(IF(OR(ISBLANK(I18),I18=""),EOMONTH(DATE(EINSTELLUNG!$C$35,$A$1,1),0),I18)-MAX(D18,DATE(EINSTELLUNG!$C$35,$A$1,1))+1)/DAY(EOMONTH(DATE(EINSTELLUNG!$C$35,$A$1,1),0))*F18,2),"")</f>
        <v/>
      </c>
      <c r="I18" s="34"/>
      <c r="J18" s="35"/>
      <c r="K18" s="432" t="str">
        <f t="shared" si="0"/>
        <v/>
      </c>
      <c r="L18" s="434"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6"/>
      <c r="O18" s="223"/>
      <c r="P18" s="196"/>
      <c r="Q18" s="197"/>
      <c r="R18" s="198"/>
      <c r="S18" s="361"/>
      <c r="T18" s="361"/>
      <c r="U18" s="361"/>
      <c r="V18" s="361"/>
    </row>
    <row r="19" spans="1:29" ht="21.95" customHeight="1" x14ac:dyDescent="0.35">
      <c r="A19" s="363" t="s">
        <v>75</v>
      </c>
      <c r="B19" s="76"/>
      <c r="C19" s="37"/>
      <c r="D19" s="38"/>
      <c r="E19" s="39"/>
      <c r="F19" s="40"/>
      <c r="G19" s="432" t="str">
        <f>IF(OR(E19="",F19=""),"",PID_KVLohnLookup($A$1,E19,F19,LOHNTABELLE!$H$4))</f>
        <v/>
      </c>
      <c r="H19" s="433" t="str">
        <f>IF(AND(ISNUMBER(D19),ISNUMBER(F19)),ROUNDDOWN(MIN(IF(OR(ISBLANK(I19),I19=""),EOMONTH(DATE(EINSTELLUNG!$C$35,$A$1,1),0),I19)-MAX(D19,DATE(EINSTELLUNG!$C$35,$A$1,1))+1)/DAY(EOMONTH(DATE(EINSTELLUNG!$C$35,$A$1,1),0))*F19,2),"")</f>
        <v/>
      </c>
      <c r="I19" s="41"/>
      <c r="J19" s="42"/>
      <c r="K19" s="432" t="str">
        <f t="shared" si="0"/>
        <v/>
      </c>
      <c r="L19" s="434"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7"/>
      <c r="O19" s="223"/>
      <c r="P19" s="196"/>
      <c r="Q19" s="197"/>
      <c r="R19" s="198"/>
      <c r="S19" s="361"/>
      <c r="T19" s="361"/>
      <c r="U19" s="361"/>
      <c r="V19" s="361"/>
    </row>
    <row r="20" spans="1:29" ht="21.95" customHeight="1" x14ac:dyDescent="0.35">
      <c r="A20" s="363" t="s">
        <v>76</v>
      </c>
      <c r="B20" s="75"/>
      <c r="C20" s="30"/>
      <c r="D20" s="31"/>
      <c r="E20" s="32"/>
      <c r="F20" s="33"/>
      <c r="G20" s="432" t="str">
        <f>IF(OR(E20="",F20=""),"",PID_KVLohnLookup($A$1,E20,F20,LOHNTABELLE!$H$4))</f>
        <v/>
      </c>
      <c r="H20" s="433" t="str">
        <f>IF(AND(ISNUMBER(D20),ISNUMBER(F20)),ROUNDDOWN(MIN(IF(OR(ISBLANK(I20),I20=""),EOMONTH(DATE(EINSTELLUNG!$C$35,$A$1,1),0),I20)-MAX(D20,DATE(EINSTELLUNG!$C$35,$A$1,1))+1)/DAY(EOMONTH(DATE(EINSTELLUNG!$C$35,$A$1,1),0))*F20,2),"")</f>
        <v/>
      </c>
      <c r="I20" s="34"/>
      <c r="J20" s="35"/>
      <c r="K20" s="432" t="str">
        <f t="shared" si="0"/>
        <v/>
      </c>
      <c r="L20" s="434"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6"/>
      <c r="O20" s="223"/>
      <c r="P20" s="196"/>
      <c r="Q20" s="197"/>
      <c r="R20" s="198"/>
      <c r="S20" s="361"/>
      <c r="T20" s="361"/>
      <c r="U20" s="361"/>
      <c r="V20" s="361"/>
    </row>
    <row r="21" spans="1:29" ht="21.95" customHeight="1" x14ac:dyDescent="0.35">
      <c r="A21" s="363" t="s">
        <v>77</v>
      </c>
      <c r="B21" s="76"/>
      <c r="C21" s="37"/>
      <c r="D21" s="38"/>
      <c r="E21" s="39"/>
      <c r="F21" s="40"/>
      <c r="G21" s="432" t="str">
        <f>IF(OR(E21="",F21=""),"",PID_KVLohnLookup($A$1,E21,F21,LOHNTABELLE!$H$4))</f>
        <v/>
      </c>
      <c r="H21" s="433" t="str">
        <f>IF(AND(ISNUMBER(D21),ISNUMBER(F21)),ROUNDDOWN(MIN(IF(OR(ISBLANK(I21),I21=""),EOMONTH(DATE(EINSTELLUNG!$C$35,$A$1,1),0),I21)-MAX(D21,DATE(EINSTELLUNG!$C$35,$A$1,1))+1)/DAY(EOMONTH(DATE(EINSTELLUNG!$C$35,$A$1,1),0))*F21,2),"")</f>
        <v/>
      </c>
      <c r="I21" s="41"/>
      <c r="J21" s="42"/>
      <c r="K21" s="432" t="str">
        <f t="shared" si="0"/>
        <v/>
      </c>
      <c r="L21" s="434"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7"/>
      <c r="O21" s="223"/>
      <c r="P21" s="196"/>
      <c r="Q21" s="197"/>
      <c r="R21" s="198"/>
      <c r="S21" s="361"/>
      <c r="T21" s="361"/>
      <c r="U21" s="361"/>
      <c r="V21" s="361"/>
    </row>
    <row r="22" spans="1:29" ht="21.95" customHeight="1" x14ac:dyDescent="0.35">
      <c r="A22" s="363" t="s">
        <v>78</v>
      </c>
      <c r="B22" s="75"/>
      <c r="C22" s="30"/>
      <c r="D22" s="31"/>
      <c r="E22" s="32"/>
      <c r="F22" s="33"/>
      <c r="G22" s="432" t="str">
        <f>IF(OR(E22="",F22=""),"",PID_KVLohnLookup($A$1,E22,F22,LOHNTABELLE!$H$4))</f>
        <v/>
      </c>
      <c r="H22" s="433" t="str">
        <f>IF(AND(ISNUMBER(D22),ISNUMBER(F22)),ROUNDDOWN(MIN(IF(OR(ISBLANK(I22),I22=""),EOMONTH(DATE(EINSTELLUNG!$C$35,$A$1,1),0),I22)-MAX(D22,DATE(EINSTELLUNG!$C$35,$A$1,1))+1)/DAY(EOMONTH(DATE(EINSTELLUNG!$C$35,$A$1,1),0))*F22,2),"")</f>
        <v/>
      </c>
      <c r="I22" s="34"/>
      <c r="J22" s="35"/>
      <c r="K22" s="432" t="str">
        <f t="shared" si="0"/>
        <v/>
      </c>
      <c r="L22" s="434"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6"/>
      <c r="O22" s="223"/>
      <c r="P22" s="196"/>
      <c r="Q22" s="197"/>
      <c r="R22" s="198"/>
      <c r="S22" s="361"/>
      <c r="T22" s="361"/>
      <c r="U22" s="361"/>
      <c r="V22" s="361"/>
    </row>
    <row r="23" spans="1:29" ht="21.95" customHeight="1" x14ac:dyDescent="0.35">
      <c r="A23" s="363" t="s">
        <v>79</v>
      </c>
      <c r="B23" s="76"/>
      <c r="C23" s="37"/>
      <c r="D23" s="38"/>
      <c r="E23" s="39"/>
      <c r="F23" s="40"/>
      <c r="G23" s="432" t="str">
        <f>IF(OR(E23="",F23=""),"",PID_KVLohnLookup($A$1,E23,F23,LOHNTABELLE!$H$4))</f>
        <v/>
      </c>
      <c r="H23" s="433" t="str">
        <f>IF(AND(ISNUMBER(D23),ISNUMBER(F23)),ROUNDDOWN(MIN(IF(OR(ISBLANK(I23),I23=""),EOMONTH(DATE(EINSTELLUNG!$C$35,$A$1,1),0),I23)-MAX(D23,DATE(EINSTELLUNG!$C$35,$A$1,1))+1)/DAY(EOMONTH(DATE(EINSTELLUNG!$C$35,$A$1,1),0))*F23,2),"")</f>
        <v/>
      </c>
      <c r="I23" s="41"/>
      <c r="J23" s="42"/>
      <c r="K23" s="432" t="str">
        <f t="shared" si="0"/>
        <v/>
      </c>
      <c r="L23" s="434"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7"/>
      <c r="O23" s="223"/>
      <c r="P23" s="196"/>
      <c r="Q23" s="197"/>
      <c r="R23" s="198"/>
      <c r="S23" s="361"/>
      <c r="T23" s="361"/>
      <c r="U23" s="361"/>
      <c r="V23" s="361"/>
      <c r="W23" s="389"/>
    </row>
    <row r="24" spans="1:29" ht="21.95" customHeight="1" x14ac:dyDescent="0.35">
      <c r="A24" s="363" t="s">
        <v>80</v>
      </c>
      <c r="B24" s="75"/>
      <c r="C24" s="30"/>
      <c r="D24" s="31"/>
      <c r="E24" s="32"/>
      <c r="F24" s="33"/>
      <c r="G24" s="432" t="str">
        <f>IF(OR(E24="",F24=""),"",PID_KVLohnLookup($A$1,E24,F24,LOHNTABELLE!$H$4))</f>
        <v/>
      </c>
      <c r="H24" s="433" t="str">
        <f>IF(AND(ISNUMBER(D24),ISNUMBER(F24)),ROUNDDOWN(MIN(IF(OR(ISBLANK(I24),I24=""),EOMONTH(DATE(EINSTELLUNG!$C$35,$A$1,1),0),I24)-MAX(D24,DATE(EINSTELLUNG!$C$35,$A$1,1))+1)/DAY(EOMONTH(DATE(EINSTELLUNG!$C$35,$A$1,1),0))*F24,2),"")</f>
        <v/>
      </c>
      <c r="I24" s="34"/>
      <c r="J24" s="35"/>
      <c r="K24" s="432" t="str">
        <f t="shared" si="0"/>
        <v/>
      </c>
      <c r="L24" s="434"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6"/>
      <c r="O24" s="223"/>
      <c r="P24" s="196"/>
      <c r="Q24" s="197"/>
      <c r="R24" s="198"/>
      <c r="S24" s="361"/>
      <c r="T24" s="361"/>
      <c r="U24" s="361"/>
      <c r="V24" s="361"/>
      <c r="W24" s="389"/>
    </row>
    <row r="25" spans="1:29" ht="21.95" customHeight="1" x14ac:dyDescent="0.35">
      <c r="A25" s="363" t="s">
        <v>81</v>
      </c>
      <c r="B25" s="76"/>
      <c r="C25" s="37"/>
      <c r="D25" s="38"/>
      <c r="E25" s="39"/>
      <c r="F25" s="40"/>
      <c r="G25" s="432" t="str">
        <f>IF(OR(E25="",F25=""),"",PID_KVLohnLookup($A$1,E25,F25,LOHNTABELLE!$H$4))</f>
        <v/>
      </c>
      <c r="H25" s="433" t="str">
        <f>IF(AND(ISNUMBER(D25),ISNUMBER(F25)),ROUNDDOWN(MIN(IF(OR(ISBLANK(I25),I25=""),EOMONTH(DATE(EINSTELLUNG!$C$35,$A$1,1),0),I25)-MAX(D25,DATE(EINSTELLUNG!$C$35,$A$1,1))+1)/DAY(EOMONTH(DATE(EINSTELLUNG!$C$35,$A$1,1),0))*F25,2),"")</f>
        <v/>
      </c>
      <c r="I25" s="41"/>
      <c r="J25" s="42"/>
      <c r="K25" s="432" t="str">
        <f t="shared" si="0"/>
        <v/>
      </c>
      <c r="L25" s="434"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7"/>
      <c r="O25" s="223"/>
      <c r="P25" s="196"/>
      <c r="Q25" s="197"/>
      <c r="R25" s="198"/>
      <c r="S25" s="361"/>
      <c r="T25" s="361"/>
      <c r="U25" s="361"/>
      <c r="V25" s="361"/>
    </row>
    <row r="26" spans="1:29" ht="21.95" customHeight="1" x14ac:dyDescent="0.35">
      <c r="A26" s="363" t="s">
        <v>82</v>
      </c>
      <c r="B26" s="75"/>
      <c r="C26" s="30"/>
      <c r="D26" s="31"/>
      <c r="E26" s="32"/>
      <c r="F26" s="33"/>
      <c r="G26" s="432" t="str">
        <f>IF(OR(E26="",F26=""),"",PID_KVLohnLookup($A$1,E26,F26,LOHNTABELLE!$H$4))</f>
        <v/>
      </c>
      <c r="H26" s="433" t="str">
        <f>IF(AND(ISNUMBER(D26),ISNUMBER(F26)),ROUNDDOWN(MIN(IF(OR(ISBLANK(I26),I26=""),EOMONTH(DATE(EINSTELLUNG!$C$35,$A$1,1),0),I26)-MAX(D26,DATE(EINSTELLUNG!$C$35,$A$1,1))+1)/DAY(EOMONTH(DATE(EINSTELLUNG!$C$35,$A$1,1),0))*F26,2),"")</f>
        <v/>
      </c>
      <c r="I26" s="34"/>
      <c r="J26" s="35"/>
      <c r="K26" s="432" t="str">
        <f t="shared" si="0"/>
        <v/>
      </c>
      <c r="L26" s="434"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6"/>
      <c r="O26" s="223"/>
      <c r="P26" s="196"/>
      <c r="Q26" s="197"/>
      <c r="R26" s="198"/>
      <c r="S26" s="361"/>
      <c r="T26" s="361"/>
      <c r="U26" s="361"/>
      <c r="V26" s="361"/>
    </row>
    <row r="27" spans="1:29" ht="21.95" customHeight="1" x14ac:dyDescent="0.35">
      <c r="A27" s="363" t="s">
        <v>83</v>
      </c>
      <c r="B27" s="76"/>
      <c r="C27" s="37"/>
      <c r="D27" s="38"/>
      <c r="E27" s="39"/>
      <c r="F27" s="40"/>
      <c r="G27" s="432" t="str">
        <f>IF(OR(E27="",F27=""),"",PID_KVLohnLookup($A$1,E27,F27,LOHNTABELLE!$H$4))</f>
        <v/>
      </c>
      <c r="H27" s="433" t="str">
        <f>IF(AND(ISNUMBER(D27),ISNUMBER(F27)),ROUNDDOWN(MIN(IF(OR(ISBLANK(I27),I27=""),EOMONTH(DATE(EINSTELLUNG!$C$35,$A$1,1),0),I27)-MAX(D27,DATE(EINSTELLUNG!$C$35,$A$1,1))+1)/DAY(EOMONTH(DATE(EINSTELLUNG!$C$35,$A$1,1),0))*F27,2),"")</f>
        <v/>
      </c>
      <c r="I27" s="41"/>
      <c r="J27" s="42"/>
      <c r="K27" s="432" t="str">
        <f t="shared" si="0"/>
        <v/>
      </c>
      <c r="L27" s="434"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7"/>
      <c r="O27" s="223"/>
      <c r="P27" s="196"/>
      <c r="Q27" s="197"/>
      <c r="R27" s="198"/>
      <c r="S27" s="392" t="s">
        <v>84</v>
      </c>
      <c r="T27" s="392"/>
      <c r="U27" s="392"/>
      <c r="V27" s="392"/>
    </row>
    <row r="28" spans="1:29" ht="21.95" customHeight="1" x14ac:dyDescent="0.35">
      <c r="A28" s="363" t="s">
        <v>85</v>
      </c>
      <c r="B28" s="75"/>
      <c r="C28" s="30"/>
      <c r="D28" s="31"/>
      <c r="E28" s="32"/>
      <c r="F28" s="33"/>
      <c r="G28" s="432" t="str">
        <f>IF(OR(E28="",F28=""),"",PID_KVLohnLookup($A$1,E28,F28,LOHNTABELLE!$H$4))</f>
        <v/>
      </c>
      <c r="H28" s="433" t="str">
        <f>IF(AND(ISNUMBER(D28),ISNUMBER(F28)),ROUNDDOWN(MIN(IF(OR(ISBLANK(I28),I28=""),EOMONTH(DATE(EINSTELLUNG!$C$35,$A$1,1),0),I28)-MAX(D28,DATE(EINSTELLUNG!$C$35,$A$1,1))+1)/DAY(EOMONTH(DATE(EINSTELLUNG!$C$35,$A$1,1),0))*F28,2),"")</f>
        <v/>
      </c>
      <c r="I28" s="34"/>
      <c r="J28" s="35"/>
      <c r="K28" s="432" t="str">
        <f t="shared" si="0"/>
        <v/>
      </c>
      <c r="L28" s="434"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6"/>
      <c r="O28" s="223"/>
      <c r="P28" s="196"/>
      <c r="Q28" s="197"/>
      <c r="R28" s="198"/>
      <c r="S28" s="361"/>
      <c r="T28" s="361"/>
      <c r="U28" s="361"/>
      <c r="V28" s="361"/>
    </row>
    <row r="29" spans="1:29" ht="21.95" customHeight="1" thickBot="1" x14ac:dyDescent="0.4">
      <c r="A29" s="363" t="s">
        <v>86</v>
      </c>
      <c r="B29" s="76"/>
      <c r="C29" s="37"/>
      <c r="D29" s="38"/>
      <c r="E29" s="39"/>
      <c r="F29" s="40"/>
      <c r="G29" s="432" t="str">
        <f>IF(OR(E29="",F29=""),"",PID_KVLohnLookup($A$1,E29,F29,LOHNTABELLE!$H$4))</f>
        <v/>
      </c>
      <c r="H29" s="433" t="str">
        <f>IF(AND(ISNUMBER(D29),ISNUMBER(F29)),ROUNDDOWN(MIN(IF(OR(ISBLANK(I29),I29=""),EOMONTH(DATE(EINSTELLUNG!$C$35,$A$1,1),0),I29)-MAX(D29,DATE(EINSTELLUNG!$C$35,$A$1,1))+1)/DAY(EOMONTH(DATE(EINSTELLUNG!$C$35,$A$1,1),0))*F29,2),"")</f>
        <v/>
      </c>
      <c r="I29" s="41"/>
      <c r="J29" s="42"/>
      <c r="K29" s="432" t="str">
        <f t="shared" si="0"/>
        <v/>
      </c>
      <c r="L29" s="434"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7"/>
      <c r="O29" s="416" t="s">
        <v>87</v>
      </c>
      <c r="P29" s="394"/>
      <c r="Q29" s="395">
        <f>EINSTELLUNG!O6</f>
        <v>0</v>
      </c>
      <c r="R29" s="396"/>
      <c r="S29" s="361"/>
      <c r="T29" s="361"/>
      <c r="U29" s="361"/>
      <c r="V29" s="361"/>
    </row>
    <row r="30" spans="1:29" ht="21.95" customHeight="1" thickBot="1" x14ac:dyDescent="0.4">
      <c r="A30" s="363" t="s">
        <v>88</v>
      </c>
      <c r="B30" s="75"/>
      <c r="C30" s="30"/>
      <c r="D30" s="31"/>
      <c r="E30" s="32"/>
      <c r="F30" s="33"/>
      <c r="G30" s="432" t="str">
        <f>IF(OR(E30="",F30=""),"",PID_KVLohnLookup($A$1,E30,F30,LOHNTABELLE!$H$4))</f>
        <v/>
      </c>
      <c r="H30" s="433" t="str">
        <f>IF(AND(ISNUMBER(D30),ISNUMBER(F30)),ROUNDDOWN(MIN(IF(OR(ISBLANK(I30),I30=""),EOMONTH(DATE(EINSTELLUNG!$C$35,$A$1,1),0),I30)-MAX(D30,DATE(EINSTELLUNG!$C$35,$A$1,1))+1)/DAY(EOMONTH(DATE(EINSTELLUNG!$C$35,$A$1,1),0))*F30,2),"")</f>
        <v/>
      </c>
      <c r="I30" s="34"/>
      <c r="J30" s="35"/>
      <c r="K30" s="432" t="str">
        <f t="shared" si="0"/>
        <v/>
      </c>
      <c r="L30" s="434"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361"/>
      <c r="P30" s="361"/>
      <c r="Q30" s="361"/>
      <c r="R30" s="361"/>
      <c r="S30" s="361"/>
      <c r="T30" s="361"/>
      <c r="U30" s="361"/>
      <c r="V30" s="361"/>
      <c r="W30" s="397"/>
      <c r="X30" s="397"/>
      <c r="Y30" s="397"/>
      <c r="Z30" s="397"/>
      <c r="AA30" s="397"/>
      <c r="AB30" s="397"/>
      <c r="AC30" s="397"/>
    </row>
    <row r="31" spans="1:29" ht="21.95" customHeight="1" thickBot="1" x14ac:dyDescent="0.4">
      <c r="A31" s="363" t="s">
        <v>89</v>
      </c>
      <c r="B31" s="76"/>
      <c r="C31" s="37"/>
      <c r="D31" s="38"/>
      <c r="E31" s="39"/>
      <c r="F31" s="40"/>
      <c r="G31" s="432" t="str">
        <f>IF(OR(E31="",F31=""),"",PID_KVLohnLookup($A$1,E31,F31,LOHNTABELLE!$H$4))</f>
        <v/>
      </c>
      <c r="H31" s="433" t="str">
        <f>IF(AND(ISNUMBER(D31),ISNUMBER(F31)),ROUNDDOWN(MIN(IF(OR(ISBLANK(I31),I31=""),EOMONTH(DATE(EINSTELLUNG!$C$35,$A$1,1),0),I31)-MAX(D31,DATE(EINSTELLUNG!$C$35,$A$1,1))+1)/DAY(EOMONTH(DATE(EINSTELLUNG!$C$35,$A$1,1),0))*F31,2),"")</f>
        <v/>
      </c>
      <c r="I31" s="41"/>
      <c r="J31" s="42"/>
      <c r="K31" s="432" t="str">
        <f t="shared" si="0"/>
        <v/>
      </c>
      <c r="L31" s="434"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7"/>
      <c r="O31" s="438" t="s">
        <v>321</v>
      </c>
      <c r="P31" s="399"/>
      <c r="Q31" s="400">
        <v>0</v>
      </c>
      <c r="R31" s="401"/>
      <c r="S31" s="361"/>
      <c r="T31" s="361"/>
      <c r="U31" s="361"/>
      <c r="V31" s="361"/>
    </row>
    <row r="32" spans="1:29" ht="18" customHeight="1" thickBot="1" x14ac:dyDescent="0.4">
      <c r="A32" s="363" t="s">
        <v>91</v>
      </c>
      <c r="B32" s="75"/>
      <c r="C32" s="30"/>
      <c r="D32" s="31"/>
      <c r="E32" s="32"/>
      <c r="F32" s="33"/>
      <c r="G32" s="432" t="str">
        <f>IF(OR(E32="",F32=""),"",PID_KVLohnLookup($A$1,E32,F32,LOHNTABELLE!$H$4))</f>
        <v/>
      </c>
      <c r="H32" s="433" t="str">
        <f>IF(AND(ISNUMBER(D32),ISNUMBER(F32)),ROUNDDOWN(MIN(IF(OR(ISBLANK(I32),I32=""),EOMONTH(DATE(EINSTELLUNG!$C$35,$A$1,1),0),I32)-MAX(D32,DATE(EINSTELLUNG!$C$35,$A$1,1))+1)/DAY(EOMONTH(DATE(EINSTELLUNG!$C$35,$A$1,1),0))*F32,2),"")</f>
        <v/>
      </c>
      <c r="I32" s="34"/>
      <c r="J32" s="35"/>
      <c r="K32" s="432" t="str">
        <f t="shared" si="0"/>
        <v/>
      </c>
      <c r="L32" s="434"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361"/>
      <c r="P32" s="361"/>
      <c r="Q32" s="361"/>
      <c r="R32" s="361"/>
      <c r="S32" s="361"/>
      <c r="T32" s="361"/>
      <c r="U32" s="361"/>
      <c r="V32" s="361"/>
    </row>
    <row r="33" spans="1:22" ht="21.95" customHeight="1" x14ac:dyDescent="0.35">
      <c r="A33" s="363" t="s">
        <v>92</v>
      </c>
      <c r="B33" s="76"/>
      <c r="C33" s="37"/>
      <c r="D33" s="38"/>
      <c r="E33" s="39"/>
      <c r="F33" s="40"/>
      <c r="G33" s="432" t="str">
        <f>IF(OR(E33="",F33=""),"",PID_KVLohnLookup($A$1,E33,F33,LOHNTABELLE!$H$4))</f>
        <v/>
      </c>
      <c r="H33" s="433" t="str">
        <f>IF(AND(ISNUMBER(D33),ISNUMBER(F33)),ROUNDDOWN(MIN(IF(OR(ISBLANK(I33),I33=""),EOMONTH(DATE(EINSTELLUNG!$C$35,$A$1,1),0),I33)-MAX(D33,DATE(EINSTELLUNG!$C$35,$A$1,1))+1)/DAY(EOMONTH(DATE(EINSTELLUNG!$C$35,$A$1,1),0))*F33,2),"")</f>
        <v/>
      </c>
      <c r="I33" s="41"/>
      <c r="J33" s="42"/>
      <c r="K33" s="432" t="str">
        <f t="shared" si="0"/>
        <v/>
      </c>
      <c r="L33" s="434"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7"/>
      <c r="O33" s="439"/>
      <c r="P33" s="403"/>
      <c r="Q33" s="346" t="s">
        <v>93</v>
      </c>
      <c r="R33" s="346"/>
      <c r="S33" s="346" t="s">
        <v>94</v>
      </c>
      <c r="T33" s="346"/>
      <c r="U33" s="346" t="s">
        <v>95</v>
      </c>
      <c r="V33" s="347"/>
    </row>
    <row r="34" spans="1:22" ht="21.95" customHeight="1" x14ac:dyDescent="0.35">
      <c r="A34" s="363" t="s">
        <v>96</v>
      </c>
      <c r="B34" s="75"/>
      <c r="C34" s="30"/>
      <c r="D34" s="31"/>
      <c r="E34" s="32"/>
      <c r="F34" s="33"/>
      <c r="G34" s="432" t="str">
        <f>IF(OR(E34="",F34=""),"",PID_KVLohnLookup($A$1,E34,F34,LOHNTABELLE!$H$4))</f>
        <v/>
      </c>
      <c r="H34" s="433" t="str">
        <f>IF(AND(ISNUMBER(D34),ISNUMBER(F34)),ROUNDDOWN(MIN(IF(OR(ISBLANK(I34),I34=""),EOMONTH(DATE(EINSTELLUNG!$C$35,$A$1,1),0),I34)-MAX(D34,DATE(EINSTELLUNG!$C$35,$A$1,1))+1)/DAY(EOMONTH(DATE(EINSTELLUNG!$C$35,$A$1,1),0))*F34,2),"")</f>
        <v/>
      </c>
      <c r="I34" s="34"/>
      <c r="J34" s="35"/>
      <c r="K34" s="432" t="str">
        <f t="shared" si="0"/>
        <v/>
      </c>
      <c r="L34" s="434"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6"/>
      <c r="O34" s="440"/>
      <c r="P34" s="405"/>
      <c r="Q34" s="406"/>
      <c r="R34" s="406"/>
      <c r="S34" s="406"/>
      <c r="T34" s="406"/>
      <c r="U34" s="406"/>
      <c r="V34" s="407"/>
    </row>
    <row r="35" spans="1:22" ht="21.95" customHeight="1" x14ac:dyDescent="0.35">
      <c r="A35" s="363" t="s">
        <v>97</v>
      </c>
      <c r="B35" s="76"/>
      <c r="C35" s="37"/>
      <c r="D35" s="38"/>
      <c r="E35" s="39"/>
      <c r="F35" s="40"/>
      <c r="G35" s="432" t="str">
        <f>IF(OR(E35="",F35=""),"",PID_KVLohnLookup($A$1,E35,F35,LOHNTABELLE!$H$4))</f>
        <v/>
      </c>
      <c r="H35" s="433" t="str">
        <f>IF(AND(ISNUMBER(D35),ISNUMBER(F35)),ROUNDDOWN(MIN(IF(OR(ISBLANK(I35),I35=""),EOMONTH(DATE(EINSTELLUNG!$C$35,$A$1,1),0),I35)-MAX(D35,DATE(EINSTELLUNG!$C$35,$A$1,1))+1)/DAY(EOMONTH(DATE(EINSTELLUNG!$C$35,$A$1,1),0))*F35,2),"")</f>
        <v/>
      </c>
      <c r="I35" s="41"/>
      <c r="J35" s="42"/>
      <c r="K35" s="432" t="str">
        <f t="shared" ref="K35:K66" si="1">IF(OR(B35="",C35=""),"",IFERROR(IF(OR(MONTH(D35)=1,MONTH(D35)=3,MONTH(D35)=5,MONTH(D35)=7,MONTH(D35)=8,MONTH(D35)=10,MONTH(D35)=12),(G35/31)*J35,IF(OR(MONTH(D35)=4,MONTH(D35)=6,MONTH(D35)=9,MONTH(D35)=11),(G35/30)*J35,(G35/DAY(EOMONTH(D35,0)))*J35)),0))</f>
        <v/>
      </c>
      <c r="L35" s="434"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7"/>
      <c r="O35" s="436" t="s">
        <v>98</v>
      </c>
      <c r="P35" s="380"/>
      <c r="Q35" s="408">
        <f>EINSTELLUNG!C6</f>
        <v>0</v>
      </c>
      <c r="R35" s="408"/>
      <c r="S35" s="408">
        <f>EINSTELLUNG!C22</f>
        <v>0</v>
      </c>
      <c r="T35" s="408"/>
      <c r="U35" s="408">
        <f>S35-Q35</f>
        <v>0</v>
      </c>
      <c r="V35" s="409"/>
    </row>
    <row r="36" spans="1:22" ht="21.95" customHeight="1" x14ac:dyDescent="0.35">
      <c r="A36" s="363" t="s">
        <v>99</v>
      </c>
      <c r="B36" s="75"/>
      <c r="C36" s="30"/>
      <c r="D36" s="31"/>
      <c r="E36" s="32"/>
      <c r="F36" s="33"/>
      <c r="G36" s="432" t="str">
        <f>IF(OR(E36="",F36=""),"",PID_KVLohnLookup($A$1,E36,F36,LOHNTABELLE!$H$4))</f>
        <v/>
      </c>
      <c r="H36" s="433" t="str">
        <f>IF(AND(ISNUMBER(D36),ISNUMBER(F36)),ROUNDDOWN(MIN(IF(OR(ISBLANK(I36),I36=""),EOMONTH(DATE(EINSTELLUNG!$C$35,$A$1,1),0),I36)-MAX(D36,DATE(EINSTELLUNG!$C$35,$A$1,1))+1)/DAY(EOMONTH(DATE(EINSTELLUNG!$C$35,$A$1,1),0))*F36,2),"")</f>
        <v/>
      </c>
      <c r="I36" s="34"/>
      <c r="J36" s="35"/>
      <c r="K36" s="432" t="str">
        <f t="shared" si="1"/>
        <v/>
      </c>
      <c r="L36" s="434"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6"/>
      <c r="O36" s="436" t="s">
        <v>100</v>
      </c>
      <c r="P36" s="380"/>
      <c r="Q36" s="408">
        <f>EINSTELLUNG!D6</f>
        <v>0</v>
      </c>
      <c r="R36" s="408"/>
      <c r="S36" s="408">
        <f ca="1">SumMergedCells(Q17:R29)</f>
        <v>4112.5</v>
      </c>
      <c r="T36" s="408"/>
      <c r="U36" s="408">
        <f t="shared" ref="U36:U41" ca="1" si="2">S36-Q36</f>
        <v>4112.5</v>
      </c>
      <c r="V36" s="409"/>
    </row>
    <row r="37" spans="1:22" ht="21.95" customHeight="1" x14ac:dyDescent="0.35">
      <c r="A37" s="363" t="s">
        <v>101</v>
      </c>
      <c r="B37" s="76"/>
      <c r="C37" s="37"/>
      <c r="D37" s="38"/>
      <c r="E37" s="39"/>
      <c r="F37" s="40"/>
      <c r="G37" s="432" t="str">
        <f>IF(OR(E37="",F37=""),"",PID_KVLohnLookup($A$1,E37,F37,LOHNTABELLE!$H$4))</f>
        <v/>
      </c>
      <c r="H37" s="433" t="str">
        <f>IF(AND(ISNUMBER(D37),ISNUMBER(F37)),ROUNDDOWN(MIN(IF(OR(ISBLANK(I37),I37=""),EOMONTH(DATE(EINSTELLUNG!$C$35,$A$1,1),0),I37)-MAX(D37,DATE(EINSTELLUNG!$C$35,$A$1,1))+1)/DAY(EOMONTH(DATE(EINSTELLUNG!$C$35,$A$1,1),0))*F37,2),"")</f>
        <v/>
      </c>
      <c r="I37" s="41"/>
      <c r="J37" s="42"/>
      <c r="K37" s="432" t="str">
        <f t="shared" si="1"/>
        <v/>
      </c>
      <c r="L37" s="434"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7"/>
      <c r="O37" s="436" t="s">
        <v>102</v>
      </c>
      <c r="P37" s="380"/>
      <c r="Q37" s="410">
        <f>IF(ISERROR(Q36/Q35), 0, Q36/Q35)</f>
        <v>0</v>
      </c>
      <c r="R37" s="410"/>
      <c r="S37" s="410">
        <f ca="1">IF(ISERROR(S36/S35), 0, S36/S35)</f>
        <v>0</v>
      </c>
      <c r="T37" s="410"/>
      <c r="U37" s="410">
        <f t="shared" ca="1" si="2"/>
        <v>0</v>
      </c>
      <c r="V37" s="411"/>
    </row>
    <row r="38" spans="1:22" ht="21.95" customHeight="1" x14ac:dyDescent="0.35">
      <c r="A38" s="363" t="s">
        <v>103</v>
      </c>
      <c r="B38" s="75"/>
      <c r="C38" s="30"/>
      <c r="D38" s="31"/>
      <c r="E38" s="32"/>
      <c r="F38" s="33"/>
      <c r="G38" s="432" t="str">
        <f>IF(OR(E38="",F38=""),"",PID_KVLohnLookup($A$1,E38,F38,LOHNTABELLE!$H$4))</f>
        <v/>
      </c>
      <c r="H38" s="433" t="str">
        <f>IF(AND(ISNUMBER(D38),ISNUMBER(F38)),ROUNDDOWN(MIN(IF(OR(ISBLANK(I38),I38=""),EOMONTH(DATE(EINSTELLUNG!$C$35,$A$1,1),0),I38)-MAX(D38,DATE(EINSTELLUNG!$C$35,$A$1,1))+1)/DAY(EOMONTH(DATE(EINSTELLUNG!$C$35,$A$1,1),0))*F38,2),"")</f>
        <v/>
      </c>
      <c r="I38" s="34"/>
      <c r="J38" s="35"/>
      <c r="K38" s="432" t="str">
        <f t="shared" si="1"/>
        <v/>
      </c>
      <c r="L38" s="434"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6"/>
      <c r="O38" s="436" t="s">
        <v>104</v>
      </c>
      <c r="P38" s="380"/>
      <c r="Q38" s="381">
        <f>EINSTELLUNG!F6</f>
        <v>0</v>
      </c>
      <c r="R38" s="381"/>
      <c r="S38" s="381">
        <f>EINSTELLUNG!F22</f>
        <v>0</v>
      </c>
      <c r="T38" s="381"/>
      <c r="U38" s="381">
        <f t="shared" si="2"/>
        <v>0</v>
      </c>
      <c r="V38" s="382"/>
    </row>
    <row r="39" spans="1:22" ht="21.95" customHeight="1" x14ac:dyDescent="0.35">
      <c r="A39" s="363" t="s">
        <v>105</v>
      </c>
      <c r="B39" s="76"/>
      <c r="C39" s="37"/>
      <c r="D39" s="38"/>
      <c r="E39" s="39"/>
      <c r="F39" s="40"/>
      <c r="G39" s="432" t="str">
        <f>IF(OR(E39="",F39=""),"",PID_KVLohnLookup($A$1,E39,F39,LOHNTABELLE!$H$4))</f>
        <v/>
      </c>
      <c r="H39" s="433" t="str">
        <f>IF(AND(ISNUMBER(D39),ISNUMBER(F39)),ROUNDDOWN(MIN(IF(OR(ISBLANK(I39),I39=""),EOMONTH(DATE(EINSTELLUNG!$C$35,$A$1,1),0),I39)-MAX(D39,DATE(EINSTELLUNG!$C$35,$A$1,1))+1)/DAY(EOMONTH(DATE(EINSTELLUNG!$C$35,$A$1,1),0))*F39,2),"")</f>
        <v/>
      </c>
      <c r="I39" s="41"/>
      <c r="J39" s="42"/>
      <c r="K39" s="432" t="str">
        <f t="shared" si="1"/>
        <v/>
      </c>
      <c r="L39" s="434"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7"/>
      <c r="O39" s="436" t="s">
        <v>106</v>
      </c>
      <c r="P39" s="380"/>
      <c r="Q39" s="408">
        <f>IF(Q38=0, 0, Q35/Q38)</f>
        <v>0</v>
      </c>
      <c r="R39" s="408"/>
      <c r="S39" s="408">
        <f>IF(S38=0, 0, S35/S38)</f>
        <v>0</v>
      </c>
      <c r="T39" s="408"/>
      <c r="U39" s="408">
        <f t="shared" si="2"/>
        <v>0</v>
      </c>
      <c r="V39" s="409"/>
    </row>
    <row r="40" spans="1:22" ht="21.95" customHeight="1" x14ac:dyDescent="0.35">
      <c r="A40" s="363" t="s">
        <v>107</v>
      </c>
      <c r="B40" s="75"/>
      <c r="C40" s="30"/>
      <c r="D40" s="31"/>
      <c r="E40" s="32"/>
      <c r="F40" s="33"/>
      <c r="G40" s="432" t="str">
        <f>IF(OR(E40="",F40=""),"",PID_KVLohnLookup($A$1,E40,F40,LOHNTABELLE!$H$4))</f>
        <v/>
      </c>
      <c r="H40" s="433" t="str">
        <f>IF(AND(ISNUMBER(D40),ISNUMBER(F40)),ROUNDDOWN(MIN(IF(OR(ISBLANK(I40),I40=""),EOMONTH(DATE(EINSTELLUNG!$C$35,$A$1,1),0),I40)-MAX(D40,DATE(EINSTELLUNG!$C$35,$A$1,1))+1)/DAY(EOMONTH(DATE(EINSTELLUNG!$C$35,$A$1,1),0))*F40,2),"")</f>
        <v/>
      </c>
      <c r="I40" s="34"/>
      <c r="J40" s="35"/>
      <c r="K40" s="432" t="str">
        <f t="shared" si="1"/>
        <v/>
      </c>
      <c r="L40" s="434"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6"/>
      <c r="O40" s="436" t="s">
        <v>108</v>
      </c>
      <c r="P40" s="380"/>
      <c r="Q40" s="408">
        <f>IF(Q13=0, 0, Q35/Q13)</f>
        <v>0</v>
      </c>
      <c r="R40" s="408"/>
      <c r="S40" s="408">
        <f>IF(Q13=0, 0, S35/Q13)</f>
        <v>0</v>
      </c>
      <c r="T40" s="408"/>
      <c r="U40" s="408">
        <f t="shared" si="2"/>
        <v>0</v>
      </c>
      <c r="V40" s="409"/>
    </row>
    <row r="41" spans="1:22" ht="21.95" customHeight="1" x14ac:dyDescent="0.35">
      <c r="A41" s="363" t="s">
        <v>109</v>
      </c>
      <c r="B41" s="76"/>
      <c r="C41" s="37"/>
      <c r="D41" s="38"/>
      <c r="E41" s="39"/>
      <c r="F41" s="40"/>
      <c r="G41" s="432" t="str">
        <f>IF(OR(E41="",F41=""),"",PID_KVLohnLookup($A$1,E41,F41,LOHNTABELLE!$H$4))</f>
        <v/>
      </c>
      <c r="H41" s="433" t="str">
        <f>IF(AND(ISNUMBER(D41),ISNUMBER(F41)),ROUNDDOWN(MIN(IF(OR(ISBLANK(I41),I41=""),EOMONTH(DATE(EINSTELLUNG!$C$35,$A$1,1),0),I41)-MAX(D41,DATE(EINSTELLUNG!$C$35,$A$1,1))+1)/DAY(EOMONTH(DATE(EINSTELLUNG!$C$35,$A$1,1),0))*F41,2),"")</f>
        <v/>
      </c>
      <c r="I41" s="41"/>
      <c r="J41" s="42"/>
      <c r="K41" s="432" t="str">
        <f t="shared" si="1"/>
        <v/>
      </c>
      <c r="L41" s="434"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7"/>
      <c r="O41" s="441" t="s">
        <v>110</v>
      </c>
      <c r="P41" s="413"/>
      <c r="Q41" s="414">
        <f>IF(Q13=0, 0, Q38/Q13)</f>
        <v>0</v>
      </c>
      <c r="R41" s="414"/>
      <c r="S41" s="414">
        <f>IF(Q13=0, 0, S38/Q13)</f>
        <v>0</v>
      </c>
      <c r="T41" s="414"/>
      <c r="U41" s="414">
        <f t="shared" si="2"/>
        <v>0</v>
      </c>
      <c r="V41" s="415"/>
    </row>
    <row r="42" spans="1:22" ht="21.95" customHeight="1" thickBot="1" x14ac:dyDescent="0.4">
      <c r="A42" s="363" t="s">
        <v>111</v>
      </c>
      <c r="B42" s="75"/>
      <c r="C42" s="30"/>
      <c r="D42" s="31"/>
      <c r="E42" s="32"/>
      <c r="F42" s="33"/>
      <c r="G42" s="432" t="str">
        <f>IF(OR(E42="",F42=""),"",PID_KVLohnLookup($A$1,E42,F42,LOHNTABELLE!$H$4))</f>
        <v/>
      </c>
      <c r="H42" s="433" t="str">
        <f>IF(AND(ISNUMBER(D42),ISNUMBER(F42)),ROUNDDOWN(MIN(IF(OR(ISBLANK(I42),I42=""),EOMONTH(DATE(EINSTELLUNG!$C$35,$A$1,1),0),I42)-MAX(D42,DATE(EINSTELLUNG!$C$35,$A$1,1))+1)/DAY(EOMONTH(DATE(EINSTELLUNG!$C$35,$A$1,1),0))*F42,2),"")</f>
        <v/>
      </c>
      <c r="I42" s="34"/>
      <c r="J42" s="35"/>
      <c r="K42" s="432" t="str">
        <f t="shared" si="1"/>
        <v/>
      </c>
      <c r="L42" s="434"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112"/>
      <c r="O42" s="416" t="s">
        <v>112</v>
      </c>
      <c r="P42" s="394"/>
      <c r="Q42" s="417">
        <f>IFERROR(Q17/Q8, 0)</f>
        <v>12.678031937850669</v>
      </c>
      <c r="R42" s="418"/>
      <c r="S42" s="417"/>
      <c r="T42" s="417"/>
      <c r="U42" s="417"/>
      <c r="V42" s="396"/>
    </row>
    <row r="43" spans="1:22" ht="21.95" customHeight="1" x14ac:dyDescent="0.35">
      <c r="A43" s="363" t="s">
        <v>113</v>
      </c>
      <c r="B43" s="76"/>
      <c r="C43" s="37"/>
      <c r="D43" s="38"/>
      <c r="E43" s="39"/>
      <c r="F43" s="40"/>
      <c r="G43" s="432" t="str">
        <f>IF(OR(E43="",F43=""),"",PID_KVLohnLookup($A$1,E43,F43,LOHNTABELLE!$H$4))</f>
        <v/>
      </c>
      <c r="H43" s="433" t="str">
        <f>IF(AND(ISNUMBER(D43),ISNUMBER(F43)),ROUNDDOWN(MIN(IF(OR(ISBLANK(I43),I43=""),EOMONTH(DATE(EINSTELLUNG!$C$35,$A$1,1),0),I43)-MAX(D43,DATE(EINSTELLUNG!$C$35,$A$1,1))+1)/DAY(EOMONTH(DATE(EINSTELLUNG!$C$35,$A$1,1),0))*F43,2),"")</f>
        <v/>
      </c>
      <c r="I43" s="41"/>
      <c r="J43" s="42"/>
      <c r="K43" s="432" t="str">
        <f t="shared" si="1"/>
        <v/>
      </c>
      <c r="L43" s="434"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0"/>
      <c r="N43" s="55"/>
      <c r="O43" s="419"/>
      <c r="P43" s="419"/>
      <c r="Q43" s="419"/>
      <c r="R43" s="361"/>
      <c r="S43" s="361"/>
      <c r="T43" s="361"/>
      <c r="U43" s="361"/>
      <c r="V43" s="361"/>
    </row>
    <row r="44" spans="1:22" ht="21.95" customHeight="1" x14ac:dyDescent="0.35">
      <c r="A44" s="363" t="s">
        <v>114</v>
      </c>
      <c r="B44" s="75"/>
      <c r="C44" s="30"/>
      <c r="D44" s="31"/>
      <c r="E44" s="32"/>
      <c r="F44" s="33"/>
      <c r="G44" s="432" t="str">
        <f>IF(OR(E44="",F44=""),"",PID_KVLohnLookup($A$1,E44,F44,LOHNTABELLE!$H$4))</f>
        <v/>
      </c>
      <c r="H44" s="433" t="str">
        <f>IF(AND(ISNUMBER(D44),ISNUMBER(F44)),ROUNDDOWN(MIN(IF(OR(ISBLANK(I44),I44=""),EOMONTH(DATE(EINSTELLUNG!$C$35,$A$1,1),0),I44)-MAX(D44,DATE(EINSTELLUNG!$C$35,$A$1,1))+1)/DAY(EOMONTH(DATE(EINSTELLUNG!$C$35,$A$1,1),0))*F44,2),"")</f>
        <v/>
      </c>
      <c r="I44" s="34"/>
      <c r="J44" s="35"/>
      <c r="K44" s="432" t="str">
        <f t="shared" si="1"/>
        <v/>
      </c>
      <c r="L44" s="434"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1"/>
      <c r="N44" s="54"/>
      <c r="O44" s="420" t="s">
        <v>115</v>
      </c>
      <c r="P44" s="420"/>
      <c r="Q44" s="420"/>
      <c r="R44" s="420"/>
      <c r="S44" s="420"/>
      <c r="T44" s="420"/>
      <c r="U44" s="420"/>
      <c r="V44" s="420"/>
    </row>
    <row r="45" spans="1:22" ht="21.95" customHeight="1" x14ac:dyDescent="0.35">
      <c r="A45" s="363" t="s">
        <v>116</v>
      </c>
      <c r="B45" s="76"/>
      <c r="C45" s="37"/>
      <c r="D45" s="38"/>
      <c r="E45" s="39"/>
      <c r="F45" s="40"/>
      <c r="G45" s="432" t="str">
        <f>IF(OR(E45="",F45=""),"",PID_KVLohnLookup($A$1,E45,F45,LOHNTABELLE!$H$4))</f>
        <v/>
      </c>
      <c r="H45" s="433" t="str">
        <f>IF(AND(ISNUMBER(D45),ISNUMBER(F45)),ROUNDDOWN(MIN(IF(OR(ISBLANK(I45),I45=""),EOMONTH(DATE(EINSTELLUNG!$C$35,$A$1,1),0),I45)-MAX(D45,DATE(EINSTELLUNG!$C$35,$A$1,1))+1)/DAY(EOMONTH(DATE(EINSTELLUNG!$C$35,$A$1,1),0))*F45,2),"")</f>
        <v/>
      </c>
      <c r="I45" s="41"/>
      <c r="J45" s="42"/>
      <c r="K45" s="432" t="str">
        <f t="shared" si="1"/>
        <v/>
      </c>
      <c r="L45" s="434"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0"/>
      <c r="N45" s="55"/>
      <c r="O45" s="421"/>
      <c r="P45" s="421"/>
      <c r="Q45" s="421"/>
      <c r="R45" s="422"/>
      <c r="S45" s="422"/>
      <c r="T45" s="422"/>
      <c r="U45" s="422"/>
      <c r="V45" s="361"/>
    </row>
    <row r="46" spans="1:22" ht="21.95" customHeight="1" x14ac:dyDescent="0.35">
      <c r="A46" s="363" t="s">
        <v>117</v>
      </c>
      <c r="B46" s="75"/>
      <c r="C46" s="30"/>
      <c r="D46" s="31"/>
      <c r="E46" s="32"/>
      <c r="F46" s="33"/>
      <c r="G46" s="432" t="str">
        <f>IF(OR(E46="",F46=""),"",PID_KVLohnLookup($A$1,E46,F46,LOHNTABELLE!$H$4))</f>
        <v/>
      </c>
      <c r="H46" s="433" t="str">
        <f>IF(AND(ISNUMBER(D46),ISNUMBER(F46)),ROUNDDOWN(MIN(IF(OR(ISBLANK(I46),I46=""),EOMONTH(DATE(EINSTELLUNG!$C$35,$A$1,1),0),I46)-MAX(D46,DATE(EINSTELLUNG!$C$35,$A$1,1))+1)/DAY(EOMONTH(DATE(EINSTELLUNG!$C$35,$A$1,1),0))*F46,2),"")</f>
        <v/>
      </c>
      <c r="I46" s="34"/>
      <c r="J46" s="35"/>
      <c r="K46" s="432" t="str">
        <f t="shared" si="1"/>
        <v/>
      </c>
      <c r="L46" s="434"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1"/>
      <c r="N46" s="54"/>
      <c r="O46" s="361"/>
      <c r="P46" s="361"/>
      <c r="Q46" s="361"/>
      <c r="R46" s="361"/>
      <c r="S46" s="361"/>
      <c r="T46" s="361"/>
      <c r="U46" s="361"/>
      <c r="V46" s="361"/>
    </row>
    <row r="47" spans="1:22" ht="21.95" customHeight="1" x14ac:dyDescent="0.35">
      <c r="A47" s="363" t="s">
        <v>118</v>
      </c>
      <c r="B47" s="76"/>
      <c r="C47" s="37"/>
      <c r="D47" s="38"/>
      <c r="E47" s="39"/>
      <c r="F47" s="40"/>
      <c r="G47" s="432" t="str">
        <f>IF(OR(E47="",F47=""),"",PID_KVLohnLookup($A$1,E47,F47,LOHNTABELLE!$H$4))</f>
        <v/>
      </c>
      <c r="H47" s="433" t="str">
        <f>IF(AND(ISNUMBER(D47),ISNUMBER(F47)),ROUNDDOWN(MIN(IF(OR(ISBLANK(I47),I47=""),EOMONTH(DATE(EINSTELLUNG!$C$35,$A$1,1),0),I47)-MAX(D47,DATE(EINSTELLUNG!$C$35,$A$1,1))+1)/DAY(EOMONTH(DATE(EINSTELLUNG!$C$35,$A$1,1),0))*F47,2),"")</f>
        <v/>
      </c>
      <c r="I47" s="41"/>
      <c r="J47" s="42"/>
      <c r="K47" s="432" t="str">
        <f t="shared" si="1"/>
        <v/>
      </c>
      <c r="L47" s="434"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0"/>
      <c r="N47" s="55"/>
      <c r="O47" s="361"/>
      <c r="P47" s="361"/>
      <c r="Q47" s="361"/>
      <c r="R47" s="361"/>
      <c r="S47" s="361"/>
      <c r="T47" s="361"/>
      <c r="U47" s="361"/>
      <c r="V47" s="361"/>
    </row>
    <row r="48" spans="1:22" ht="21.95" customHeight="1" x14ac:dyDescent="0.35">
      <c r="A48" s="363" t="s">
        <v>119</v>
      </c>
      <c r="B48" s="75"/>
      <c r="C48" s="30"/>
      <c r="D48" s="34"/>
      <c r="E48" s="32"/>
      <c r="F48" s="33"/>
      <c r="G48" s="432" t="str">
        <f>IF(OR(E48="",F48=""),"",PID_KVLohnLookup($A$1,E48,F48,LOHNTABELLE!$H$4))</f>
        <v/>
      </c>
      <c r="H48" s="433" t="str">
        <f>IF(AND(ISNUMBER(D48),ISNUMBER(F48)),ROUNDDOWN(MIN(IF(OR(ISBLANK(I48),I48=""),EOMONTH(DATE(EINSTELLUNG!$C$35,$A$1,1),0),I48)-MAX(D48,DATE(EINSTELLUNG!$C$35,$A$1,1))+1)/DAY(EOMONTH(DATE(EINSTELLUNG!$C$35,$A$1,1),0))*F48,2),"")</f>
        <v/>
      </c>
      <c r="I48" s="34"/>
      <c r="J48" s="35"/>
      <c r="K48" s="432" t="str">
        <f t="shared" si="1"/>
        <v/>
      </c>
      <c r="L48" s="434"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1"/>
      <c r="N48" s="54"/>
      <c r="O48" s="361"/>
      <c r="P48" s="361"/>
      <c r="Q48" s="361"/>
      <c r="R48" s="361"/>
      <c r="S48" s="361"/>
      <c r="T48" s="361"/>
      <c r="U48" s="361"/>
      <c r="V48" s="361"/>
    </row>
    <row r="49" spans="1:22" ht="21.95" customHeight="1" x14ac:dyDescent="0.35">
      <c r="A49" s="363" t="s">
        <v>120</v>
      </c>
      <c r="B49" s="76"/>
      <c r="C49" s="37"/>
      <c r="D49" s="41"/>
      <c r="E49" s="39"/>
      <c r="F49" s="40"/>
      <c r="G49" s="432" t="str">
        <f>IF(OR(E49="",F49=""),"",PID_KVLohnLookup($A$1,E49,F49,LOHNTABELLE!$H$4))</f>
        <v/>
      </c>
      <c r="H49" s="433" t="str">
        <f>IF(AND(ISNUMBER(D49),ISNUMBER(F49)),ROUNDDOWN(MIN(IF(OR(ISBLANK(I49),I49=""),EOMONTH(DATE(EINSTELLUNG!$C$35,$A$1,1),0),I49)-MAX(D49,DATE(EINSTELLUNG!$C$35,$A$1,1))+1)/DAY(EOMONTH(DATE(EINSTELLUNG!$C$35,$A$1,1),0))*F49,2),"")</f>
        <v/>
      </c>
      <c r="I49" s="41"/>
      <c r="J49" s="42"/>
      <c r="K49" s="432" t="str">
        <f t="shared" si="1"/>
        <v/>
      </c>
      <c r="L49" s="434"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0"/>
      <c r="N49" s="55"/>
      <c r="O49" s="361"/>
      <c r="P49" s="361"/>
      <c r="Q49" s="361"/>
      <c r="R49" s="361"/>
      <c r="S49" s="361"/>
      <c r="T49" s="361"/>
      <c r="U49" s="361"/>
      <c r="V49" s="361"/>
    </row>
    <row r="50" spans="1:22" ht="21.95" customHeight="1" x14ac:dyDescent="0.35">
      <c r="A50" s="363" t="s">
        <v>121</v>
      </c>
      <c r="B50" s="75"/>
      <c r="C50" s="44"/>
      <c r="D50" s="34"/>
      <c r="E50" s="32"/>
      <c r="F50" s="33"/>
      <c r="G50" s="432" t="str">
        <f>IF(OR(E50="",F50=""),"",PID_KVLohnLookup($A$1,E50,F50,LOHNTABELLE!$H$4))</f>
        <v/>
      </c>
      <c r="H50" s="433" t="str">
        <f>IF(AND(ISNUMBER(D50),ISNUMBER(F50)),ROUNDDOWN(MIN(IF(OR(ISBLANK(I50),I50=""),EOMONTH(DATE(EINSTELLUNG!$C$35,$A$1,1),0),I50)-MAX(D50,DATE(EINSTELLUNG!$C$35,$A$1,1))+1)/DAY(EOMONTH(DATE(EINSTELLUNG!$C$35,$A$1,1),0))*F50,2),"")</f>
        <v/>
      </c>
      <c r="I50" s="34"/>
      <c r="J50" s="35"/>
      <c r="K50" s="432" t="str">
        <f t="shared" si="1"/>
        <v/>
      </c>
      <c r="L50" s="434"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1"/>
      <c r="N50" s="54"/>
      <c r="O50" s="361"/>
      <c r="P50" s="361"/>
      <c r="Q50" s="361"/>
      <c r="R50" s="361"/>
      <c r="S50" s="361"/>
      <c r="T50" s="361"/>
      <c r="U50" s="361"/>
      <c r="V50" s="361"/>
    </row>
    <row r="51" spans="1:22" ht="21.95" customHeight="1" x14ac:dyDescent="0.35">
      <c r="A51" s="363" t="s">
        <v>122</v>
      </c>
      <c r="B51" s="76"/>
      <c r="C51" s="37"/>
      <c r="D51" s="41"/>
      <c r="E51" s="39"/>
      <c r="F51" s="40"/>
      <c r="G51" s="432" t="str">
        <f>IF(OR(E51="",F51=""),"",PID_KVLohnLookup($A$1,E51,F51,LOHNTABELLE!$H$4))</f>
        <v/>
      </c>
      <c r="H51" s="433" t="str">
        <f>IF(AND(ISNUMBER(D51),ISNUMBER(F51)),ROUNDDOWN(MIN(IF(OR(ISBLANK(I51),I51=""),EOMONTH(DATE(EINSTELLUNG!$C$35,$A$1,1),0),I51)-MAX(D51,DATE(EINSTELLUNG!$C$35,$A$1,1))+1)/DAY(EOMONTH(DATE(EINSTELLUNG!$C$35,$A$1,1),0))*F51,2),"")</f>
        <v/>
      </c>
      <c r="I51" s="41"/>
      <c r="J51" s="42"/>
      <c r="K51" s="432" t="str">
        <f t="shared" si="1"/>
        <v/>
      </c>
      <c r="L51" s="434"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109"/>
    </row>
    <row r="52" spans="1:22" ht="21.95" customHeight="1" x14ac:dyDescent="0.35">
      <c r="A52" s="363" t="s">
        <v>123</v>
      </c>
      <c r="B52" s="75"/>
      <c r="C52" s="30"/>
      <c r="D52" s="34"/>
      <c r="E52" s="32"/>
      <c r="F52" s="33"/>
      <c r="G52" s="432" t="str">
        <f>IF(OR(E52="",F52=""),"",PID_KVLohnLookup($A$1,E52,F52,LOHNTABELLE!$H$4))</f>
        <v/>
      </c>
      <c r="H52" s="433" t="str">
        <f>IF(AND(ISNUMBER(D52),ISNUMBER(F52)),ROUNDDOWN(MIN(IF(OR(ISBLANK(I52),I52=""),EOMONTH(DATE(EINSTELLUNG!$C$35,$A$1,1),0),I52)-MAX(D52,DATE(EINSTELLUNG!$C$35,$A$1,1))+1)/DAY(EOMONTH(DATE(EINSTELLUNG!$C$35,$A$1,1),0))*F52,2),"")</f>
        <v/>
      </c>
      <c r="I52" s="34"/>
      <c r="J52" s="35"/>
      <c r="K52" s="432" t="str">
        <f t="shared" si="1"/>
        <v/>
      </c>
      <c r="L52" s="434"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1.95" customHeight="1" x14ac:dyDescent="0.35">
      <c r="A53" s="363" t="s">
        <v>124</v>
      </c>
      <c r="B53" s="76"/>
      <c r="C53" s="37"/>
      <c r="D53" s="41"/>
      <c r="E53" s="39"/>
      <c r="F53" s="40"/>
      <c r="G53" s="432" t="str">
        <f>IF(OR(E53="",F53=""),"",PID_KVLohnLookup($A$1,E53,F53,LOHNTABELLE!$H$4))</f>
        <v/>
      </c>
      <c r="H53" s="433" t="str">
        <f>IF(AND(ISNUMBER(D53),ISNUMBER(F53)),ROUNDDOWN(MIN(IF(OR(ISBLANK(I53),I53=""),EOMONTH(DATE(EINSTELLUNG!$C$35,$A$1,1),0),I53)-MAX(D53,DATE(EINSTELLUNG!$C$35,$A$1,1))+1)/DAY(EOMONTH(DATE(EINSTELLUNG!$C$35,$A$1,1),0))*F53,2),"")</f>
        <v/>
      </c>
      <c r="I53" s="41"/>
      <c r="J53" s="42"/>
      <c r="K53" s="432" t="str">
        <f t="shared" si="1"/>
        <v/>
      </c>
      <c r="L53" s="434"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1.95" customHeight="1" x14ac:dyDescent="0.35">
      <c r="A54" s="363" t="s">
        <v>125</v>
      </c>
      <c r="B54" s="75"/>
      <c r="C54" s="30"/>
      <c r="D54" s="34"/>
      <c r="E54" s="32"/>
      <c r="F54" s="33"/>
      <c r="G54" s="432" t="str">
        <f>IF(OR(E54="",F54=""),"",PID_KVLohnLookup($A$1,E54,F54,LOHNTABELLE!$H$4))</f>
        <v/>
      </c>
      <c r="H54" s="433" t="str">
        <f>IF(AND(ISNUMBER(D54),ISNUMBER(F54)),ROUNDDOWN(MIN(IF(OR(ISBLANK(I54),I54=""),EOMONTH(DATE(EINSTELLUNG!$C$35,$A$1,1),0),I54)-MAX(D54,DATE(EINSTELLUNG!$C$35,$A$1,1))+1)/DAY(EOMONTH(DATE(EINSTELLUNG!$C$35,$A$1,1),0))*F54,2),"")</f>
        <v/>
      </c>
      <c r="I54" s="34"/>
      <c r="J54" s="35"/>
      <c r="K54" s="432" t="str">
        <f t="shared" si="1"/>
        <v/>
      </c>
      <c r="L54" s="434"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1.95" customHeight="1" x14ac:dyDescent="0.35">
      <c r="A55" s="363" t="s">
        <v>126</v>
      </c>
      <c r="B55" s="76"/>
      <c r="C55" s="37"/>
      <c r="D55" s="41"/>
      <c r="E55" s="39"/>
      <c r="F55" s="40"/>
      <c r="G55" s="432" t="str">
        <f>IF(OR(E55="",F55=""),"",PID_KVLohnLookup($A$1,E55,F55,LOHNTABELLE!$H$4))</f>
        <v/>
      </c>
      <c r="H55" s="433" t="str">
        <f>IF(AND(ISNUMBER(D55),ISNUMBER(F55)),ROUNDDOWN(MIN(IF(OR(ISBLANK(I55),I55=""),EOMONTH(DATE(EINSTELLUNG!$C$35,$A$1,1),0),I55)-MAX(D55,DATE(EINSTELLUNG!$C$35,$A$1,1))+1)/DAY(EOMONTH(DATE(EINSTELLUNG!$C$35,$A$1,1),0))*F55,2),"")</f>
        <v/>
      </c>
      <c r="I55" s="41"/>
      <c r="J55" s="42"/>
      <c r="K55" s="432" t="str">
        <f t="shared" si="1"/>
        <v/>
      </c>
      <c r="L55" s="434"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1.95" customHeight="1" x14ac:dyDescent="0.35">
      <c r="A56" s="363" t="s">
        <v>127</v>
      </c>
      <c r="B56" s="75"/>
      <c r="C56" s="30"/>
      <c r="D56" s="34"/>
      <c r="E56" s="32"/>
      <c r="F56" s="33"/>
      <c r="G56" s="432" t="str">
        <f>IF(OR(E56="",F56=""),"",PID_KVLohnLookup($A$1,E56,F56,LOHNTABELLE!$H$4))</f>
        <v/>
      </c>
      <c r="H56" s="433" t="str">
        <f>IF(AND(ISNUMBER(D56),ISNUMBER(F56)),ROUNDDOWN(MIN(IF(OR(ISBLANK(I56),I56=""),EOMONTH(DATE(EINSTELLUNG!$C$35,$A$1,1),0),I56)-MAX(D56,DATE(EINSTELLUNG!$C$35,$A$1,1))+1)/DAY(EOMONTH(DATE(EINSTELLUNG!$C$35,$A$1,1),0))*F56,2),"")</f>
        <v/>
      </c>
      <c r="I56" s="34"/>
      <c r="J56" s="35"/>
      <c r="K56" s="432" t="str">
        <f t="shared" si="1"/>
        <v/>
      </c>
      <c r="L56" s="434"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1.95" customHeight="1" x14ac:dyDescent="0.35">
      <c r="A57" s="363" t="s">
        <v>128</v>
      </c>
      <c r="B57" s="76"/>
      <c r="C57" s="37"/>
      <c r="D57" s="41"/>
      <c r="E57" s="39"/>
      <c r="F57" s="40"/>
      <c r="G57" s="432" t="str">
        <f>IF(OR(E57="",F57=""),"",PID_KVLohnLookup($A$1,E57,F57,LOHNTABELLE!$H$4))</f>
        <v/>
      </c>
      <c r="H57" s="433" t="str">
        <f>IF(AND(ISNUMBER(D57),ISNUMBER(F57)),ROUNDDOWN(MIN(IF(OR(ISBLANK(I57),I57=""),EOMONTH(DATE(EINSTELLUNG!$C$35,$A$1,1),0),I57)-MAX(D57,DATE(EINSTELLUNG!$C$35,$A$1,1))+1)/DAY(EOMONTH(DATE(EINSTELLUNG!$C$35,$A$1,1),0))*F57,2),"")</f>
        <v/>
      </c>
      <c r="I57" s="41"/>
      <c r="J57" s="42"/>
      <c r="K57" s="432" t="str">
        <f t="shared" si="1"/>
        <v/>
      </c>
      <c r="L57" s="434"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1.95" customHeight="1" x14ac:dyDescent="0.35">
      <c r="A58" s="363" t="s">
        <v>129</v>
      </c>
      <c r="B58" s="75"/>
      <c r="C58" s="30"/>
      <c r="D58" s="34"/>
      <c r="E58" s="32"/>
      <c r="F58" s="33"/>
      <c r="G58" s="432" t="str">
        <f>IF(OR(E58="",F58=""),"",PID_KVLohnLookup($A$1,E58,F58,LOHNTABELLE!$H$4))</f>
        <v/>
      </c>
      <c r="H58" s="433" t="str">
        <f>IF(AND(ISNUMBER(D58),ISNUMBER(F58)),ROUNDDOWN(MIN(IF(OR(ISBLANK(I58),I58=""),EOMONTH(DATE(EINSTELLUNG!$C$35,$A$1,1),0),I58)-MAX(D58,DATE(EINSTELLUNG!$C$35,$A$1,1))+1)/DAY(EOMONTH(DATE(EINSTELLUNG!$C$35,$A$1,1),0))*F58,2),"")</f>
        <v/>
      </c>
      <c r="I58" s="34"/>
      <c r="J58" s="35"/>
      <c r="K58" s="432" t="str">
        <f t="shared" si="1"/>
        <v/>
      </c>
      <c r="L58" s="434"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1.95" customHeight="1" x14ac:dyDescent="0.35">
      <c r="A59" s="363" t="s">
        <v>130</v>
      </c>
      <c r="B59" s="76"/>
      <c r="C59" s="37"/>
      <c r="D59" s="41"/>
      <c r="E59" s="39"/>
      <c r="F59" s="40"/>
      <c r="G59" s="432" t="str">
        <f>IF(OR(E59="",F59=""),"",PID_KVLohnLookup($A$1,E59,F59,LOHNTABELLE!$H$4))</f>
        <v/>
      </c>
      <c r="H59" s="433" t="str">
        <f>IF(AND(ISNUMBER(D59),ISNUMBER(F59)),ROUNDDOWN(MIN(IF(OR(ISBLANK(I59),I59=""),EOMONTH(DATE(EINSTELLUNG!$C$35,$A$1,1),0),I59)-MAX(D59,DATE(EINSTELLUNG!$C$35,$A$1,1))+1)/DAY(EOMONTH(DATE(EINSTELLUNG!$C$35,$A$1,1),0))*F59,2),"")</f>
        <v/>
      </c>
      <c r="I59" s="41"/>
      <c r="J59" s="42"/>
      <c r="K59" s="432" t="str">
        <f t="shared" si="1"/>
        <v/>
      </c>
      <c r="L59" s="434"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1.95" customHeight="1" x14ac:dyDescent="0.35">
      <c r="A60" s="363" t="s">
        <v>131</v>
      </c>
      <c r="B60" s="75"/>
      <c r="C60" s="30"/>
      <c r="D60" s="34"/>
      <c r="E60" s="32"/>
      <c r="F60" s="33"/>
      <c r="G60" s="432" t="str">
        <f>IF(OR(E60="",F60=""),"",PID_KVLohnLookup($A$1,E60,F60,LOHNTABELLE!$H$4))</f>
        <v/>
      </c>
      <c r="H60" s="433" t="str">
        <f>IF(AND(ISNUMBER(D60),ISNUMBER(F60)),ROUNDDOWN(MIN(IF(OR(ISBLANK(I60),I60=""),EOMONTH(DATE(EINSTELLUNG!$C$35,$A$1,1),0),I60)-MAX(D60,DATE(EINSTELLUNG!$C$35,$A$1,1))+1)/DAY(EOMONTH(DATE(EINSTELLUNG!$C$35,$A$1,1),0))*F60,2),"")</f>
        <v/>
      </c>
      <c r="I60" s="34"/>
      <c r="J60" s="35"/>
      <c r="K60" s="432" t="str">
        <f t="shared" si="1"/>
        <v/>
      </c>
      <c r="L60" s="434"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1.95" customHeight="1" x14ac:dyDescent="0.35">
      <c r="A61" s="363" t="s">
        <v>132</v>
      </c>
      <c r="B61" s="76"/>
      <c r="C61" s="37"/>
      <c r="D61" s="41"/>
      <c r="E61" s="39"/>
      <c r="F61" s="40"/>
      <c r="G61" s="432" t="str">
        <f>IF(OR(E61="",F61=""),"",PID_KVLohnLookup($A$1,E61,F61,LOHNTABELLE!$H$4))</f>
        <v/>
      </c>
      <c r="H61" s="433" t="str">
        <f>IF(AND(ISNUMBER(D61),ISNUMBER(F61)),ROUNDDOWN(MIN(IF(OR(ISBLANK(I61),I61=""),EOMONTH(DATE(EINSTELLUNG!$C$35,$A$1,1),0),I61)-MAX(D61,DATE(EINSTELLUNG!$C$35,$A$1,1))+1)/DAY(EOMONTH(DATE(EINSTELLUNG!$C$35,$A$1,1),0))*F61,2),"")</f>
        <v/>
      </c>
      <c r="I61" s="41"/>
      <c r="J61" s="42"/>
      <c r="K61" s="432" t="str">
        <f t="shared" si="1"/>
        <v/>
      </c>
      <c r="L61" s="434"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1.95" customHeight="1" x14ac:dyDescent="0.35">
      <c r="A62" s="363" t="s">
        <v>133</v>
      </c>
      <c r="B62" s="75"/>
      <c r="C62" s="30"/>
      <c r="D62" s="34"/>
      <c r="E62" s="32"/>
      <c r="F62" s="33"/>
      <c r="G62" s="432" t="str">
        <f>IF(OR(E62="",F62=""),"",PID_KVLohnLookup($A$1,E62,F62,LOHNTABELLE!$H$4))</f>
        <v/>
      </c>
      <c r="H62" s="433" t="str">
        <f>IF(AND(ISNUMBER(D62),ISNUMBER(F62)),ROUNDDOWN(MIN(IF(OR(ISBLANK(I62),I62=""),EOMONTH(DATE(EINSTELLUNG!$C$35,$A$1,1),0),I62)-MAX(D62,DATE(EINSTELLUNG!$C$35,$A$1,1))+1)/DAY(EOMONTH(DATE(EINSTELLUNG!$C$35,$A$1,1),0))*F62,2),"")</f>
        <v/>
      </c>
      <c r="I62" s="34"/>
      <c r="J62" s="35"/>
      <c r="K62" s="432" t="str">
        <f t="shared" si="1"/>
        <v/>
      </c>
      <c r="L62" s="43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1.95" customHeight="1" x14ac:dyDescent="0.35">
      <c r="A63" s="363" t="s">
        <v>134</v>
      </c>
      <c r="B63" s="76"/>
      <c r="C63" s="37"/>
      <c r="D63" s="41"/>
      <c r="E63" s="39"/>
      <c r="F63" s="40"/>
      <c r="G63" s="432" t="str">
        <f>IF(OR(E63="",F63=""),"",PID_KVLohnLookup($A$1,E63,F63,LOHNTABELLE!$H$4))</f>
        <v/>
      </c>
      <c r="H63" s="433" t="str">
        <f>IF(AND(ISNUMBER(D63),ISNUMBER(F63)),ROUNDDOWN(MIN(IF(OR(ISBLANK(I63),I63=""),EOMONTH(DATE(EINSTELLUNG!$C$35,$A$1,1),0),I63)-MAX(D63,DATE(EINSTELLUNG!$C$35,$A$1,1))+1)/DAY(EOMONTH(DATE(EINSTELLUNG!$C$35,$A$1,1),0))*F63,2),"")</f>
        <v/>
      </c>
      <c r="I63" s="41"/>
      <c r="J63" s="42"/>
      <c r="K63" s="432" t="str">
        <f t="shared" si="1"/>
        <v/>
      </c>
      <c r="L63" s="43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1.95" customHeight="1" x14ac:dyDescent="0.35">
      <c r="A64" s="363" t="s">
        <v>135</v>
      </c>
      <c r="B64" s="75"/>
      <c r="C64" s="30"/>
      <c r="D64" s="34"/>
      <c r="E64" s="32"/>
      <c r="F64" s="33"/>
      <c r="G64" s="432" t="str">
        <f>IF(OR(E64="",F64=""),"",PID_KVLohnLookup($A$1,E64,F64,LOHNTABELLE!$H$4))</f>
        <v/>
      </c>
      <c r="H64" s="433" t="str">
        <f>IF(AND(ISNUMBER(D64),ISNUMBER(F64)),ROUNDDOWN(MIN(IF(OR(ISBLANK(I64),I64=""),EOMONTH(DATE(EINSTELLUNG!$C$35,$A$1,1),0),I64)-MAX(D64,DATE(EINSTELLUNG!$C$35,$A$1,1))+1)/DAY(EOMONTH(DATE(EINSTELLUNG!$C$35,$A$1,1),0))*F64,2),"")</f>
        <v/>
      </c>
      <c r="I64" s="34"/>
      <c r="J64" s="35"/>
      <c r="K64" s="432" t="str">
        <f t="shared" si="1"/>
        <v/>
      </c>
      <c r="L64" s="43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1.95" customHeight="1" x14ac:dyDescent="0.35">
      <c r="A65" s="363" t="s">
        <v>136</v>
      </c>
      <c r="B65" s="76"/>
      <c r="C65" s="37"/>
      <c r="D65" s="41"/>
      <c r="E65" s="39"/>
      <c r="F65" s="40"/>
      <c r="G65" s="432" t="str">
        <f>IF(OR(E65="",F65=""),"",PID_KVLohnLookup($A$1,E65,F65,LOHNTABELLE!$H$4))</f>
        <v/>
      </c>
      <c r="H65" s="433" t="str">
        <f>IF(AND(ISNUMBER(D65),ISNUMBER(F65)),ROUNDDOWN(MIN(IF(OR(ISBLANK(I65),I65=""),EOMONTH(DATE(EINSTELLUNG!$C$35,$A$1,1),0),I65)-MAX(D65,DATE(EINSTELLUNG!$C$35,$A$1,1))+1)/DAY(EOMONTH(DATE(EINSTELLUNG!$C$35,$A$1,1),0))*F65,2),"")</f>
        <v/>
      </c>
      <c r="I65" s="41"/>
      <c r="J65" s="42"/>
      <c r="K65" s="432" t="str">
        <f t="shared" si="1"/>
        <v/>
      </c>
      <c r="L65" s="43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1.95" customHeight="1" x14ac:dyDescent="0.35">
      <c r="A66" s="363" t="s">
        <v>137</v>
      </c>
      <c r="B66" s="75"/>
      <c r="C66" s="30"/>
      <c r="D66" s="34"/>
      <c r="E66" s="32"/>
      <c r="F66" s="33"/>
      <c r="G66" s="432" t="str">
        <f>IF(OR(E66="",F66=""),"",PID_KVLohnLookup($A$1,E66,F66,LOHNTABELLE!$H$4))</f>
        <v/>
      </c>
      <c r="H66" s="433" t="str">
        <f>IF(AND(ISNUMBER(D66),ISNUMBER(F66)),ROUNDDOWN(MIN(IF(OR(ISBLANK(I66),I66=""),EOMONTH(DATE(EINSTELLUNG!$C$35,$A$1,1),0),I66)-MAX(D66,DATE(EINSTELLUNG!$C$35,$A$1,1))+1)/DAY(EOMONTH(DATE(EINSTELLUNG!$C$35,$A$1,1),0))*F66,2),"")</f>
        <v/>
      </c>
      <c r="I66" s="34"/>
      <c r="J66" s="35"/>
      <c r="K66" s="432" t="str">
        <f t="shared" si="1"/>
        <v/>
      </c>
      <c r="L66" s="43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1.95" customHeight="1" x14ac:dyDescent="0.35">
      <c r="A67" s="363" t="s">
        <v>138</v>
      </c>
      <c r="B67" s="76"/>
      <c r="C67" s="37"/>
      <c r="D67" s="41"/>
      <c r="E67" s="39"/>
      <c r="F67" s="40"/>
      <c r="G67" s="432" t="str">
        <f>IF(OR(E67="",F67=""),"",PID_KVLohnLookup($A$1,E67,F67,LOHNTABELLE!$H$4))</f>
        <v/>
      </c>
      <c r="H67" s="433" t="str">
        <f>IF(AND(ISNUMBER(D67),ISNUMBER(F67)),ROUNDDOWN(MIN(IF(OR(ISBLANK(I67),I67=""),EOMONTH(DATE(EINSTELLUNG!$C$35,$A$1,1),0),I67)-MAX(D67,DATE(EINSTELLUNG!$C$35,$A$1,1))+1)/DAY(EOMONTH(DATE(EINSTELLUNG!$C$35,$A$1,1),0))*F67,2),"")</f>
        <v/>
      </c>
      <c r="I67" s="41"/>
      <c r="J67" s="42"/>
      <c r="K67" s="432" t="str">
        <f t="shared" ref="K67:K82" si="3">IF(OR(B67="",C67=""),"",IFERROR(IF(OR(MONTH(D67)=1,MONTH(D67)=3,MONTH(D67)=5,MONTH(D67)=7,MONTH(D67)=8,MONTH(D67)=10,MONTH(D67)=12),(G67/31)*J67,IF(OR(MONTH(D67)=4,MONTH(D67)=6,MONTH(D67)=9,MONTH(D67)=11),(G67/30)*J67,(G67/DAY(EOMONTH(D67,0)))*J67)),0))</f>
        <v/>
      </c>
      <c r="L67" s="43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1.95" customHeight="1" x14ac:dyDescent="0.35">
      <c r="A68" s="363" t="s">
        <v>139</v>
      </c>
      <c r="B68" s="75"/>
      <c r="C68" s="30"/>
      <c r="D68" s="34"/>
      <c r="E68" s="32"/>
      <c r="F68" s="33"/>
      <c r="G68" s="432" t="str">
        <f>IF(OR(E68="",F68=""),"",PID_KVLohnLookup($A$1,E68,F68,LOHNTABELLE!$H$4))</f>
        <v/>
      </c>
      <c r="H68" s="433" t="str">
        <f>IF(AND(ISNUMBER(D68),ISNUMBER(F68)),ROUNDDOWN(MIN(IF(OR(ISBLANK(I68),I68=""),EOMONTH(DATE(EINSTELLUNG!$C$35,$A$1,1),0),I68)-MAX(D68,DATE(EINSTELLUNG!$C$35,$A$1,1))+1)/DAY(EOMONTH(DATE(EINSTELLUNG!$C$35,$A$1,1),0))*F68,2),"")</f>
        <v/>
      </c>
      <c r="I68" s="34"/>
      <c r="J68" s="35"/>
      <c r="K68" s="432" t="str">
        <f t="shared" si="3"/>
        <v/>
      </c>
      <c r="L68" s="43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1.95" customHeight="1" x14ac:dyDescent="0.35">
      <c r="A69" s="363" t="s">
        <v>140</v>
      </c>
      <c r="B69" s="76"/>
      <c r="C69" s="37"/>
      <c r="D69" s="41"/>
      <c r="E69" s="39"/>
      <c r="F69" s="40"/>
      <c r="G69" s="432" t="str">
        <f>IF(OR(E69="",F69=""),"",PID_KVLohnLookup($A$1,E69,F69,LOHNTABELLE!$H$4))</f>
        <v/>
      </c>
      <c r="H69" s="433" t="str">
        <f>IF(AND(ISNUMBER(D69),ISNUMBER(F69)),ROUNDDOWN(MIN(IF(OR(ISBLANK(I69),I69=""),EOMONTH(DATE(EINSTELLUNG!$C$35,$A$1,1),0),I69)-MAX(D69,DATE(EINSTELLUNG!$C$35,$A$1,1))+1)/DAY(EOMONTH(DATE(EINSTELLUNG!$C$35,$A$1,1),0))*F69,2),"")</f>
        <v/>
      </c>
      <c r="I69" s="41"/>
      <c r="J69" s="42"/>
      <c r="K69" s="432" t="str">
        <f t="shared" si="3"/>
        <v/>
      </c>
      <c r="L69" s="43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1.95" customHeight="1" x14ac:dyDescent="0.35">
      <c r="A70" s="363" t="s">
        <v>141</v>
      </c>
      <c r="B70" s="75"/>
      <c r="C70" s="30"/>
      <c r="D70" s="34"/>
      <c r="E70" s="32"/>
      <c r="F70" s="33"/>
      <c r="G70" s="432" t="str">
        <f>IF(OR(E70="",F70=""),"",PID_KVLohnLookup($A$1,E70,F70,LOHNTABELLE!$H$4))</f>
        <v/>
      </c>
      <c r="H70" s="433" t="str">
        <f>IF(AND(ISNUMBER(D70),ISNUMBER(F70)),ROUNDDOWN(MIN(IF(OR(ISBLANK(I70),I70=""),EOMONTH(DATE(EINSTELLUNG!$C$35,$A$1,1),0),I70)-MAX(D70,DATE(EINSTELLUNG!$C$35,$A$1,1))+1)/DAY(EOMONTH(DATE(EINSTELLUNG!$C$35,$A$1,1),0))*F70,2),"")</f>
        <v/>
      </c>
      <c r="I70" s="34"/>
      <c r="J70" s="35"/>
      <c r="K70" s="432" t="str">
        <f t="shared" si="3"/>
        <v/>
      </c>
      <c r="L70" s="43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1.95" customHeight="1" x14ac:dyDescent="0.35">
      <c r="A71" s="363" t="s">
        <v>142</v>
      </c>
      <c r="B71" s="76"/>
      <c r="C71" s="37"/>
      <c r="D71" s="41"/>
      <c r="E71" s="39"/>
      <c r="F71" s="40"/>
      <c r="G71" s="432" t="str">
        <f>IF(OR(E71="",F71=""),"",PID_KVLohnLookup($A$1,E71,F71,LOHNTABELLE!$H$4))</f>
        <v/>
      </c>
      <c r="H71" s="433" t="str">
        <f>IF(AND(ISNUMBER(D71),ISNUMBER(F71)),ROUNDDOWN(MIN(IF(OR(ISBLANK(I71),I71=""),EOMONTH(DATE(EINSTELLUNG!$C$35,$A$1,1),0),I71)-MAX(D71,DATE(EINSTELLUNG!$C$35,$A$1,1))+1)/DAY(EOMONTH(DATE(EINSTELLUNG!$C$35,$A$1,1),0))*F71,2),"")</f>
        <v/>
      </c>
      <c r="I71" s="41"/>
      <c r="J71" s="42"/>
      <c r="K71" s="432" t="str">
        <f t="shared" si="3"/>
        <v/>
      </c>
      <c r="L71" s="43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1.95" customHeight="1" x14ac:dyDescent="0.35">
      <c r="A72" s="363" t="s">
        <v>143</v>
      </c>
      <c r="B72" s="75"/>
      <c r="C72" s="30"/>
      <c r="D72" s="34"/>
      <c r="E72" s="32"/>
      <c r="F72" s="33"/>
      <c r="G72" s="432" t="str">
        <f>IF(OR(E72="",F72=""),"",PID_KVLohnLookup($A$1,E72,F72,LOHNTABELLE!$H$4))</f>
        <v/>
      </c>
      <c r="H72" s="433" t="str">
        <f>IF(AND(ISNUMBER(D72),ISNUMBER(F72)),ROUNDDOWN(MIN(IF(OR(ISBLANK(I72),I72=""),EOMONTH(DATE(EINSTELLUNG!$C$35,$A$1,1),0),I72)-MAX(D72,DATE(EINSTELLUNG!$C$35,$A$1,1))+1)/DAY(EOMONTH(DATE(EINSTELLUNG!$C$35,$A$1,1),0))*F72,2),"")</f>
        <v/>
      </c>
      <c r="I72" s="34"/>
      <c r="J72" s="35"/>
      <c r="K72" s="432" t="str">
        <f t="shared" si="3"/>
        <v/>
      </c>
      <c r="L72" s="43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1.95" customHeight="1" x14ac:dyDescent="0.35">
      <c r="A73" s="363" t="s">
        <v>144</v>
      </c>
      <c r="B73" s="76"/>
      <c r="C73" s="37"/>
      <c r="D73" s="41"/>
      <c r="E73" s="39"/>
      <c r="F73" s="40"/>
      <c r="G73" s="432" t="str">
        <f>IF(OR(E73="",F73=""),"",PID_KVLohnLookup($A$1,E73,F73,LOHNTABELLE!$H$4))</f>
        <v/>
      </c>
      <c r="H73" s="433" t="str">
        <f>IF(AND(ISNUMBER(D73),ISNUMBER(F73)),ROUNDDOWN(MIN(IF(OR(ISBLANK(I73),I73=""),EOMONTH(DATE(EINSTELLUNG!$C$35,$A$1,1),0),I73)-MAX(D73,DATE(EINSTELLUNG!$C$35,$A$1,1))+1)/DAY(EOMONTH(DATE(EINSTELLUNG!$C$35,$A$1,1),0))*F73,2),"")</f>
        <v/>
      </c>
      <c r="I73" s="41"/>
      <c r="J73" s="42"/>
      <c r="K73" s="432" t="str">
        <f t="shared" si="3"/>
        <v/>
      </c>
      <c r="L73" s="43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1.95" customHeight="1" x14ac:dyDescent="0.35">
      <c r="A74" s="363" t="s">
        <v>145</v>
      </c>
      <c r="B74" s="75"/>
      <c r="C74" s="30"/>
      <c r="D74" s="34"/>
      <c r="E74" s="32"/>
      <c r="F74" s="33"/>
      <c r="G74" s="432" t="str">
        <f>IF(OR(E74="",F74=""),"",PID_KVLohnLookup($A$1,E74,F74,LOHNTABELLE!$H$4))</f>
        <v/>
      </c>
      <c r="H74" s="433" t="str">
        <f>IF(AND(ISNUMBER(D74),ISNUMBER(F74)),ROUNDDOWN(MIN(IF(OR(ISBLANK(I74),I74=""),EOMONTH(DATE(EINSTELLUNG!$C$35,$A$1,1),0),I74)-MAX(D74,DATE(EINSTELLUNG!$C$35,$A$1,1))+1)/DAY(EOMONTH(DATE(EINSTELLUNG!$C$35,$A$1,1),0))*F74,2),"")</f>
        <v/>
      </c>
      <c r="I74" s="34"/>
      <c r="J74" s="35"/>
      <c r="K74" s="432" t="str">
        <f t="shared" si="3"/>
        <v/>
      </c>
      <c r="L74" s="43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1.95" customHeight="1" x14ac:dyDescent="0.35">
      <c r="A75" s="363" t="s">
        <v>146</v>
      </c>
      <c r="B75" s="76"/>
      <c r="C75" s="37"/>
      <c r="D75" s="41"/>
      <c r="E75" s="39"/>
      <c r="F75" s="40"/>
      <c r="G75" s="432" t="str">
        <f>IF(OR(E75="",F75=""),"",PID_KVLohnLookup($A$1,E75,F75,LOHNTABELLE!$H$4))</f>
        <v/>
      </c>
      <c r="H75" s="433" t="str">
        <f>IF(AND(ISNUMBER(D75),ISNUMBER(F75)),ROUNDDOWN(MIN(IF(OR(ISBLANK(I75),I75=""),EOMONTH(DATE(EINSTELLUNG!$C$35,$A$1,1),0),I75)-MAX(D75,DATE(EINSTELLUNG!$C$35,$A$1,1))+1)/DAY(EOMONTH(DATE(EINSTELLUNG!$C$35,$A$1,1),0))*F75,2),"")</f>
        <v/>
      </c>
      <c r="I75" s="41"/>
      <c r="J75" s="42"/>
      <c r="K75" s="432" t="str">
        <f t="shared" si="3"/>
        <v/>
      </c>
      <c r="L75" s="43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1.95" customHeight="1" x14ac:dyDescent="0.35">
      <c r="A76" s="363" t="s">
        <v>147</v>
      </c>
      <c r="B76" s="75"/>
      <c r="C76" s="30"/>
      <c r="D76" s="34"/>
      <c r="E76" s="32"/>
      <c r="F76" s="33"/>
      <c r="G76" s="432" t="str">
        <f>IF(OR(E76="",F76=""),"",PID_KVLohnLookup($A$1,E76,F76,LOHNTABELLE!$H$4))</f>
        <v/>
      </c>
      <c r="H76" s="433" t="str">
        <f>IF(AND(ISNUMBER(D76),ISNUMBER(F76)),ROUNDDOWN(MIN(IF(OR(ISBLANK(I76),I76=""),EOMONTH(DATE(EINSTELLUNG!$C$35,$A$1,1),0),I76)-MAX(D76,DATE(EINSTELLUNG!$C$35,$A$1,1))+1)/DAY(EOMONTH(DATE(EINSTELLUNG!$C$35,$A$1,1),0))*F76,2),"")</f>
        <v/>
      </c>
      <c r="I76" s="34"/>
      <c r="J76" s="35"/>
      <c r="K76" s="432" t="str">
        <f t="shared" si="3"/>
        <v/>
      </c>
      <c r="L76" s="43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1.95" customHeight="1" x14ac:dyDescent="0.35">
      <c r="A77" s="363" t="s">
        <v>148</v>
      </c>
      <c r="B77" s="76"/>
      <c r="C77" s="37"/>
      <c r="D77" s="41"/>
      <c r="E77" s="39"/>
      <c r="F77" s="40"/>
      <c r="G77" s="432" t="str">
        <f>IF(OR(E77="",F77=""),"",PID_KVLohnLookup($A$1,E77,F77,LOHNTABELLE!$H$4))</f>
        <v/>
      </c>
      <c r="H77" s="433" t="str">
        <f>IF(AND(ISNUMBER(D77),ISNUMBER(F77)),ROUNDDOWN(MIN(IF(OR(ISBLANK(I77),I77=""),EOMONTH(DATE(EINSTELLUNG!$C$35,$A$1,1),0),I77)-MAX(D77,DATE(EINSTELLUNG!$C$35,$A$1,1))+1)/DAY(EOMONTH(DATE(EINSTELLUNG!$C$35,$A$1,1),0))*F77,2),"")</f>
        <v/>
      </c>
      <c r="I77" s="41"/>
      <c r="J77" s="42"/>
      <c r="K77" s="432" t="str">
        <f t="shared" si="3"/>
        <v/>
      </c>
      <c r="L77" s="43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1.95" customHeight="1" x14ac:dyDescent="0.35">
      <c r="A78" s="363" t="s">
        <v>149</v>
      </c>
      <c r="B78" s="75"/>
      <c r="C78" s="30"/>
      <c r="D78" s="34"/>
      <c r="E78" s="32"/>
      <c r="F78" s="33"/>
      <c r="G78" s="432" t="str">
        <f>IF(OR(E78="",F78=""),"",PID_KVLohnLookup($A$1,E78,F78,LOHNTABELLE!$H$4))</f>
        <v/>
      </c>
      <c r="H78" s="433" t="str">
        <f>IF(AND(ISNUMBER(D78),ISNUMBER(F78)),ROUNDDOWN(MIN(IF(OR(ISBLANK(I78),I78=""),EOMONTH(DATE(EINSTELLUNG!$C$35,$A$1,1),0),I78)-MAX(D78,DATE(EINSTELLUNG!$C$35,$A$1,1))+1)/DAY(EOMONTH(DATE(EINSTELLUNG!$C$35,$A$1,1),0))*F78,2),"")</f>
        <v/>
      </c>
      <c r="I78" s="34"/>
      <c r="J78" s="35"/>
      <c r="K78" s="432" t="str">
        <f t="shared" si="3"/>
        <v/>
      </c>
      <c r="L78" s="43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1.95" customHeight="1" x14ac:dyDescent="0.35">
      <c r="A79" s="363" t="s">
        <v>150</v>
      </c>
      <c r="B79" s="76"/>
      <c r="C79" s="37"/>
      <c r="D79" s="41"/>
      <c r="E79" s="39"/>
      <c r="F79" s="40"/>
      <c r="G79" s="432" t="str">
        <f>IF(OR(E79="",F79=""),"",PID_KVLohnLookup($A$1,E79,F79,LOHNTABELLE!$H$4))</f>
        <v/>
      </c>
      <c r="H79" s="433" t="str">
        <f>IF(AND(ISNUMBER(D79),ISNUMBER(F79)),ROUNDDOWN(MIN(IF(OR(ISBLANK(I79),I79=""),EOMONTH(DATE(EINSTELLUNG!$C$35,$A$1,1),0),I79)-MAX(D79,DATE(EINSTELLUNG!$C$35,$A$1,1))+1)/DAY(EOMONTH(DATE(EINSTELLUNG!$C$35,$A$1,1),0))*F79,2),"")</f>
        <v/>
      </c>
      <c r="I79" s="41"/>
      <c r="J79" s="42"/>
      <c r="K79" s="432" t="str">
        <f t="shared" si="3"/>
        <v/>
      </c>
      <c r="L79" s="43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1.95" customHeight="1" x14ac:dyDescent="0.35">
      <c r="A80" s="363" t="s">
        <v>151</v>
      </c>
      <c r="B80" s="75"/>
      <c r="C80" s="30"/>
      <c r="D80" s="34"/>
      <c r="E80" s="32"/>
      <c r="F80" s="33"/>
      <c r="G80" s="432" t="str">
        <f>IF(OR(E80="",F80=""),"",PID_KVLohnLookup($A$1,E80,F80,LOHNTABELLE!$H$4))</f>
        <v/>
      </c>
      <c r="H80" s="433" t="str">
        <f>IF(AND(ISNUMBER(D80),ISNUMBER(F80)),ROUNDDOWN(MIN(IF(OR(ISBLANK(I80),I80=""),EOMONTH(DATE(EINSTELLUNG!$C$35,$A$1,1),0),I80)-MAX(D80,DATE(EINSTELLUNG!$C$35,$A$1,1))+1)/DAY(EOMONTH(DATE(EINSTELLUNG!$C$35,$A$1,1),0))*F80,2),"")</f>
        <v/>
      </c>
      <c r="I80" s="34"/>
      <c r="J80" s="35"/>
      <c r="K80" s="432" t="str">
        <f t="shared" si="3"/>
        <v/>
      </c>
      <c r="L80" s="43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1.95" customHeight="1" x14ac:dyDescent="0.35">
      <c r="A81" s="363" t="s">
        <v>152</v>
      </c>
      <c r="B81" s="76"/>
      <c r="C81" s="37"/>
      <c r="D81" s="41"/>
      <c r="E81" s="39"/>
      <c r="F81" s="40"/>
      <c r="G81" s="432" t="str">
        <f>IF(OR(E81="",F81=""),"",PID_KVLohnLookup($A$1,E81,F81,LOHNTABELLE!$H$4))</f>
        <v/>
      </c>
      <c r="H81" s="433" t="str">
        <f>IF(AND(ISNUMBER(D81),ISNUMBER(F81)),ROUNDDOWN(MIN(IF(OR(ISBLANK(I81),I81=""),EOMONTH(DATE(EINSTELLUNG!$C$35,$A$1,1),0),I81)-MAX(D81,DATE(EINSTELLUNG!$C$35,$A$1,1))+1)/DAY(EOMONTH(DATE(EINSTELLUNG!$C$35,$A$1,1),0))*F81,2),"")</f>
        <v/>
      </c>
      <c r="I81" s="41"/>
      <c r="J81" s="42"/>
      <c r="K81" s="432" t="str">
        <f t="shared" si="3"/>
        <v/>
      </c>
      <c r="L81" s="43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1.95" customHeight="1" thickBot="1" x14ac:dyDescent="0.4">
      <c r="A82" s="423" t="s">
        <v>153</v>
      </c>
      <c r="B82" s="77"/>
      <c r="C82" s="45"/>
      <c r="D82" s="46"/>
      <c r="E82" s="47"/>
      <c r="F82" s="48"/>
      <c r="G82" s="442" t="str">
        <f>IF(OR(E82="",F82=""),"",PID_KVLohnLookup($A$1,E82,F82,LOHNTABELLE!$H$4))</f>
        <v/>
      </c>
      <c r="H82" s="443" t="str">
        <f>IF(AND(ISNUMBER(D82),ISNUMBER(F82)),ROUNDDOWN(MIN(IF(OR(ISBLANK(I82),I82=""),EOMONTH(DATE(EINSTELLUNG!$C$35,$A$1,1),0),I82)-MAX(D82,DATE(EINSTELLUNG!$C$35,$A$1,1))+1)/DAY(EOMONTH(DATE(EINSTELLUNG!$C$35,$A$1,1),0))*F82,2),"")</f>
        <v/>
      </c>
      <c r="I82" s="46"/>
      <c r="J82" s="49"/>
      <c r="K82" s="442" t="str">
        <f t="shared" si="3"/>
        <v/>
      </c>
      <c r="L82" s="44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8"/>
    </row>
    <row r="100" spans="26:26" ht="15.95" customHeight="1" x14ac:dyDescent="0.3">
      <c r="Z100" s="343"/>
    </row>
    <row r="114" spans="11:14" ht="15.95" customHeight="1" x14ac:dyDescent="0.35">
      <c r="K114" s="445"/>
      <c r="L114" s="445"/>
      <c r="M114" s="445"/>
      <c r="N114" s="446"/>
    </row>
    <row r="115" spans="11:14" ht="15.95" customHeight="1" x14ac:dyDescent="0.35">
      <c r="K115" s="445"/>
      <c r="L115" s="445"/>
      <c r="M115" s="445"/>
      <c r="N115" s="446"/>
    </row>
    <row r="116" spans="11:14" ht="15.95" customHeight="1" x14ac:dyDescent="0.3">
      <c r="K116" s="447"/>
      <c r="L116" s="447"/>
      <c r="M116" s="448"/>
      <c r="N116" s="448"/>
    </row>
    <row r="117" spans="11:14" ht="15.95" customHeight="1" x14ac:dyDescent="0.3">
      <c r="K117" s="447"/>
      <c r="L117" s="447"/>
      <c r="M117" s="448"/>
      <c r="N117" s="448"/>
    </row>
    <row r="118" spans="11:14" ht="15.95" customHeight="1" x14ac:dyDescent="0.3">
      <c r="K118" s="449"/>
      <c r="L118" s="449"/>
      <c r="M118" s="450"/>
      <c r="N118" s="450"/>
    </row>
    <row r="119" spans="11:14" ht="15.95" customHeight="1" x14ac:dyDescent="0.3">
      <c r="K119" s="451"/>
      <c r="L119" s="451"/>
      <c r="M119" s="452"/>
      <c r="N119" s="452"/>
    </row>
    <row r="120" spans="11:14" ht="15.95" customHeight="1" x14ac:dyDescent="0.3">
      <c r="K120" s="447"/>
      <c r="L120" s="447"/>
      <c r="M120" s="448"/>
      <c r="N120" s="448"/>
    </row>
    <row r="121" spans="11:14" ht="15.95" customHeight="1" x14ac:dyDescent="0.3">
      <c r="K121" s="447"/>
      <c r="L121" s="447"/>
      <c r="M121" s="448"/>
      <c r="N121" s="448"/>
    </row>
    <row r="122" spans="11:14" ht="15.95" customHeight="1" x14ac:dyDescent="0.3">
      <c r="K122" s="451"/>
      <c r="L122" s="451"/>
      <c r="M122" s="452"/>
      <c r="N122" s="452"/>
    </row>
    <row r="123" spans="11:14" ht="15.95" customHeight="1" x14ac:dyDescent="0.3">
      <c r="K123" s="453"/>
      <c r="L123" s="453"/>
      <c r="M123" s="453"/>
      <c r="N123" s="453"/>
    </row>
  </sheetData>
  <sheetProtection algorithmName="SHA-512" hashValue="26OwH3UPE03UKQBcjhd+VCbybtkJog8Fnx+FmC954jVQ+HU+TFFC2AHNyUb4POzU1DYVd5k7EMPYpDqronv4bQ==" saltValue="781pdTPerZaQ+lqBeOJv8Q==" spinCount="100000" sheet="1" objects="1" scenarios="1" autoFilter="0"/>
  <mergeCells count="111">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B1A2C133-D1BB-4F2D-83D0-8D20017CC991}">
          <x14:formula1>
            <xm:f>KV_DROPDOWN_HELPER!$A$1:$A$13</xm:f>
          </x14:formula1>
          <xm:sqref>F3</xm:sqref>
        </x14:dataValidation>
        <x14:dataValidation type="list" allowBlank="1" showInputMessage="1" showErrorMessage="1" xr:uid="{60E8370F-11E2-4D4C-8250-E4E9B4185AFE}">
          <x14:formula1>
            <xm:f>KV_DROPDOWN_HELPER!$B$1:$B$15</xm:f>
          </x14:formula1>
          <xm:sqref>F4</xm:sqref>
        </x14:dataValidation>
        <x14:dataValidation type="list" allowBlank="1" showInputMessage="1" showErrorMessage="1" xr:uid="{EB27B1B2-4564-4CB7-9EA2-D8245D49653D}">
          <x14:formula1>
            <xm:f>KV_DROPDOWN_HELPER!$C$1:$C$13</xm:f>
          </x14:formula1>
          <xm:sqref>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40625" defaultRowHeight="15.95" customHeight="1" x14ac:dyDescent="0.3"/>
  <cols>
    <col min="1" max="1" width="4.42578125" style="427" customWidth="1"/>
    <col min="2" max="2" width="9.140625" style="427" customWidth="1"/>
    <col min="3" max="3" width="35.5703125" style="263" customWidth="1"/>
    <col min="4" max="4" width="13.5703125" style="263" customWidth="1"/>
    <col min="5" max="5" width="9.5703125" style="263" customWidth="1"/>
    <col min="6" max="6" width="10.5703125" style="263" customWidth="1"/>
    <col min="7" max="7" width="13.5703125" style="263" customWidth="1"/>
    <col min="8" max="8" width="11.5703125" style="263" customWidth="1"/>
    <col min="9" max="10" width="13.5703125" style="263" customWidth="1"/>
    <col min="11" max="11" width="14.5703125" style="263" customWidth="1"/>
    <col min="12" max="12" width="14.5703125" style="389" customWidth="1"/>
    <col min="13" max="13" width="17.85546875" style="263" customWidth="1"/>
    <col min="14" max="14" width="34.5703125" style="263" customWidth="1"/>
    <col min="15" max="15" width="12.5703125" style="263" customWidth="1"/>
    <col min="16" max="16" width="16.5703125" style="263" customWidth="1"/>
    <col min="17" max="17" width="14.5703125" style="263" customWidth="1"/>
    <col min="18" max="18" width="13.5703125" style="263" customWidth="1"/>
    <col min="19" max="19" width="9.5703125" style="263" customWidth="1"/>
    <col min="20" max="20" width="10.5703125" style="263" customWidth="1"/>
    <col min="21" max="21" width="7.5703125" style="263" customWidth="1"/>
    <col min="22" max="27" width="9.140625" style="263"/>
    <col min="28" max="28" width="10.140625" style="263" bestFit="1" customWidth="1"/>
    <col min="29" max="16384" width="9.140625" style="263"/>
  </cols>
  <sheetData>
    <row r="1" spans="1:28" ht="18" customHeight="1" x14ac:dyDescent="0.3">
      <c r="A1" s="344">
        <v>2</v>
      </c>
      <c r="B1" s="345" t="s">
        <v>179</v>
      </c>
      <c r="C1" s="346" t="s">
        <v>39</v>
      </c>
      <c r="D1" s="346" t="s">
        <v>180</v>
      </c>
      <c r="E1" s="346" t="s">
        <v>0</v>
      </c>
      <c r="F1" s="346" t="s">
        <v>40</v>
      </c>
      <c r="G1" s="346" t="s">
        <v>41</v>
      </c>
      <c r="H1" s="346" t="s">
        <v>42</v>
      </c>
      <c r="I1" s="346" t="s">
        <v>181</v>
      </c>
      <c r="J1" s="346" t="s">
        <v>43</v>
      </c>
      <c r="K1" s="346" t="s">
        <v>44</v>
      </c>
      <c r="L1" s="346" t="s">
        <v>45</v>
      </c>
      <c r="M1" s="346" t="s">
        <v>46</v>
      </c>
      <c r="N1" s="347" t="s">
        <v>182</v>
      </c>
      <c r="AB1" s="348">
        <f>DATE(EINSTELLUNG!$C$35,$A$1,1)</f>
        <v>46054</v>
      </c>
    </row>
    <row r="2" spans="1:28" ht="18" customHeight="1" thickBot="1" x14ac:dyDescent="0.35">
      <c r="A2" s="349"/>
      <c r="B2" s="350"/>
      <c r="C2" s="351"/>
      <c r="D2" s="351"/>
      <c r="E2" s="351"/>
      <c r="F2" s="351"/>
      <c r="G2" s="351"/>
      <c r="H2" s="351"/>
      <c r="I2" s="351"/>
      <c r="J2" s="351"/>
      <c r="K2" s="351"/>
      <c r="L2" s="351"/>
      <c r="M2" s="351"/>
      <c r="N2" s="352"/>
      <c r="O2" s="353"/>
      <c r="P2" s="353"/>
      <c r="Q2" s="353"/>
      <c r="S2" s="354" t="s">
        <v>291</v>
      </c>
      <c r="T2" s="354"/>
      <c r="U2" s="354"/>
      <c r="V2" s="354"/>
      <c r="AB2" s="348">
        <f>EOMONTH(DATE(EINSTELLUNG!$C$35,$A$1,1),0)</f>
        <v>46081</v>
      </c>
    </row>
    <row r="3" spans="1:28" ht="21.95" customHeight="1" x14ac:dyDescent="0.35">
      <c r="A3" s="355" t="s">
        <v>292</v>
      </c>
      <c r="B3" s="173">
        <v>21867</v>
      </c>
      <c r="C3" s="151" t="s">
        <v>385</v>
      </c>
      <c r="D3" s="174">
        <v>46023</v>
      </c>
      <c r="E3" s="175" t="s">
        <v>2</v>
      </c>
      <c r="F3" s="176">
        <v>173</v>
      </c>
      <c r="G3" s="356">
        <f>IF(OR(E3="",F3=""),"",PID_KVLohnLookup($A$1,E3,F3,LOHNTABELLE!$H$4))</f>
        <v>2100</v>
      </c>
      <c r="H3" s="357">
        <f>IF(AND(ISNUMBER(D3),ISNUMBER(F3)),ROUNDDOWN(MIN(IF(OR(ISBLANK(I3),I3=""),EOMONTH(DATE(EINSTELLUNG!$C$35,$A$1,1),0),I3)-MAX(D3,DATE(EINSTELLUNG!$C$35,$A$1,1))+1)/DAY(EOMONTH(DATE(EINSTELLUNG!$C$35,$A$1,1),0))*F3,2),"")</f>
        <v>173</v>
      </c>
      <c r="I3" s="177"/>
      <c r="J3" s="178"/>
      <c r="K3" s="356">
        <f t="shared" ref="K3:K34" si="0">IF(OR(B3="",C3=""),"",IFERROR(IF(OR(MONTH(D3)=1,MONTH(D3)=3,MONTH(D3)=5,MONTH(D3)=7,MONTH(D3)=8,MONTH(D3)=10,MONTH(D3)=12),(G3/31)*J3,IF(OR(MONTH(D3)=4,MONTH(D3)=6,MONTH(D3)=9,MONTH(D3)=11),(G3/30)*J3,(G3/DAY(EOMONTH(D3,0)))*J3)),0))</f>
        <v>0</v>
      </c>
      <c r="L3" s="35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2100</v>
      </c>
      <c r="M3" s="179"/>
      <c r="N3" s="180"/>
      <c r="O3" s="359" t="s">
        <v>47</v>
      </c>
      <c r="P3" s="359" t="s">
        <v>48</v>
      </c>
      <c r="Q3" s="359" t="s">
        <v>49</v>
      </c>
      <c r="R3" s="360" t="s">
        <v>50</v>
      </c>
      <c r="S3" s="361"/>
      <c r="T3" s="361"/>
      <c r="U3" s="361"/>
      <c r="V3" s="361"/>
      <c r="AB3" s="362"/>
    </row>
    <row r="4" spans="1:28" ht="21.95" customHeight="1" x14ac:dyDescent="0.35">
      <c r="A4" s="363" t="s">
        <v>51</v>
      </c>
      <c r="B4" s="152">
        <v>221340</v>
      </c>
      <c r="C4" s="153" t="s">
        <v>333</v>
      </c>
      <c r="D4" s="154">
        <v>32994</v>
      </c>
      <c r="E4" s="155" t="s">
        <v>2</v>
      </c>
      <c r="F4" s="156">
        <v>151.38</v>
      </c>
      <c r="G4" s="364">
        <f>IF(OR(E4="",F4=""),"",PID_KVLohnLookup($A$1,E4,F4,LOHNTABELLE!$H$4))</f>
        <v>1768.38</v>
      </c>
      <c r="H4" s="365">
        <f>IF(AND(ISNUMBER(D4),ISNUMBER(F4)),ROUNDDOWN(MIN(IF(OR(ISBLANK(I4),I4=""),EOMONTH(DATE(EINSTELLUNG!$C$35,$A$1,1),0),I4)-MAX(D4,DATE(EINSTELLUNG!$C$35,$A$1,1))+1)/DAY(EOMONTH(DATE(EINSTELLUNG!$C$35,$A$1,1),0))*F4,2),"")</f>
        <v>151.38</v>
      </c>
      <c r="I4" s="158"/>
      <c r="J4" s="165"/>
      <c r="K4" s="364">
        <f t="shared" si="0"/>
        <v>0</v>
      </c>
      <c r="L4" s="366">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1768.38</v>
      </c>
      <c r="M4" s="167"/>
      <c r="N4" s="168"/>
      <c r="O4" s="367"/>
      <c r="P4" s="367"/>
      <c r="Q4" s="367"/>
      <c r="R4" s="368"/>
      <c r="S4" s="361"/>
      <c r="T4" s="361"/>
      <c r="U4" s="361"/>
      <c r="V4" s="361"/>
    </row>
    <row r="5" spans="1:28" ht="21.95" customHeight="1" x14ac:dyDescent="0.35">
      <c r="A5" s="363" t="s">
        <v>52</v>
      </c>
      <c r="B5" s="181"/>
      <c r="C5" s="182"/>
      <c r="D5" s="183"/>
      <c r="E5" s="184"/>
      <c r="F5" s="185"/>
      <c r="G5" s="364" t="str">
        <f>IF(OR(E5="",F5=""),"",PID_KVLohnLookup($A$1,E5,F5,LOHNTABELLE!$H$4))</f>
        <v/>
      </c>
      <c r="H5" s="365" t="str">
        <f>IF(AND(ISNUMBER(D5),ISNUMBER(F5)),ROUNDDOWN(MIN(IF(OR(ISBLANK(I5),I5=""),EOMONTH(DATE(EINSTELLUNG!$C$35,$A$1,1),0),I5)-MAX(D5,DATE(EINSTELLUNG!$C$35,$A$1,1))+1)/DAY(EOMONTH(DATE(EINSTELLUNG!$C$35,$A$1,1),0))*F5,2),"")</f>
        <v/>
      </c>
      <c r="I5" s="186"/>
      <c r="J5" s="187"/>
      <c r="K5" s="364" t="str">
        <f t="shared" si="0"/>
        <v/>
      </c>
      <c r="L5" s="366"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188"/>
      <c r="N5" s="189"/>
      <c r="O5" s="369" cm="1">
        <f t="array" ref="O5">SUMPRODUCT((F3:F82/4.310808)/5*2.08)</f>
        <v>31.303198843465079</v>
      </c>
      <c r="P5" s="370">
        <f>EINSTELLUNG!I7</f>
        <v>0</v>
      </c>
      <c r="Q5" s="370">
        <f>P5-O5</f>
        <v>-31.303198843465079</v>
      </c>
      <c r="R5" s="371">
        <f>IFERROR(Q5*Q42, 0)</f>
        <v>-373.30497670042377</v>
      </c>
      <c r="S5" s="361"/>
      <c r="T5" s="361"/>
      <c r="U5" s="361"/>
      <c r="V5" s="361"/>
    </row>
    <row r="6" spans="1:28" ht="21.95" customHeight="1" x14ac:dyDescent="0.35">
      <c r="A6" s="363" t="s">
        <v>53</v>
      </c>
      <c r="B6" s="152"/>
      <c r="C6" s="153"/>
      <c r="D6" s="154"/>
      <c r="E6" s="155"/>
      <c r="F6" s="156"/>
      <c r="G6" s="364" t="str">
        <f>IF(OR(E6="",F6=""),"",PID_KVLohnLookup($A$1,E6,F6,LOHNTABELLE!$H$4))</f>
        <v/>
      </c>
      <c r="H6" s="365" t="str">
        <f>IF(AND(ISNUMBER(D6),ISNUMBER(F6)),ROUNDDOWN(MIN(IF(OR(ISBLANK(I6),I6=""),EOMONTH(DATE(EINSTELLUNG!$C$35,$A$1,1),0),I6)-MAX(D6,DATE(EINSTELLUNG!$C$35,$A$1,1))+1)/DAY(EOMONTH(DATE(EINSTELLUNG!$C$35,$A$1,1),0))*F6,2),"")</f>
        <v/>
      </c>
      <c r="I6" s="158"/>
      <c r="J6" s="165"/>
      <c r="K6" s="364" t="str">
        <f t="shared" si="0"/>
        <v/>
      </c>
      <c r="L6" s="366"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167"/>
      <c r="N6" s="168"/>
      <c r="O6" s="372" t="str">
        <f>IF(Q5&lt;0, "Schlecht! Zu wenig Urlaub abgebaut.", IF(Q5&gt;0, "Gut! Mehr Urlaub abgebaut als aufgebaut.", ""))</f>
        <v>Schlecht! Zu wenig Urlaub abgebaut.</v>
      </c>
      <c r="P6" s="373"/>
      <c r="Q6" s="373"/>
      <c r="R6" s="374"/>
      <c r="S6" s="361"/>
      <c r="T6" s="361"/>
      <c r="U6" s="361"/>
      <c r="V6" s="361"/>
    </row>
    <row r="7" spans="1:28" ht="21.95" customHeight="1" thickBot="1" x14ac:dyDescent="0.4">
      <c r="A7" s="363" t="s">
        <v>54</v>
      </c>
      <c r="B7" s="181"/>
      <c r="C7" s="182"/>
      <c r="D7" s="183"/>
      <c r="E7" s="184"/>
      <c r="F7" s="190"/>
      <c r="G7" s="364" t="str">
        <f>IF(OR(E7="",F7=""),"",PID_KVLohnLookup($A$1,E7,F7,LOHNTABELLE!$H$4))</f>
        <v/>
      </c>
      <c r="H7" s="365" t="str">
        <f>IF(AND(ISNUMBER(D7),ISNUMBER(F7)),ROUNDDOWN(MIN(IF(OR(ISBLANK(I7),I7=""),EOMONTH(DATE(EINSTELLUNG!$C$35,$A$1,1),0),I7)-MAX(D7,DATE(EINSTELLUNG!$C$35,$A$1,1))+1)/DAY(EOMONTH(DATE(EINSTELLUNG!$C$35,$A$1,1),0))*F7,2),"")</f>
        <v/>
      </c>
      <c r="I7" s="186"/>
      <c r="J7" s="187"/>
      <c r="K7" s="364" t="str">
        <f t="shared" si="0"/>
        <v/>
      </c>
      <c r="L7" s="366"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188"/>
      <c r="N7" s="189"/>
      <c r="O7" s="361"/>
      <c r="P7" s="361"/>
      <c r="Q7" s="361"/>
      <c r="R7" s="361"/>
      <c r="S7" s="361"/>
      <c r="T7" s="361"/>
      <c r="U7" s="361"/>
      <c r="V7" s="361"/>
    </row>
    <row r="8" spans="1:28" ht="21.95" customHeight="1" x14ac:dyDescent="0.35">
      <c r="A8" s="363" t="s">
        <v>55</v>
      </c>
      <c r="B8" s="152"/>
      <c r="C8" s="153"/>
      <c r="D8" s="154"/>
      <c r="E8" s="155"/>
      <c r="F8" s="156"/>
      <c r="G8" s="364" t="str">
        <f>IF(OR(E8="",F8=""),"",PID_KVLohnLookup($A$1,E8,F8,LOHNTABELLE!$H$4))</f>
        <v/>
      </c>
      <c r="H8" s="365" t="str">
        <f>IF(AND(ISNUMBER(D8),ISNUMBER(F8)),ROUNDDOWN(MIN(IF(OR(ISBLANK(I8),I8=""),EOMONTH(DATE(EINSTELLUNG!$C$35,$A$1,1),0),I8)-MAX(D8,DATE(EINSTELLUNG!$C$35,$A$1,1))+1)/DAY(EOMONTH(DATE(EINSTELLUNG!$C$35,$A$1,1),0))*F8,2),"")</f>
        <v/>
      </c>
      <c r="I8" s="158"/>
      <c r="J8" s="165"/>
      <c r="K8" s="364" t="str">
        <f t="shared" si="0"/>
        <v/>
      </c>
      <c r="L8" s="366"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167"/>
      <c r="N8" s="168"/>
      <c r="O8" s="375" t="s">
        <v>56</v>
      </c>
      <c r="P8" s="376"/>
      <c r="Q8" s="377">
        <f>SUM(H3:H82)</f>
        <v>324.38</v>
      </c>
      <c r="R8" s="378"/>
      <c r="S8" s="361"/>
      <c r="T8" s="361"/>
      <c r="U8" s="361"/>
      <c r="V8" s="361"/>
    </row>
    <row r="9" spans="1:28" ht="21.95" customHeight="1" x14ac:dyDescent="0.35">
      <c r="A9" s="363" t="s">
        <v>57</v>
      </c>
      <c r="B9" s="181"/>
      <c r="C9" s="182"/>
      <c r="D9" s="183"/>
      <c r="E9" s="184"/>
      <c r="F9" s="190"/>
      <c r="G9" s="364" t="str">
        <f>IF(OR(E9="",F9=""),"",PID_KVLohnLookup($A$1,E9,F9,LOHNTABELLE!$H$4))</f>
        <v/>
      </c>
      <c r="H9" s="365" t="str">
        <f>IF(AND(ISNUMBER(D9),ISNUMBER(F9)),ROUNDDOWN(MIN(IF(OR(ISBLANK(I9),I9=""),EOMONTH(DATE(EINSTELLUNG!$C$35,$A$1,1),0),I9)-MAX(D9,DATE(EINSTELLUNG!$C$35,$A$1,1))+1)/DAY(EOMONTH(DATE(EINSTELLUNG!$C$35,$A$1,1),0))*F9,2),"")</f>
        <v/>
      </c>
      <c r="I9" s="186"/>
      <c r="J9" s="187"/>
      <c r="K9" s="364" t="str">
        <f t="shared" si="0"/>
        <v/>
      </c>
      <c r="L9" s="366"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188"/>
      <c r="N9" s="189"/>
      <c r="O9" s="379" t="s">
        <v>58</v>
      </c>
      <c r="P9" s="380"/>
      <c r="Q9" s="381">
        <f>EINSTELLUNG!L23</f>
        <v>0</v>
      </c>
      <c r="R9" s="382"/>
      <c r="S9" s="454">
        <f>IFERROR(Q9/Q8, 0)</f>
        <v>0</v>
      </c>
      <c r="T9" s="361"/>
      <c r="U9" s="361"/>
      <c r="V9" s="361"/>
    </row>
    <row r="10" spans="1:28" ht="21.95" customHeight="1" x14ac:dyDescent="0.35">
      <c r="A10" s="363" t="s">
        <v>59</v>
      </c>
      <c r="B10" s="152"/>
      <c r="C10" s="153"/>
      <c r="D10" s="154"/>
      <c r="E10" s="155"/>
      <c r="F10" s="156"/>
      <c r="G10" s="364" t="str">
        <f>IF(OR(E10="",F10=""),"",PID_KVLohnLookup($A$1,E10,F10,LOHNTABELLE!$H$4))</f>
        <v/>
      </c>
      <c r="H10" s="365" t="str">
        <f>IF(AND(ISNUMBER(D10),ISNUMBER(F10)),ROUNDDOWN(MIN(IF(OR(ISBLANK(I10),I10=""),EOMONTH(DATE(EINSTELLUNG!$C$35,$A$1,1),0),I10)-MAX(D10,DATE(EINSTELLUNG!$C$35,$A$1,1))+1)/DAY(EOMONTH(DATE(EINSTELLUNG!$C$35,$A$1,1),0))*F10,2),"")</f>
        <v/>
      </c>
      <c r="I10" s="158"/>
      <c r="J10" s="165"/>
      <c r="K10" s="364" t="str">
        <f t="shared" si="0"/>
        <v/>
      </c>
      <c r="L10" s="366"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167"/>
      <c r="N10" s="168"/>
      <c r="O10" s="379" t="s">
        <v>60</v>
      </c>
      <c r="P10" s="380"/>
      <c r="Q10" s="381">
        <f>EINSTELLUNG!I23</f>
        <v>0</v>
      </c>
      <c r="R10" s="382"/>
      <c r="S10" s="361"/>
      <c r="T10" s="361"/>
      <c r="U10" s="361"/>
      <c r="V10" s="361"/>
    </row>
    <row r="11" spans="1:28" ht="21.95" customHeight="1" x14ac:dyDescent="0.35">
      <c r="A11" s="363" t="s">
        <v>61</v>
      </c>
      <c r="B11" s="181"/>
      <c r="C11" s="182"/>
      <c r="D11" s="183"/>
      <c r="E11" s="184"/>
      <c r="F11" s="190"/>
      <c r="G11" s="364" t="str">
        <f>IF(OR(E11="",F11=""),"",PID_KVLohnLookup($A$1,E11,F11,LOHNTABELLE!$H$4))</f>
        <v/>
      </c>
      <c r="H11" s="365" t="str">
        <f>IF(AND(ISNUMBER(D11),ISNUMBER(F11)),ROUNDDOWN(MIN(IF(OR(ISBLANK(I11),I11=""),EOMONTH(DATE(EINSTELLUNG!$C$35,$A$1,1),0),I11)-MAX(D11,DATE(EINSTELLUNG!$C$35,$A$1,1))+1)/DAY(EOMONTH(DATE(EINSTELLUNG!$C$35,$A$1,1),0))*F11,2),"")</f>
        <v/>
      </c>
      <c r="I11" s="186"/>
      <c r="J11" s="187"/>
      <c r="K11" s="364" t="str">
        <f t="shared" si="0"/>
        <v/>
      </c>
      <c r="L11" s="366"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188"/>
      <c r="N11" s="189"/>
      <c r="O11" s="379" t="s">
        <v>62</v>
      </c>
      <c r="P11" s="380"/>
      <c r="Q11" s="381">
        <f>P5</f>
        <v>0</v>
      </c>
      <c r="R11" s="382"/>
      <c r="S11" s="361"/>
      <c r="T11" s="361"/>
      <c r="U11" s="361"/>
      <c r="V11" s="361"/>
    </row>
    <row r="12" spans="1:28" ht="21.95" customHeight="1" x14ac:dyDescent="0.35">
      <c r="A12" s="363" t="s">
        <v>63</v>
      </c>
      <c r="B12" s="152"/>
      <c r="C12" s="153"/>
      <c r="D12" s="154"/>
      <c r="E12" s="155"/>
      <c r="F12" s="156"/>
      <c r="G12" s="364" t="str">
        <f>IF(OR(E12="",F12=""),"",PID_KVLohnLookup($A$1,E12,F12,LOHNTABELLE!$H$4))</f>
        <v/>
      </c>
      <c r="H12" s="365" t="str">
        <f>IF(AND(ISNUMBER(D12),ISNUMBER(F12)),ROUNDDOWN(MIN(IF(OR(ISBLANK(I12),I12=""),EOMONTH(DATE(EINSTELLUNG!$C$35,$A$1,1),0),I12)-MAX(D12,DATE(EINSTELLUNG!$C$35,$A$1,1))+1)/DAY(EOMONTH(DATE(EINSTELLUNG!$C$35,$A$1,1),0))*F12,2),"")</f>
        <v/>
      </c>
      <c r="I12" s="158"/>
      <c r="J12" s="165"/>
      <c r="K12" s="364" t="str">
        <f t="shared" si="0"/>
        <v/>
      </c>
      <c r="L12" s="366"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167"/>
      <c r="N12" s="168"/>
      <c r="O12" s="379" t="s">
        <v>66</v>
      </c>
      <c r="P12" s="380"/>
      <c r="Q12" s="381">
        <f>Q8-Q9-Q10-Q11</f>
        <v>324.38</v>
      </c>
      <c r="R12" s="382"/>
      <c r="S12" s="361"/>
      <c r="T12" s="361"/>
      <c r="U12" s="361"/>
      <c r="V12" s="361"/>
    </row>
    <row r="13" spans="1:28" ht="21.95" customHeight="1" x14ac:dyDescent="0.35">
      <c r="A13" s="363" t="s">
        <v>65</v>
      </c>
      <c r="B13" s="181"/>
      <c r="C13" s="182"/>
      <c r="D13" s="183"/>
      <c r="E13" s="184"/>
      <c r="F13" s="190"/>
      <c r="G13" s="364" t="str">
        <f>IF(OR(E13="",F13=""),"",PID_KVLohnLookup($A$1,E13,F13,LOHNTABELLE!$H$4))</f>
        <v/>
      </c>
      <c r="H13" s="365" t="str">
        <f>IF(AND(ISNUMBER(D13),ISNUMBER(F13)),ROUNDDOWN(MIN(IF(OR(ISBLANK(I13),I13=""),EOMONTH(DATE(EINSTELLUNG!$C$35,$A$1,1),0),I13)-MAX(D13,DATE(EINSTELLUNG!$C$35,$A$1,1))+1)/DAY(EOMONTH(DATE(EINSTELLUNG!$C$35,$A$1,1),0))*F13,2),"")</f>
        <v/>
      </c>
      <c r="I13" s="186"/>
      <c r="J13" s="187"/>
      <c r="K13" s="364" t="str">
        <f t="shared" si="0"/>
        <v/>
      </c>
      <c r="L13" s="366"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188"/>
      <c r="N13" s="189"/>
      <c r="O13" s="379" t="s">
        <v>68</v>
      </c>
      <c r="P13" s="380"/>
      <c r="Q13" s="381">
        <f>EINSTELLUNG!L7</f>
        <v>0</v>
      </c>
      <c r="R13" s="382"/>
      <c r="S13" s="361"/>
      <c r="T13" s="361"/>
      <c r="U13" s="361"/>
      <c r="V13" s="361"/>
    </row>
    <row r="14" spans="1:28" ht="21.95" customHeight="1" x14ac:dyDescent="0.35">
      <c r="A14" s="363" t="s">
        <v>67</v>
      </c>
      <c r="B14" s="152"/>
      <c r="C14" s="153"/>
      <c r="D14" s="154"/>
      <c r="E14" s="155"/>
      <c r="F14" s="156"/>
      <c r="G14" s="364" t="str">
        <f>IF(OR(E14="",F14=""),"",PID_KVLohnLookup($A$1,E14,F14,LOHNTABELLE!$H$4))</f>
        <v/>
      </c>
      <c r="H14" s="365" t="str">
        <f>IF(AND(ISNUMBER(D14),ISNUMBER(F14)),ROUNDDOWN(MIN(IF(OR(ISBLANK(I14),I14=""),EOMONTH(DATE(EINSTELLUNG!$C$35,$A$1,1),0),I14)-MAX(D14,DATE(EINSTELLUNG!$C$35,$A$1,1))+1)/DAY(EOMONTH(DATE(EINSTELLUNG!$C$35,$A$1,1),0))*F14,2),"")</f>
        <v/>
      </c>
      <c r="I14" s="158"/>
      <c r="J14" s="165"/>
      <c r="K14" s="364" t="str">
        <f t="shared" si="0"/>
        <v/>
      </c>
      <c r="L14" s="366"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167"/>
      <c r="N14" s="168"/>
      <c r="O14" s="379" t="s">
        <v>70</v>
      </c>
      <c r="P14" s="380"/>
      <c r="Q14" s="381">
        <f>Q12-Q13</f>
        <v>324.38</v>
      </c>
      <c r="R14" s="382"/>
      <c r="S14" s="361"/>
      <c r="T14" s="361"/>
      <c r="U14" s="361"/>
      <c r="V14" s="361"/>
    </row>
    <row r="15" spans="1:28" ht="21.95" customHeight="1" x14ac:dyDescent="0.35">
      <c r="A15" s="363" t="s">
        <v>69</v>
      </c>
      <c r="B15" s="181"/>
      <c r="C15" s="182"/>
      <c r="D15" s="183"/>
      <c r="E15" s="184"/>
      <c r="F15" s="190"/>
      <c r="G15" s="364" t="str">
        <f>IF(OR(E15="",F15=""),"",PID_KVLohnLookup($A$1,E15,F15,LOHNTABELLE!$H$4))</f>
        <v/>
      </c>
      <c r="H15" s="365" t="str">
        <f>IF(AND(ISNUMBER(D15),ISNUMBER(F15)),ROUNDDOWN(MIN(IF(OR(ISBLANK(I15),I15=""),EOMONTH(DATE(EINSTELLUNG!$C$35,$A$1,1),0),I15)-MAX(D15,DATE(EINSTELLUNG!$C$35,$A$1,1))+1)/DAY(EOMONTH(DATE(EINSTELLUNG!$C$35,$A$1,1),0))*F15,2),"")</f>
        <v/>
      </c>
      <c r="I15" s="186"/>
      <c r="J15" s="187"/>
      <c r="K15" s="364" t="str">
        <f t="shared" si="0"/>
        <v/>
      </c>
      <c r="L15" s="366"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188"/>
      <c r="N15" s="189"/>
      <c r="O15" s="455" t="str">
        <f>IF(Q14&lt;0, "Schlecht! Zu wenig Stunden für Dienstplan.", IF(Q14&gt;0, "Du hast mehr als genug Stunden für Dienstplan.", ""))</f>
        <v>Du hast mehr als genug Stunden für Dienstplan.</v>
      </c>
      <c r="P15" s="456"/>
      <c r="Q15" s="456"/>
      <c r="R15" s="457"/>
      <c r="S15" s="384"/>
      <c r="T15" s="384"/>
      <c r="U15" s="384"/>
      <c r="V15" s="361"/>
    </row>
    <row r="16" spans="1:28" ht="21.95" customHeight="1" thickBot="1" x14ac:dyDescent="0.4">
      <c r="A16" s="363" t="s">
        <v>71</v>
      </c>
      <c r="B16" s="152"/>
      <c r="C16" s="153"/>
      <c r="D16" s="154"/>
      <c r="E16" s="155"/>
      <c r="F16" s="156"/>
      <c r="G16" s="364" t="str">
        <f>IF(OR(E16="",F16=""),"",PID_KVLohnLookup($A$1,E16,F16,LOHNTABELLE!$H$4))</f>
        <v/>
      </c>
      <c r="H16" s="365" t="str">
        <f>IF(AND(ISNUMBER(D16),ISNUMBER(F16)),ROUNDDOWN(MIN(IF(OR(ISBLANK(I16),I16=""),EOMONTH(DATE(EINSTELLUNG!$C$35,$A$1,1),0),I16)-MAX(D16,DATE(EINSTELLUNG!$C$35,$A$1,1))+1)/DAY(EOMONTH(DATE(EINSTELLUNG!$C$35,$A$1,1),0))*F16,2),"")</f>
        <v/>
      </c>
      <c r="I16" s="158"/>
      <c r="J16" s="165"/>
      <c r="K16" s="364" t="str">
        <f t="shared" si="0"/>
        <v/>
      </c>
      <c r="L16" s="366"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167"/>
      <c r="N16" s="168"/>
      <c r="O16" s="458"/>
      <c r="P16" s="459"/>
      <c r="Q16" s="459"/>
      <c r="R16" s="460"/>
      <c r="S16" s="388"/>
      <c r="T16" s="388"/>
      <c r="U16" s="388"/>
      <c r="V16" s="388"/>
      <c r="W16" s="389"/>
    </row>
    <row r="17" spans="1:29" ht="21.95" customHeight="1" x14ac:dyDescent="0.35">
      <c r="A17" s="363" t="s">
        <v>72</v>
      </c>
      <c r="B17" s="181"/>
      <c r="C17" s="182"/>
      <c r="D17" s="183"/>
      <c r="E17" s="184"/>
      <c r="F17" s="190"/>
      <c r="G17" s="364" t="str">
        <f>IF(OR(E17="",F17=""),"",PID_KVLohnLookup($A$1,E17,F17,LOHNTABELLE!$H$4))</f>
        <v/>
      </c>
      <c r="H17" s="365" t="str">
        <f>IF(AND(ISNUMBER(D17),ISNUMBER(F17)),ROUNDDOWN(MIN(IF(OR(ISBLANK(I17),I17=""),EOMONTH(DATE(EINSTELLUNG!$C$35,$A$1,1),0),I17)-MAX(D17,DATE(EINSTELLUNG!$C$35,$A$1,1))+1)/DAY(EOMONTH(DATE(EINSTELLUNG!$C$35,$A$1,1),0))*F17,2),"")</f>
        <v/>
      </c>
      <c r="I17" s="186"/>
      <c r="J17" s="187"/>
      <c r="K17" s="364" t="str">
        <f t="shared" si="0"/>
        <v/>
      </c>
      <c r="L17" s="366"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188"/>
      <c r="N17" s="189"/>
      <c r="O17" s="375" t="s">
        <v>73</v>
      </c>
      <c r="P17" s="376"/>
      <c r="Q17" s="390">
        <f>SUM(L3:L82)</f>
        <v>3868.38</v>
      </c>
      <c r="R17" s="391"/>
      <c r="S17" s="361"/>
      <c r="T17" s="361"/>
      <c r="U17" s="361"/>
      <c r="V17" s="361"/>
      <c r="W17" s="389"/>
    </row>
    <row r="18" spans="1:29" ht="21.95" customHeight="1" x14ac:dyDescent="0.35">
      <c r="A18" s="363" t="s">
        <v>74</v>
      </c>
      <c r="B18" s="152"/>
      <c r="C18" s="153"/>
      <c r="D18" s="154"/>
      <c r="E18" s="155"/>
      <c r="F18" s="156"/>
      <c r="G18" s="364" t="str">
        <f>IF(OR(E18="",F18=""),"",PID_KVLohnLookup($A$1,E18,F18,LOHNTABELLE!$H$4))</f>
        <v/>
      </c>
      <c r="H18" s="365" t="str">
        <f>IF(AND(ISNUMBER(D18),ISNUMBER(F18)),ROUNDDOWN(MIN(IF(OR(ISBLANK(I18),I18=""),EOMONTH(DATE(EINSTELLUNG!$C$35,$A$1,1),0),I18)-MAX(D18,DATE(EINSTELLUNG!$C$35,$A$1,1))+1)/DAY(EOMONTH(DATE(EINSTELLUNG!$C$35,$A$1,1),0))*F18,2),"")</f>
        <v/>
      </c>
      <c r="I18" s="158"/>
      <c r="J18" s="165"/>
      <c r="K18" s="364" t="str">
        <f t="shared" si="0"/>
        <v/>
      </c>
      <c r="L18" s="366"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167"/>
      <c r="N18" s="168"/>
      <c r="O18" s="472"/>
      <c r="P18" s="196"/>
      <c r="Q18" s="197"/>
      <c r="R18" s="198"/>
      <c r="S18" s="361"/>
      <c r="T18" s="361"/>
      <c r="U18" s="361"/>
      <c r="V18" s="361"/>
    </row>
    <row r="19" spans="1:29" ht="21.95" customHeight="1" x14ac:dyDescent="0.35">
      <c r="A19" s="363" t="s">
        <v>75</v>
      </c>
      <c r="B19" s="181"/>
      <c r="C19" s="182"/>
      <c r="D19" s="183"/>
      <c r="E19" s="184"/>
      <c r="F19" s="190"/>
      <c r="G19" s="364" t="str">
        <f>IF(OR(E19="",F19=""),"",PID_KVLohnLookup($A$1,E19,F19,LOHNTABELLE!$H$4))</f>
        <v/>
      </c>
      <c r="H19" s="365" t="str">
        <f>IF(AND(ISNUMBER(D19),ISNUMBER(F19)),ROUNDDOWN(MIN(IF(OR(ISBLANK(I19),I19=""),EOMONTH(DATE(EINSTELLUNG!$C$35,$A$1,1),0),I19)-MAX(D19,DATE(EINSTELLUNG!$C$35,$A$1,1))+1)/DAY(EOMONTH(DATE(EINSTELLUNG!$C$35,$A$1,1),0))*F19,2),"")</f>
        <v/>
      </c>
      <c r="I19" s="186"/>
      <c r="J19" s="187"/>
      <c r="K19" s="364" t="str">
        <f t="shared" si="0"/>
        <v/>
      </c>
      <c r="L19" s="366"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188"/>
      <c r="N19" s="189"/>
      <c r="O19" s="472"/>
      <c r="P19" s="196"/>
      <c r="Q19" s="197"/>
      <c r="R19" s="198"/>
      <c r="S19" s="361"/>
      <c r="T19" s="361"/>
      <c r="U19" s="361"/>
      <c r="V19" s="361"/>
    </row>
    <row r="20" spans="1:29" ht="21.95" customHeight="1" x14ac:dyDescent="0.35">
      <c r="A20" s="363" t="s">
        <v>76</v>
      </c>
      <c r="B20" s="152"/>
      <c r="C20" s="153"/>
      <c r="D20" s="154"/>
      <c r="E20" s="155"/>
      <c r="F20" s="156"/>
      <c r="G20" s="364" t="str">
        <f>IF(OR(E20="",F20=""),"",PID_KVLohnLookup($A$1,E20,F20,LOHNTABELLE!$H$4))</f>
        <v/>
      </c>
      <c r="H20" s="365" t="str">
        <f>IF(AND(ISNUMBER(D20),ISNUMBER(F20)),ROUNDDOWN(MIN(IF(OR(ISBLANK(I20),I20=""),EOMONTH(DATE(EINSTELLUNG!$C$35,$A$1,1),0),I20)-MAX(D20,DATE(EINSTELLUNG!$C$35,$A$1,1))+1)/DAY(EOMONTH(DATE(EINSTELLUNG!$C$35,$A$1,1),0))*F20,2),"")</f>
        <v/>
      </c>
      <c r="I20" s="158"/>
      <c r="J20" s="165"/>
      <c r="K20" s="364" t="str">
        <f t="shared" si="0"/>
        <v/>
      </c>
      <c r="L20" s="366"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167"/>
      <c r="N20" s="168"/>
      <c r="O20" s="472"/>
      <c r="P20" s="196"/>
      <c r="Q20" s="197"/>
      <c r="R20" s="198"/>
      <c r="S20" s="361"/>
      <c r="T20" s="361"/>
      <c r="U20" s="361"/>
      <c r="V20" s="361"/>
    </row>
    <row r="21" spans="1:29" ht="21.95" customHeight="1" x14ac:dyDescent="0.35">
      <c r="A21" s="363" t="s">
        <v>77</v>
      </c>
      <c r="B21" s="181"/>
      <c r="C21" s="182"/>
      <c r="D21" s="183"/>
      <c r="E21" s="184"/>
      <c r="F21" s="190"/>
      <c r="G21" s="364" t="str">
        <f>IF(OR(E21="",F21=""),"",PID_KVLohnLookup($A$1,E21,F21,LOHNTABELLE!$H$4))</f>
        <v/>
      </c>
      <c r="H21" s="365" t="str">
        <f>IF(AND(ISNUMBER(D21),ISNUMBER(F21)),ROUNDDOWN(MIN(IF(OR(ISBLANK(I21),I21=""),EOMONTH(DATE(EINSTELLUNG!$C$35,$A$1,1),0),I21)-MAX(D21,DATE(EINSTELLUNG!$C$35,$A$1,1))+1)/DAY(EOMONTH(DATE(EINSTELLUNG!$C$35,$A$1,1),0))*F21,2),"")</f>
        <v/>
      </c>
      <c r="I21" s="186"/>
      <c r="J21" s="187"/>
      <c r="K21" s="364" t="str">
        <f t="shared" si="0"/>
        <v/>
      </c>
      <c r="L21" s="366"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188"/>
      <c r="N21" s="189"/>
      <c r="O21" s="472"/>
      <c r="P21" s="196"/>
      <c r="Q21" s="197"/>
      <c r="R21" s="198"/>
      <c r="S21" s="361"/>
      <c r="T21" s="361"/>
      <c r="U21" s="361"/>
      <c r="V21" s="361"/>
    </row>
    <row r="22" spans="1:29" ht="21.95" customHeight="1" x14ac:dyDescent="0.35">
      <c r="A22" s="363" t="s">
        <v>78</v>
      </c>
      <c r="B22" s="152"/>
      <c r="C22" s="153"/>
      <c r="D22" s="154"/>
      <c r="E22" s="155"/>
      <c r="F22" s="156"/>
      <c r="G22" s="364" t="str">
        <f>IF(OR(E22="",F22=""),"",PID_KVLohnLookup($A$1,E22,F22,LOHNTABELLE!$H$4))</f>
        <v/>
      </c>
      <c r="H22" s="365" t="str">
        <f>IF(AND(ISNUMBER(D22),ISNUMBER(F22)),ROUNDDOWN(MIN(IF(OR(ISBLANK(I22),I22=""),EOMONTH(DATE(EINSTELLUNG!$C$35,$A$1,1),0),I22)-MAX(D22,DATE(EINSTELLUNG!$C$35,$A$1,1))+1)/DAY(EOMONTH(DATE(EINSTELLUNG!$C$35,$A$1,1),0))*F22,2),"")</f>
        <v/>
      </c>
      <c r="I22" s="158"/>
      <c r="J22" s="165"/>
      <c r="K22" s="364" t="str">
        <f t="shared" si="0"/>
        <v/>
      </c>
      <c r="L22" s="366"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167"/>
      <c r="N22" s="168"/>
      <c r="O22" s="472"/>
      <c r="P22" s="196"/>
      <c r="Q22" s="197"/>
      <c r="R22" s="198"/>
      <c r="S22" s="361"/>
      <c r="T22" s="361"/>
      <c r="U22" s="361"/>
      <c r="V22" s="361"/>
    </row>
    <row r="23" spans="1:29" ht="21.95" customHeight="1" x14ac:dyDescent="0.35">
      <c r="A23" s="363" t="s">
        <v>79</v>
      </c>
      <c r="B23" s="181"/>
      <c r="C23" s="182"/>
      <c r="D23" s="183"/>
      <c r="E23" s="184"/>
      <c r="F23" s="190"/>
      <c r="G23" s="364" t="str">
        <f>IF(OR(E23="",F23=""),"",PID_KVLohnLookup($A$1,E23,F23,LOHNTABELLE!$H$4))</f>
        <v/>
      </c>
      <c r="H23" s="365" t="str">
        <f>IF(AND(ISNUMBER(D23),ISNUMBER(F23)),ROUNDDOWN(MIN(IF(OR(ISBLANK(I23),I23=""),EOMONTH(DATE(EINSTELLUNG!$C$35,$A$1,1),0),I23)-MAX(D23,DATE(EINSTELLUNG!$C$35,$A$1,1))+1)/DAY(EOMONTH(DATE(EINSTELLUNG!$C$35,$A$1,1),0))*F23,2),"")</f>
        <v/>
      </c>
      <c r="I23" s="186"/>
      <c r="J23" s="187"/>
      <c r="K23" s="364" t="str">
        <f t="shared" si="0"/>
        <v/>
      </c>
      <c r="L23" s="366"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188"/>
      <c r="N23" s="189"/>
      <c r="O23" s="472"/>
      <c r="P23" s="196"/>
      <c r="Q23" s="197"/>
      <c r="R23" s="198"/>
      <c r="S23" s="361"/>
      <c r="T23" s="361"/>
      <c r="U23" s="361"/>
      <c r="V23" s="361"/>
      <c r="W23" s="389"/>
    </row>
    <row r="24" spans="1:29" ht="21.95" customHeight="1" x14ac:dyDescent="0.35">
      <c r="A24" s="363" t="s">
        <v>80</v>
      </c>
      <c r="B24" s="152"/>
      <c r="C24" s="153"/>
      <c r="D24" s="154"/>
      <c r="E24" s="155"/>
      <c r="F24" s="156"/>
      <c r="G24" s="364" t="str">
        <f>IF(OR(E24="",F24=""),"",PID_KVLohnLookup($A$1,E24,F24,LOHNTABELLE!$H$4))</f>
        <v/>
      </c>
      <c r="H24" s="365" t="str">
        <f>IF(AND(ISNUMBER(D24),ISNUMBER(F24)),ROUNDDOWN(MIN(IF(OR(ISBLANK(I24),I24=""),EOMONTH(DATE(EINSTELLUNG!$C$35,$A$1,1),0),I24)-MAX(D24,DATE(EINSTELLUNG!$C$35,$A$1,1))+1)/DAY(EOMONTH(DATE(EINSTELLUNG!$C$35,$A$1,1),0))*F24,2),"")</f>
        <v/>
      </c>
      <c r="I24" s="158"/>
      <c r="J24" s="165"/>
      <c r="K24" s="364" t="str">
        <f t="shared" si="0"/>
        <v/>
      </c>
      <c r="L24" s="366"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167"/>
      <c r="N24" s="168"/>
      <c r="O24" s="472"/>
      <c r="P24" s="196"/>
      <c r="Q24" s="197"/>
      <c r="R24" s="198"/>
      <c r="S24" s="361"/>
      <c r="T24" s="361"/>
      <c r="U24" s="361"/>
      <c r="V24" s="361"/>
      <c r="W24" s="389"/>
    </row>
    <row r="25" spans="1:29" ht="21.95" customHeight="1" x14ac:dyDescent="0.35">
      <c r="A25" s="363" t="s">
        <v>81</v>
      </c>
      <c r="B25" s="181"/>
      <c r="C25" s="182"/>
      <c r="D25" s="183"/>
      <c r="E25" s="184"/>
      <c r="F25" s="190"/>
      <c r="G25" s="364" t="str">
        <f>IF(OR(E25="",F25=""),"",PID_KVLohnLookup($A$1,E25,F25,LOHNTABELLE!$H$4))</f>
        <v/>
      </c>
      <c r="H25" s="365" t="str">
        <f>IF(AND(ISNUMBER(D25),ISNUMBER(F25)),ROUNDDOWN(MIN(IF(OR(ISBLANK(I25),I25=""),EOMONTH(DATE(EINSTELLUNG!$C$35,$A$1,1),0),I25)-MAX(D25,DATE(EINSTELLUNG!$C$35,$A$1,1))+1)/DAY(EOMONTH(DATE(EINSTELLUNG!$C$35,$A$1,1),0))*F25,2),"")</f>
        <v/>
      </c>
      <c r="I25" s="186"/>
      <c r="J25" s="187"/>
      <c r="K25" s="364" t="str">
        <f t="shared" si="0"/>
        <v/>
      </c>
      <c r="L25" s="366"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188"/>
      <c r="N25" s="189"/>
      <c r="O25" s="472"/>
      <c r="P25" s="196"/>
      <c r="Q25" s="197"/>
      <c r="R25" s="198"/>
      <c r="S25" s="361"/>
      <c r="T25" s="361"/>
      <c r="U25" s="361"/>
      <c r="V25" s="361"/>
    </row>
    <row r="26" spans="1:29" ht="21.95" customHeight="1" x14ac:dyDescent="0.35">
      <c r="A26" s="363" t="s">
        <v>82</v>
      </c>
      <c r="B26" s="152"/>
      <c r="C26" s="153"/>
      <c r="D26" s="154"/>
      <c r="E26" s="155"/>
      <c r="F26" s="156"/>
      <c r="G26" s="364" t="str">
        <f>IF(OR(E26="",F26=""),"",PID_KVLohnLookup($A$1,E26,F26,LOHNTABELLE!$H$4))</f>
        <v/>
      </c>
      <c r="H26" s="365" t="str">
        <f>IF(AND(ISNUMBER(D26),ISNUMBER(F26)),ROUNDDOWN(MIN(IF(OR(ISBLANK(I26),I26=""),EOMONTH(DATE(EINSTELLUNG!$C$35,$A$1,1),0),I26)-MAX(D26,DATE(EINSTELLUNG!$C$35,$A$1,1))+1)/DAY(EOMONTH(DATE(EINSTELLUNG!$C$35,$A$1,1),0))*F26,2),"")</f>
        <v/>
      </c>
      <c r="I26" s="158"/>
      <c r="J26" s="165"/>
      <c r="K26" s="364" t="str">
        <f t="shared" si="0"/>
        <v/>
      </c>
      <c r="L26" s="366"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167"/>
      <c r="N26" s="168"/>
      <c r="O26" s="195"/>
      <c r="P26" s="196"/>
      <c r="Q26" s="197"/>
      <c r="R26" s="198"/>
      <c r="S26" s="361"/>
      <c r="T26" s="361"/>
      <c r="U26" s="361"/>
      <c r="V26" s="361"/>
    </row>
    <row r="27" spans="1:29" ht="21.95" customHeight="1" x14ac:dyDescent="0.35">
      <c r="A27" s="363" t="s">
        <v>83</v>
      </c>
      <c r="B27" s="181"/>
      <c r="C27" s="182"/>
      <c r="D27" s="183"/>
      <c r="E27" s="184"/>
      <c r="F27" s="190"/>
      <c r="G27" s="364" t="str">
        <f>IF(OR(E27="",F27=""),"",PID_KVLohnLookup($A$1,E27,F27,LOHNTABELLE!$H$4))</f>
        <v/>
      </c>
      <c r="H27" s="365" t="str">
        <f>IF(AND(ISNUMBER(D27),ISNUMBER(F27)),ROUNDDOWN(MIN(IF(OR(ISBLANK(I27),I27=""),EOMONTH(DATE(EINSTELLUNG!$C$35,$A$1,1),0),I27)-MAX(D27,DATE(EINSTELLUNG!$C$35,$A$1,1))+1)/DAY(EOMONTH(DATE(EINSTELLUNG!$C$35,$A$1,1),0))*F27,2),"")</f>
        <v/>
      </c>
      <c r="I27" s="186"/>
      <c r="J27" s="187"/>
      <c r="K27" s="364" t="str">
        <f t="shared" si="0"/>
        <v/>
      </c>
      <c r="L27" s="366"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188"/>
      <c r="N27" s="189"/>
      <c r="O27" s="195"/>
      <c r="P27" s="196"/>
      <c r="Q27" s="197"/>
      <c r="R27" s="198"/>
      <c r="S27" s="392" t="s">
        <v>84</v>
      </c>
      <c r="T27" s="392"/>
      <c r="U27" s="392"/>
      <c r="V27" s="392"/>
    </row>
    <row r="28" spans="1:29" ht="21.95" customHeight="1" x14ac:dyDescent="0.35">
      <c r="A28" s="363" t="s">
        <v>85</v>
      </c>
      <c r="B28" s="152"/>
      <c r="C28" s="153"/>
      <c r="D28" s="154"/>
      <c r="E28" s="155"/>
      <c r="F28" s="156"/>
      <c r="G28" s="364" t="str">
        <f>IF(OR(E28="",F28=""),"",PID_KVLohnLookup($A$1,E28,F28,LOHNTABELLE!$H$4))</f>
        <v/>
      </c>
      <c r="H28" s="365" t="str">
        <f>IF(AND(ISNUMBER(D28),ISNUMBER(F28)),ROUNDDOWN(MIN(IF(OR(ISBLANK(I28),I28=""),EOMONTH(DATE(EINSTELLUNG!$C$35,$A$1,1),0),I28)-MAX(D28,DATE(EINSTELLUNG!$C$35,$A$1,1))+1)/DAY(EOMONTH(DATE(EINSTELLUNG!$C$35,$A$1,1),0))*F28,2),"")</f>
        <v/>
      </c>
      <c r="I28" s="158"/>
      <c r="J28" s="165"/>
      <c r="K28" s="364" t="str">
        <f t="shared" si="0"/>
        <v/>
      </c>
      <c r="L28" s="366"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167"/>
      <c r="N28" s="168"/>
      <c r="O28" s="195"/>
      <c r="P28" s="196"/>
      <c r="Q28" s="197"/>
      <c r="R28" s="198"/>
      <c r="S28" s="361"/>
      <c r="T28" s="361"/>
      <c r="U28" s="361"/>
      <c r="V28" s="361"/>
    </row>
    <row r="29" spans="1:29" ht="21.95" customHeight="1" thickBot="1" x14ac:dyDescent="0.4">
      <c r="A29" s="363" t="s">
        <v>86</v>
      </c>
      <c r="B29" s="181"/>
      <c r="C29" s="182"/>
      <c r="D29" s="183"/>
      <c r="E29" s="184"/>
      <c r="F29" s="190"/>
      <c r="G29" s="364" t="str">
        <f>IF(OR(E29="",F29=""),"",PID_KVLohnLookup($A$1,E29,F29,LOHNTABELLE!$H$4))</f>
        <v/>
      </c>
      <c r="H29" s="365" t="str">
        <f>IF(AND(ISNUMBER(D29),ISNUMBER(F29)),ROUNDDOWN(MIN(IF(OR(ISBLANK(I29),I29=""),EOMONTH(DATE(EINSTELLUNG!$C$35,$A$1,1),0),I29)-MAX(D29,DATE(EINSTELLUNG!$C$35,$A$1,1))+1)/DAY(EOMONTH(DATE(EINSTELLUNG!$C$35,$A$1,1),0))*F29,2),"")</f>
        <v/>
      </c>
      <c r="I29" s="186"/>
      <c r="J29" s="187"/>
      <c r="K29" s="364" t="str">
        <f t="shared" si="0"/>
        <v/>
      </c>
      <c r="L29" s="366"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188"/>
      <c r="N29" s="189"/>
      <c r="O29" s="393" t="s">
        <v>87</v>
      </c>
      <c r="P29" s="394"/>
      <c r="Q29" s="395">
        <f>EINSTELLUNG!O7</f>
        <v>0</v>
      </c>
      <c r="R29" s="396"/>
      <c r="S29" s="361"/>
      <c r="T29" s="361"/>
      <c r="U29" s="361"/>
      <c r="V29" s="361"/>
    </row>
    <row r="30" spans="1:29" ht="21.95" customHeight="1" thickBot="1" x14ac:dyDescent="0.4">
      <c r="A30" s="363" t="s">
        <v>88</v>
      </c>
      <c r="B30" s="152"/>
      <c r="C30" s="153"/>
      <c r="D30" s="154"/>
      <c r="E30" s="155"/>
      <c r="F30" s="156"/>
      <c r="G30" s="364" t="str">
        <f>IF(OR(E30="",F30=""),"",PID_KVLohnLookup($A$1,E30,F30,LOHNTABELLE!$H$4))</f>
        <v/>
      </c>
      <c r="H30" s="365" t="str">
        <f>IF(AND(ISNUMBER(D30),ISNUMBER(F30)),ROUNDDOWN(MIN(IF(OR(ISBLANK(I30),I30=""),EOMONTH(DATE(EINSTELLUNG!$C$35,$A$1,1),0),I30)-MAX(D30,DATE(EINSTELLUNG!$C$35,$A$1,1))+1)/DAY(EOMONTH(DATE(EINSTELLUNG!$C$35,$A$1,1),0))*F30,2),"")</f>
        <v/>
      </c>
      <c r="I30" s="158"/>
      <c r="J30" s="165"/>
      <c r="K30" s="364" t="str">
        <f t="shared" si="0"/>
        <v/>
      </c>
      <c r="L30" s="366"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167"/>
      <c r="N30" s="168"/>
      <c r="O30" s="361"/>
      <c r="P30" s="361"/>
      <c r="Q30" s="361"/>
      <c r="R30" s="361"/>
      <c r="S30" s="361"/>
      <c r="T30" s="361"/>
      <c r="U30" s="361"/>
      <c r="V30" s="361"/>
      <c r="W30" s="397"/>
      <c r="X30" s="397"/>
      <c r="Y30" s="397"/>
      <c r="Z30" s="397"/>
      <c r="AA30" s="397"/>
      <c r="AB30" s="397"/>
      <c r="AC30" s="397"/>
    </row>
    <row r="31" spans="1:29" ht="21.95" customHeight="1" thickBot="1" x14ac:dyDescent="0.4">
      <c r="A31" s="363" t="s">
        <v>89</v>
      </c>
      <c r="B31" s="181"/>
      <c r="C31" s="182"/>
      <c r="D31" s="183"/>
      <c r="E31" s="184"/>
      <c r="F31" s="190"/>
      <c r="G31" s="364" t="str">
        <f>IF(OR(E31="",F31=""),"",PID_KVLohnLookup($A$1,E31,F31,LOHNTABELLE!$H$4))</f>
        <v/>
      </c>
      <c r="H31" s="365" t="str">
        <f>IF(AND(ISNUMBER(D31),ISNUMBER(F31)),ROUNDDOWN(MIN(IF(OR(ISBLANK(I31),I31=""),EOMONTH(DATE(EINSTELLUNG!$C$35,$A$1,1),0),I31)-MAX(D31,DATE(EINSTELLUNG!$C$35,$A$1,1))+1)/DAY(EOMONTH(DATE(EINSTELLUNG!$C$35,$A$1,1),0))*F31,2),"")</f>
        <v/>
      </c>
      <c r="I31" s="186"/>
      <c r="J31" s="187"/>
      <c r="K31" s="364" t="str">
        <f t="shared" si="0"/>
        <v/>
      </c>
      <c r="L31" s="366"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188"/>
      <c r="N31" s="189"/>
      <c r="O31" s="398" t="s">
        <v>321</v>
      </c>
      <c r="P31" s="399"/>
      <c r="Q31" s="400">
        <v>0</v>
      </c>
      <c r="R31" s="401"/>
      <c r="S31" s="361"/>
      <c r="T31" s="361"/>
      <c r="U31" s="361"/>
      <c r="V31" s="361"/>
    </row>
    <row r="32" spans="1:29" ht="21.95" customHeight="1" thickBot="1" x14ac:dyDescent="0.4">
      <c r="A32" s="363" t="s">
        <v>91</v>
      </c>
      <c r="B32" s="152"/>
      <c r="C32" s="153"/>
      <c r="D32" s="154"/>
      <c r="E32" s="155"/>
      <c r="F32" s="156"/>
      <c r="G32" s="364" t="str">
        <f>IF(OR(E32="",F32=""),"",PID_KVLohnLookup($A$1,E32,F32,LOHNTABELLE!$H$4))</f>
        <v/>
      </c>
      <c r="H32" s="365" t="str">
        <f>IF(AND(ISNUMBER(D32),ISNUMBER(F32)),ROUNDDOWN(MIN(IF(OR(ISBLANK(I32),I32=""),EOMONTH(DATE(EINSTELLUNG!$C$35,$A$1,1),0),I32)-MAX(D32,DATE(EINSTELLUNG!$C$35,$A$1,1))+1)/DAY(EOMONTH(DATE(EINSTELLUNG!$C$35,$A$1,1),0))*F32,2),"")</f>
        <v/>
      </c>
      <c r="I32" s="158"/>
      <c r="J32" s="165"/>
      <c r="K32" s="364" t="str">
        <f t="shared" si="0"/>
        <v/>
      </c>
      <c r="L32" s="366"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167"/>
      <c r="N32" s="168"/>
      <c r="O32" s="361"/>
      <c r="P32" s="361"/>
      <c r="Q32" s="361"/>
      <c r="R32" s="361"/>
      <c r="S32" s="361"/>
      <c r="T32" s="361"/>
      <c r="U32" s="361"/>
      <c r="V32" s="361"/>
    </row>
    <row r="33" spans="1:22" ht="21.95" customHeight="1" x14ac:dyDescent="0.35">
      <c r="A33" s="363" t="s">
        <v>92</v>
      </c>
      <c r="B33" s="181"/>
      <c r="C33" s="182"/>
      <c r="D33" s="183"/>
      <c r="E33" s="184"/>
      <c r="F33" s="190"/>
      <c r="G33" s="364" t="str">
        <f>IF(OR(E33="",F33=""),"",PID_KVLohnLookup($A$1,E33,F33,LOHNTABELLE!$H$4))</f>
        <v/>
      </c>
      <c r="H33" s="365" t="str">
        <f>IF(AND(ISNUMBER(D33),ISNUMBER(F33)),ROUNDDOWN(MIN(IF(OR(ISBLANK(I33),I33=""),EOMONTH(DATE(EINSTELLUNG!$C$35,$A$1,1),0),I33)-MAX(D33,DATE(EINSTELLUNG!$C$35,$A$1,1))+1)/DAY(EOMONTH(DATE(EINSTELLUNG!$C$35,$A$1,1),0))*F33,2),"")</f>
        <v/>
      </c>
      <c r="I33" s="186"/>
      <c r="J33" s="187"/>
      <c r="K33" s="364" t="str">
        <f t="shared" si="0"/>
        <v/>
      </c>
      <c r="L33" s="366"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188"/>
      <c r="N33" s="189"/>
      <c r="O33" s="402"/>
      <c r="P33" s="403"/>
      <c r="Q33" s="346" t="s">
        <v>93</v>
      </c>
      <c r="R33" s="346"/>
      <c r="S33" s="346" t="s">
        <v>94</v>
      </c>
      <c r="T33" s="346"/>
      <c r="U33" s="346" t="s">
        <v>95</v>
      </c>
      <c r="V33" s="347"/>
    </row>
    <row r="34" spans="1:22" ht="21.95" customHeight="1" x14ac:dyDescent="0.35">
      <c r="A34" s="363" t="s">
        <v>96</v>
      </c>
      <c r="B34" s="152"/>
      <c r="C34" s="153"/>
      <c r="D34" s="154"/>
      <c r="E34" s="155"/>
      <c r="F34" s="156"/>
      <c r="G34" s="364" t="str">
        <f>IF(OR(E34="",F34=""),"",PID_KVLohnLookup($A$1,E34,F34,LOHNTABELLE!$H$4))</f>
        <v/>
      </c>
      <c r="H34" s="365" t="str">
        <f>IF(AND(ISNUMBER(D34),ISNUMBER(F34)),ROUNDDOWN(MIN(IF(OR(ISBLANK(I34),I34=""),EOMONTH(DATE(EINSTELLUNG!$C$35,$A$1,1),0),I34)-MAX(D34,DATE(EINSTELLUNG!$C$35,$A$1,1))+1)/DAY(EOMONTH(DATE(EINSTELLUNG!$C$35,$A$1,1),0))*F34,2),"")</f>
        <v/>
      </c>
      <c r="I34" s="158"/>
      <c r="J34" s="165"/>
      <c r="K34" s="364" t="str">
        <f t="shared" si="0"/>
        <v/>
      </c>
      <c r="L34" s="366"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167"/>
      <c r="N34" s="168"/>
      <c r="O34" s="404"/>
      <c r="P34" s="405"/>
      <c r="Q34" s="406"/>
      <c r="R34" s="406"/>
      <c r="S34" s="406"/>
      <c r="T34" s="406"/>
      <c r="U34" s="406"/>
      <c r="V34" s="407"/>
    </row>
    <row r="35" spans="1:22" ht="21.95" customHeight="1" x14ac:dyDescent="0.35">
      <c r="A35" s="363" t="s">
        <v>97</v>
      </c>
      <c r="B35" s="181"/>
      <c r="C35" s="182"/>
      <c r="D35" s="183"/>
      <c r="E35" s="184"/>
      <c r="F35" s="190"/>
      <c r="G35" s="364" t="str">
        <f>IF(OR(E35="",F35=""),"",PID_KVLohnLookup($A$1,E35,F35,LOHNTABELLE!$H$4))</f>
        <v/>
      </c>
      <c r="H35" s="365" t="str">
        <f>IF(AND(ISNUMBER(D35),ISNUMBER(F35)),ROUNDDOWN(MIN(IF(OR(ISBLANK(I35),I35=""),EOMONTH(DATE(EINSTELLUNG!$C$35,$A$1,1),0),I35)-MAX(D35,DATE(EINSTELLUNG!$C$35,$A$1,1))+1)/DAY(EOMONTH(DATE(EINSTELLUNG!$C$35,$A$1,1),0))*F35,2),"")</f>
        <v/>
      </c>
      <c r="I35" s="186"/>
      <c r="J35" s="187"/>
      <c r="K35" s="364" t="str">
        <f t="shared" ref="K35:K66" si="1">IF(OR(B35="",C35=""),"",IFERROR(IF(OR(MONTH(D35)=1,MONTH(D35)=3,MONTH(D35)=5,MONTH(D35)=7,MONTH(D35)=8,MONTH(D35)=10,MONTH(D35)=12),(G35/31)*J35,IF(OR(MONTH(D35)=4,MONTH(D35)=6,MONTH(D35)=9,MONTH(D35)=11),(G35/30)*J35,(G35/DAY(EOMONTH(D35,0)))*J35)),0))</f>
        <v/>
      </c>
      <c r="L35" s="366"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188"/>
      <c r="N35" s="189"/>
      <c r="O35" s="379" t="s">
        <v>98</v>
      </c>
      <c r="P35" s="380"/>
      <c r="Q35" s="408">
        <f>EINSTELLUNG!C7</f>
        <v>0</v>
      </c>
      <c r="R35" s="408"/>
      <c r="S35" s="408">
        <f>EINSTELLUNG!C23</f>
        <v>0</v>
      </c>
      <c r="T35" s="408"/>
      <c r="U35" s="408">
        <f>S35-Q35</f>
        <v>0</v>
      </c>
      <c r="V35" s="409"/>
    </row>
    <row r="36" spans="1:22" ht="21.95" customHeight="1" x14ac:dyDescent="0.35">
      <c r="A36" s="363" t="s">
        <v>99</v>
      </c>
      <c r="B36" s="152"/>
      <c r="C36" s="153"/>
      <c r="D36" s="154"/>
      <c r="E36" s="155"/>
      <c r="F36" s="156"/>
      <c r="G36" s="364" t="str">
        <f>IF(OR(E36="",F36=""),"",PID_KVLohnLookup($A$1,E36,F36,LOHNTABELLE!$H$4))</f>
        <v/>
      </c>
      <c r="H36" s="365" t="str">
        <f>IF(AND(ISNUMBER(D36),ISNUMBER(F36)),ROUNDDOWN(MIN(IF(OR(ISBLANK(I36),I36=""),EOMONTH(DATE(EINSTELLUNG!$C$35,$A$1,1),0),I36)-MAX(D36,DATE(EINSTELLUNG!$C$35,$A$1,1))+1)/DAY(EOMONTH(DATE(EINSTELLUNG!$C$35,$A$1,1),0))*F36,2),"")</f>
        <v/>
      </c>
      <c r="I36" s="158"/>
      <c r="J36" s="165"/>
      <c r="K36" s="364" t="str">
        <f t="shared" si="1"/>
        <v/>
      </c>
      <c r="L36" s="366"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167"/>
      <c r="N36" s="168"/>
      <c r="O36" s="379" t="s">
        <v>100</v>
      </c>
      <c r="P36" s="380"/>
      <c r="Q36" s="408">
        <f>EINSTELLUNG!D7</f>
        <v>0</v>
      </c>
      <c r="R36" s="408"/>
      <c r="S36" s="408">
        <f ca="1">SumMergedCells(Q17:R29)</f>
        <v>3868.38</v>
      </c>
      <c r="T36" s="408"/>
      <c r="U36" s="408">
        <f t="shared" ref="U36:U41" ca="1" si="2">S36-Q36</f>
        <v>3868.38</v>
      </c>
      <c r="V36" s="409"/>
    </row>
    <row r="37" spans="1:22" ht="21.95" customHeight="1" x14ac:dyDescent="0.35">
      <c r="A37" s="363" t="s">
        <v>101</v>
      </c>
      <c r="B37" s="181"/>
      <c r="C37" s="182"/>
      <c r="D37" s="183"/>
      <c r="E37" s="184"/>
      <c r="F37" s="190"/>
      <c r="G37" s="364" t="str">
        <f>IF(OR(E37="",F37=""),"",PID_KVLohnLookup($A$1,E37,F37,LOHNTABELLE!$H$4))</f>
        <v/>
      </c>
      <c r="H37" s="365" t="str">
        <f>IF(AND(ISNUMBER(D37),ISNUMBER(F37)),ROUNDDOWN(MIN(IF(OR(ISBLANK(I37),I37=""),EOMONTH(DATE(EINSTELLUNG!$C$35,$A$1,1),0),I37)-MAX(D37,DATE(EINSTELLUNG!$C$35,$A$1,1))+1)/DAY(EOMONTH(DATE(EINSTELLUNG!$C$35,$A$1,1),0))*F37,2),"")</f>
        <v/>
      </c>
      <c r="I37" s="186"/>
      <c r="J37" s="187"/>
      <c r="K37" s="364" t="str">
        <f t="shared" si="1"/>
        <v/>
      </c>
      <c r="L37" s="366"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188"/>
      <c r="N37" s="189"/>
      <c r="O37" s="379" t="s">
        <v>102</v>
      </c>
      <c r="P37" s="380"/>
      <c r="Q37" s="410">
        <f>IF(ISERROR(Q36/Q35), 0, Q36/Q35)</f>
        <v>0</v>
      </c>
      <c r="R37" s="410"/>
      <c r="S37" s="410">
        <f ca="1">IF(ISERROR(S36/S35), 0, S36/S35)</f>
        <v>0</v>
      </c>
      <c r="T37" s="410"/>
      <c r="U37" s="410">
        <f t="shared" ca="1" si="2"/>
        <v>0</v>
      </c>
      <c r="V37" s="411"/>
    </row>
    <row r="38" spans="1:22" ht="21.95" customHeight="1" x14ac:dyDescent="0.35">
      <c r="A38" s="363" t="s">
        <v>103</v>
      </c>
      <c r="B38" s="152"/>
      <c r="C38" s="153"/>
      <c r="D38" s="154"/>
      <c r="E38" s="155"/>
      <c r="F38" s="156"/>
      <c r="G38" s="364" t="str">
        <f>IF(OR(E38="",F38=""),"",PID_KVLohnLookup($A$1,E38,F38,LOHNTABELLE!$H$4))</f>
        <v/>
      </c>
      <c r="H38" s="365" t="str">
        <f>IF(AND(ISNUMBER(D38),ISNUMBER(F38)),ROUNDDOWN(MIN(IF(OR(ISBLANK(I38),I38=""),EOMONTH(DATE(EINSTELLUNG!$C$35,$A$1,1),0),I38)-MAX(D38,DATE(EINSTELLUNG!$C$35,$A$1,1))+1)/DAY(EOMONTH(DATE(EINSTELLUNG!$C$35,$A$1,1),0))*F38,2),"")</f>
        <v/>
      </c>
      <c r="I38" s="158"/>
      <c r="J38" s="165"/>
      <c r="K38" s="364" t="str">
        <f t="shared" si="1"/>
        <v/>
      </c>
      <c r="L38" s="366"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167"/>
      <c r="N38" s="168"/>
      <c r="O38" s="379" t="s">
        <v>104</v>
      </c>
      <c r="P38" s="380"/>
      <c r="Q38" s="381">
        <f>EINSTELLUNG!F7</f>
        <v>0</v>
      </c>
      <c r="R38" s="381"/>
      <c r="S38" s="381">
        <f>EINSTELLUNG!F23</f>
        <v>0</v>
      </c>
      <c r="T38" s="381"/>
      <c r="U38" s="381">
        <f t="shared" si="2"/>
        <v>0</v>
      </c>
      <c r="V38" s="382"/>
    </row>
    <row r="39" spans="1:22" ht="21.95" customHeight="1" x14ac:dyDescent="0.35">
      <c r="A39" s="363" t="s">
        <v>105</v>
      </c>
      <c r="B39" s="181"/>
      <c r="C39" s="182"/>
      <c r="D39" s="183"/>
      <c r="E39" s="184"/>
      <c r="F39" s="190"/>
      <c r="G39" s="364" t="str">
        <f>IF(OR(E39="",F39=""),"",PID_KVLohnLookup($A$1,E39,F39,LOHNTABELLE!$H$4))</f>
        <v/>
      </c>
      <c r="H39" s="365" t="str">
        <f>IF(AND(ISNUMBER(D39),ISNUMBER(F39)),ROUNDDOWN(MIN(IF(OR(ISBLANK(I39),I39=""),EOMONTH(DATE(EINSTELLUNG!$C$35,$A$1,1),0),I39)-MAX(D39,DATE(EINSTELLUNG!$C$35,$A$1,1))+1)/DAY(EOMONTH(DATE(EINSTELLUNG!$C$35,$A$1,1),0))*F39,2),"")</f>
        <v/>
      </c>
      <c r="I39" s="186"/>
      <c r="J39" s="187"/>
      <c r="K39" s="364" t="str">
        <f t="shared" si="1"/>
        <v/>
      </c>
      <c r="L39" s="366"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188"/>
      <c r="N39" s="189"/>
      <c r="O39" s="379" t="s">
        <v>106</v>
      </c>
      <c r="P39" s="380"/>
      <c r="Q39" s="408">
        <f>IF(Q38=0, 0, Q35/Q38)</f>
        <v>0</v>
      </c>
      <c r="R39" s="408"/>
      <c r="S39" s="408">
        <f>IF(S38=0, 0, S35/S38)</f>
        <v>0</v>
      </c>
      <c r="T39" s="408"/>
      <c r="U39" s="408">
        <f t="shared" si="2"/>
        <v>0</v>
      </c>
      <c r="V39" s="409"/>
    </row>
    <row r="40" spans="1:22" ht="21.95" customHeight="1" x14ac:dyDescent="0.35">
      <c r="A40" s="363" t="s">
        <v>107</v>
      </c>
      <c r="B40" s="152"/>
      <c r="C40" s="153"/>
      <c r="D40" s="154"/>
      <c r="E40" s="155"/>
      <c r="F40" s="156"/>
      <c r="G40" s="364" t="str">
        <f>IF(OR(E40="",F40=""),"",PID_KVLohnLookup($A$1,E40,F40,LOHNTABELLE!$H$4))</f>
        <v/>
      </c>
      <c r="H40" s="365" t="str">
        <f>IF(AND(ISNUMBER(D40),ISNUMBER(F40)),ROUNDDOWN(MIN(IF(OR(ISBLANK(I40),I40=""),EOMONTH(DATE(EINSTELLUNG!$C$35,$A$1,1),0),I40)-MAX(D40,DATE(EINSTELLUNG!$C$35,$A$1,1))+1)/DAY(EOMONTH(DATE(EINSTELLUNG!$C$35,$A$1,1),0))*F40,2),"")</f>
        <v/>
      </c>
      <c r="I40" s="158"/>
      <c r="J40" s="165"/>
      <c r="K40" s="364" t="str">
        <f t="shared" si="1"/>
        <v/>
      </c>
      <c r="L40" s="366"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167"/>
      <c r="N40" s="168"/>
      <c r="O40" s="379" t="s">
        <v>108</v>
      </c>
      <c r="P40" s="380"/>
      <c r="Q40" s="408">
        <f>IF(Q12=0, 0, Q35/Q12)</f>
        <v>0</v>
      </c>
      <c r="R40" s="408"/>
      <c r="S40" s="408">
        <f>IF(Q12=0, 0, S35/Q12)</f>
        <v>0</v>
      </c>
      <c r="T40" s="408"/>
      <c r="U40" s="408">
        <f t="shared" si="2"/>
        <v>0</v>
      </c>
      <c r="V40" s="409"/>
    </row>
    <row r="41" spans="1:22" ht="21.95" customHeight="1" x14ac:dyDescent="0.35">
      <c r="A41" s="363" t="s">
        <v>109</v>
      </c>
      <c r="B41" s="181"/>
      <c r="C41" s="182"/>
      <c r="D41" s="183"/>
      <c r="E41" s="184"/>
      <c r="F41" s="190"/>
      <c r="G41" s="364" t="str">
        <f>IF(OR(E41="",F41=""),"",PID_KVLohnLookup($A$1,E41,F41,LOHNTABELLE!$H$4))</f>
        <v/>
      </c>
      <c r="H41" s="365" t="str">
        <f>IF(AND(ISNUMBER(D41),ISNUMBER(F41)),ROUNDDOWN(MIN(IF(OR(ISBLANK(I41),I41=""),EOMONTH(DATE(EINSTELLUNG!$C$35,$A$1,1),0),I41)-MAX(D41,DATE(EINSTELLUNG!$C$35,$A$1,1))+1)/DAY(EOMONTH(DATE(EINSTELLUNG!$C$35,$A$1,1),0))*F41,2),"")</f>
        <v/>
      </c>
      <c r="I41" s="186"/>
      <c r="J41" s="187"/>
      <c r="K41" s="364" t="str">
        <f t="shared" si="1"/>
        <v/>
      </c>
      <c r="L41" s="366"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188"/>
      <c r="N41" s="189"/>
      <c r="O41" s="412" t="s">
        <v>110</v>
      </c>
      <c r="P41" s="413"/>
      <c r="Q41" s="414">
        <f>IF(Q12=0, 0, Q38/Q12)</f>
        <v>0</v>
      </c>
      <c r="R41" s="414"/>
      <c r="S41" s="414">
        <f>IF(Q12=0, 0, S38/Q12)</f>
        <v>0</v>
      </c>
      <c r="T41" s="414"/>
      <c r="U41" s="414">
        <f t="shared" si="2"/>
        <v>0</v>
      </c>
      <c r="V41" s="415"/>
    </row>
    <row r="42" spans="1:22" ht="21.95" customHeight="1" thickBot="1" x14ac:dyDescent="0.4">
      <c r="A42" s="363" t="s">
        <v>111</v>
      </c>
      <c r="B42" s="152"/>
      <c r="C42" s="153"/>
      <c r="D42" s="154"/>
      <c r="E42" s="155"/>
      <c r="F42" s="156"/>
      <c r="G42" s="364" t="str">
        <f>IF(OR(E42="",F42=""),"",PID_KVLohnLookup($A$1,E42,F42,LOHNTABELLE!$H$4))</f>
        <v/>
      </c>
      <c r="H42" s="365" t="str">
        <f>IF(AND(ISNUMBER(D42),ISNUMBER(F42)),ROUNDDOWN(MIN(IF(OR(ISBLANK(I42),I42=""),EOMONTH(DATE(EINSTELLUNG!$C$35,$A$1,1),0),I42)-MAX(D42,DATE(EINSTELLUNG!$C$35,$A$1,1))+1)/DAY(EOMONTH(DATE(EINSTELLUNG!$C$35,$A$1,1),0))*F42,2),"")</f>
        <v/>
      </c>
      <c r="I42" s="158"/>
      <c r="J42" s="165"/>
      <c r="K42" s="364" t="str">
        <f t="shared" si="1"/>
        <v/>
      </c>
      <c r="L42" s="366"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167"/>
      <c r="N42" s="169"/>
      <c r="O42" s="416" t="s">
        <v>112</v>
      </c>
      <c r="P42" s="394"/>
      <c r="Q42" s="417">
        <f>IFERROR(Q17/Q8, 0)</f>
        <v>11.925457796411617</v>
      </c>
      <c r="R42" s="418"/>
      <c r="S42" s="417"/>
      <c r="T42" s="417"/>
      <c r="U42" s="417"/>
      <c r="V42" s="396"/>
    </row>
    <row r="43" spans="1:22" ht="21.95" customHeight="1" x14ac:dyDescent="0.35">
      <c r="A43" s="363" t="s">
        <v>113</v>
      </c>
      <c r="B43" s="181"/>
      <c r="C43" s="182"/>
      <c r="D43" s="183"/>
      <c r="E43" s="184"/>
      <c r="F43" s="190"/>
      <c r="G43" s="364" t="str">
        <f>IF(OR(E43="",F43=""),"",PID_KVLohnLookup($A$1,E43,F43,LOHNTABELLE!$H$4))</f>
        <v/>
      </c>
      <c r="H43" s="365" t="str">
        <f>IF(AND(ISNUMBER(D43),ISNUMBER(F43)),ROUNDDOWN(MIN(IF(OR(ISBLANK(I43),I43=""),EOMONTH(DATE(EINSTELLUNG!$C$35,$A$1,1),0),I43)-MAX(D43,DATE(EINSTELLUNG!$C$35,$A$1,1))+1)/DAY(EOMONTH(DATE(EINSTELLUNG!$C$35,$A$1,1),0))*F43,2),"")</f>
        <v/>
      </c>
      <c r="I43" s="186"/>
      <c r="J43" s="187"/>
      <c r="K43" s="364" t="str">
        <f t="shared" si="1"/>
        <v/>
      </c>
      <c r="L43" s="366"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91"/>
      <c r="N43" s="189"/>
      <c r="O43" s="419"/>
      <c r="P43" s="419"/>
      <c r="Q43" s="419"/>
      <c r="R43" s="361"/>
      <c r="S43" s="361"/>
      <c r="T43" s="361"/>
      <c r="U43" s="361"/>
      <c r="V43" s="361"/>
    </row>
    <row r="44" spans="1:22" ht="21.95" customHeight="1" x14ac:dyDescent="0.35">
      <c r="A44" s="363" t="s">
        <v>114</v>
      </c>
      <c r="B44" s="152"/>
      <c r="C44" s="153"/>
      <c r="D44" s="154"/>
      <c r="E44" s="155"/>
      <c r="F44" s="156"/>
      <c r="G44" s="364" t="str">
        <f>IF(OR(E44="",F44=""),"",PID_KVLohnLookup($A$1,E44,F44,LOHNTABELLE!$H$4))</f>
        <v/>
      </c>
      <c r="H44" s="365" t="str">
        <f>IF(AND(ISNUMBER(D44),ISNUMBER(F44)),ROUNDDOWN(MIN(IF(OR(ISBLANK(I44),I44=""),EOMONTH(DATE(EINSTELLUNG!$C$35,$A$1,1),0),I44)-MAX(D44,DATE(EINSTELLUNG!$C$35,$A$1,1))+1)/DAY(EOMONTH(DATE(EINSTELLUNG!$C$35,$A$1,1),0))*F44,2),"")</f>
        <v/>
      </c>
      <c r="I44" s="158"/>
      <c r="J44" s="165"/>
      <c r="K44" s="364" t="str">
        <f t="shared" si="1"/>
        <v/>
      </c>
      <c r="L44" s="366"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70"/>
      <c r="N44" s="168"/>
      <c r="O44" s="420" t="s">
        <v>115</v>
      </c>
      <c r="P44" s="420"/>
      <c r="Q44" s="420"/>
      <c r="R44" s="420"/>
      <c r="S44" s="420"/>
      <c r="T44" s="420"/>
      <c r="U44" s="420"/>
      <c r="V44" s="420"/>
    </row>
    <row r="45" spans="1:22" ht="21.95" customHeight="1" x14ac:dyDescent="0.35">
      <c r="A45" s="363" t="s">
        <v>116</v>
      </c>
      <c r="B45" s="181"/>
      <c r="C45" s="182"/>
      <c r="D45" s="183"/>
      <c r="E45" s="184"/>
      <c r="F45" s="190"/>
      <c r="G45" s="364" t="str">
        <f>IF(OR(E45="",F45=""),"",PID_KVLohnLookup($A$1,E45,F45,LOHNTABELLE!$H$4))</f>
        <v/>
      </c>
      <c r="H45" s="365" t="str">
        <f>IF(AND(ISNUMBER(D45),ISNUMBER(F45)),ROUNDDOWN(MIN(IF(OR(ISBLANK(I45),I45=""),EOMONTH(DATE(EINSTELLUNG!$C$35,$A$1,1),0),I45)-MAX(D45,DATE(EINSTELLUNG!$C$35,$A$1,1))+1)/DAY(EOMONTH(DATE(EINSTELLUNG!$C$35,$A$1,1),0))*F45,2),"")</f>
        <v/>
      </c>
      <c r="I45" s="186"/>
      <c r="J45" s="187"/>
      <c r="K45" s="364" t="str">
        <f t="shared" si="1"/>
        <v/>
      </c>
      <c r="L45" s="366"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91"/>
      <c r="N45" s="189"/>
      <c r="O45" s="421"/>
      <c r="P45" s="421"/>
      <c r="Q45" s="421"/>
      <c r="R45" s="422"/>
      <c r="S45" s="422"/>
      <c r="T45" s="422"/>
      <c r="U45" s="422"/>
      <c r="V45" s="361"/>
    </row>
    <row r="46" spans="1:22" ht="21.95" customHeight="1" x14ac:dyDescent="0.35">
      <c r="A46" s="363" t="s">
        <v>117</v>
      </c>
      <c r="B46" s="152"/>
      <c r="C46" s="153"/>
      <c r="D46" s="154"/>
      <c r="E46" s="155"/>
      <c r="F46" s="156"/>
      <c r="G46" s="364" t="str">
        <f>IF(OR(E46="",F46=""),"",PID_KVLohnLookup($A$1,E46,F46,LOHNTABELLE!$H$4))</f>
        <v/>
      </c>
      <c r="H46" s="365" t="str">
        <f>IF(AND(ISNUMBER(D46),ISNUMBER(F46)),ROUNDDOWN(MIN(IF(OR(ISBLANK(I46),I46=""),EOMONTH(DATE(EINSTELLUNG!$C$35,$A$1,1),0),I46)-MAX(D46,DATE(EINSTELLUNG!$C$35,$A$1,1))+1)/DAY(EOMONTH(DATE(EINSTELLUNG!$C$35,$A$1,1),0))*F46,2),"")</f>
        <v/>
      </c>
      <c r="I46" s="158"/>
      <c r="J46" s="165"/>
      <c r="K46" s="364" t="str">
        <f t="shared" si="1"/>
        <v/>
      </c>
      <c r="L46" s="366"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70"/>
      <c r="N46" s="168"/>
      <c r="O46" s="361"/>
      <c r="P46" s="361"/>
      <c r="Q46" s="361"/>
      <c r="R46" s="361"/>
      <c r="S46" s="361"/>
      <c r="T46" s="361"/>
      <c r="U46" s="361"/>
      <c r="V46" s="361"/>
    </row>
    <row r="47" spans="1:22" ht="21.95" customHeight="1" x14ac:dyDescent="0.35">
      <c r="A47" s="363" t="s">
        <v>118</v>
      </c>
      <c r="B47" s="181"/>
      <c r="C47" s="182"/>
      <c r="D47" s="183"/>
      <c r="E47" s="184"/>
      <c r="F47" s="190"/>
      <c r="G47" s="364" t="str">
        <f>IF(OR(E47="",F47=""),"",PID_KVLohnLookup($A$1,E47,F47,LOHNTABELLE!$H$4))</f>
        <v/>
      </c>
      <c r="H47" s="365" t="str">
        <f>IF(AND(ISNUMBER(D47),ISNUMBER(F47)),ROUNDDOWN(MIN(IF(OR(ISBLANK(I47),I47=""),EOMONTH(DATE(EINSTELLUNG!$C$35,$A$1,1),0),I47)-MAX(D47,DATE(EINSTELLUNG!$C$35,$A$1,1))+1)/DAY(EOMONTH(DATE(EINSTELLUNG!$C$35,$A$1,1),0))*F47,2),"")</f>
        <v/>
      </c>
      <c r="I47" s="186"/>
      <c r="J47" s="187"/>
      <c r="K47" s="364" t="str">
        <f t="shared" si="1"/>
        <v/>
      </c>
      <c r="L47" s="366"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91"/>
      <c r="N47" s="189"/>
      <c r="O47" s="361"/>
      <c r="P47" s="361"/>
      <c r="Q47" s="361"/>
      <c r="R47" s="361"/>
      <c r="S47" s="361"/>
      <c r="T47" s="361"/>
      <c r="U47" s="361"/>
      <c r="V47" s="361"/>
    </row>
    <row r="48" spans="1:22" ht="21.95" customHeight="1" x14ac:dyDescent="0.35">
      <c r="A48" s="363" t="s">
        <v>119</v>
      </c>
      <c r="B48" s="152"/>
      <c r="C48" s="153"/>
      <c r="D48" s="158"/>
      <c r="E48" s="155"/>
      <c r="F48" s="156"/>
      <c r="G48" s="364" t="str">
        <f>IF(OR(E48="",F48=""),"",PID_KVLohnLookup($A$1,E48,F48,LOHNTABELLE!$H$4))</f>
        <v/>
      </c>
      <c r="H48" s="365" t="str">
        <f>IF(AND(ISNUMBER(D48),ISNUMBER(F48)),ROUNDDOWN(MIN(IF(OR(ISBLANK(I48),I48=""),EOMONTH(DATE(EINSTELLUNG!$C$35,$A$1,1),0),I48)-MAX(D48,DATE(EINSTELLUNG!$C$35,$A$1,1))+1)/DAY(EOMONTH(DATE(EINSTELLUNG!$C$35,$A$1,1),0))*F48,2),"")</f>
        <v/>
      </c>
      <c r="I48" s="158"/>
      <c r="J48" s="165"/>
      <c r="K48" s="364" t="str">
        <f t="shared" si="1"/>
        <v/>
      </c>
      <c r="L48" s="366"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70"/>
      <c r="N48" s="168"/>
      <c r="O48" s="361"/>
      <c r="P48" s="361"/>
      <c r="Q48" s="361"/>
      <c r="R48" s="361"/>
      <c r="S48" s="361"/>
      <c r="T48" s="361"/>
      <c r="U48" s="361"/>
      <c r="V48" s="361"/>
    </row>
    <row r="49" spans="1:22" ht="21.95" customHeight="1" x14ac:dyDescent="0.35">
      <c r="A49" s="363" t="s">
        <v>120</v>
      </c>
      <c r="B49" s="181"/>
      <c r="C49" s="182"/>
      <c r="D49" s="186"/>
      <c r="E49" s="184"/>
      <c r="F49" s="190"/>
      <c r="G49" s="364" t="str">
        <f>IF(OR(E49="",F49=""),"",PID_KVLohnLookup($A$1,E49,F49,LOHNTABELLE!$H$4))</f>
        <v/>
      </c>
      <c r="H49" s="365" t="str">
        <f>IF(AND(ISNUMBER(D49),ISNUMBER(F49)),ROUNDDOWN(MIN(IF(OR(ISBLANK(I49),I49=""),EOMONTH(DATE(EINSTELLUNG!$C$35,$A$1,1),0),I49)-MAX(D49,DATE(EINSTELLUNG!$C$35,$A$1,1))+1)/DAY(EOMONTH(DATE(EINSTELLUNG!$C$35,$A$1,1),0))*F49,2),"")</f>
        <v/>
      </c>
      <c r="I49" s="186"/>
      <c r="J49" s="187"/>
      <c r="K49" s="364" t="str">
        <f t="shared" si="1"/>
        <v/>
      </c>
      <c r="L49" s="366"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91"/>
      <c r="N49" s="189"/>
      <c r="O49" s="361"/>
      <c r="P49" s="361"/>
      <c r="Q49" s="361"/>
      <c r="R49" s="361"/>
      <c r="S49" s="361"/>
      <c r="T49" s="361"/>
      <c r="U49" s="361"/>
      <c r="V49" s="361"/>
    </row>
    <row r="50" spans="1:22" ht="21.95" customHeight="1" x14ac:dyDescent="0.35">
      <c r="A50" s="363" t="s">
        <v>121</v>
      </c>
      <c r="B50" s="152"/>
      <c r="C50" s="159"/>
      <c r="D50" s="158"/>
      <c r="E50" s="155"/>
      <c r="F50" s="156"/>
      <c r="G50" s="364" t="str">
        <f>IF(OR(E50="",F50=""),"",PID_KVLohnLookup($A$1,E50,F50,LOHNTABELLE!$H$4))</f>
        <v/>
      </c>
      <c r="H50" s="365" t="str">
        <f>IF(AND(ISNUMBER(D50),ISNUMBER(F50)),ROUNDDOWN(MIN(IF(OR(ISBLANK(I50),I50=""),EOMONTH(DATE(EINSTELLUNG!$C$35,$A$1,1),0),I50)-MAX(D50,DATE(EINSTELLUNG!$C$35,$A$1,1))+1)/DAY(EOMONTH(DATE(EINSTELLUNG!$C$35,$A$1,1),0))*F50,2),"")</f>
        <v/>
      </c>
      <c r="I50" s="158"/>
      <c r="J50" s="165"/>
      <c r="K50" s="364" t="str">
        <f t="shared" si="1"/>
        <v/>
      </c>
      <c r="L50" s="366"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70"/>
      <c r="N50" s="168"/>
      <c r="O50" s="361"/>
      <c r="P50" s="361"/>
      <c r="Q50" s="361"/>
      <c r="R50" s="361"/>
      <c r="S50" s="361"/>
      <c r="T50" s="361"/>
      <c r="U50" s="361"/>
      <c r="V50" s="361"/>
    </row>
    <row r="51" spans="1:22" ht="21.95" customHeight="1" x14ac:dyDescent="0.35">
      <c r="A51" s="363" t="s">
        <v>122</v>
      </c>
      <c r="B51" s="181"/>
      <c r="C51" s="182"/>
      <c r="D51" s="186"/>
      <c r="E51" s="184"/>
      <c r="F51" s="190"/>
      <c r="G51" s="364" t="str">
        <f>IF(OR(E51="",F51=""),"",PID_KVLohnLookup($A$1,E51,F51,LOHNTABELLE!$H$4))</f>
        <v/>
      </c>
      <c r="H51" s="365" t="str">
        <f>IF(AND(ISNUMBER(D51),ISNUMBER(F51)),ROUNDDOWN(MIN(IF(OR(ISBLANK(I51),I51=""),EOMONTH(DATE(EINSTELLUNG!$C$35,$A$1,1),0),I51)-MAX(D51,DATE(EINSTELLUNG!$C$35,$A$1,1))+1)/DAY(EOMONTH(DATE(EINSTELLUNG!$C$35,$A$1,1),0))*F51,2),"")</f>
        <v/>
      </c>
      <c r="I51" s="186"/>
      <c r="J51" s="187"/>
      <c r="K51" s="364" t="str">
        <f t="shared" si="1"/>
        <v/>
      </c>
      <c r="L51" s="366"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188"/>
      <c r="N51" s="192"/>
    </row>
    <row r="52" spans="1:22" ht="21.95" customHeight="1" x14ac:dyDescent="0.35">
      <c r="A52" s="363" t="s">
        <v>123</v>
      </c>
      <c r="B52" s="152"/>
      <c r="C52" s="153"/>
      <c r="D52" s="158"/>
      <c r="E52" s="155"/>
      <c r="F52" s="156"/>
      <c r="G52" s="364" t="str">
        <f>IF(OR(E52="",F52=""),"",PID_KVLohnLookup($A$1,E52,F52,LOHNTABELLE!$H$4))</f>
        <v/>
      </c>
      <c r="H52" s="365" t="str">
        <f>IF(AND(ISNUMBER(D52),ISNUMBER(F52)),ROUNDDOWN(MIN(IF(OR(ISBLANK(I52),I52=""),EOMONTH(DATE(EINSTELLUNG!$C$35,$A$1,1),0),I52)-MAX(D52,DATE(EINSTELLUNG!$C$35,$A$1,1))+1)/DAY(EOMONTH(DATE(EINSTELLUNG!$C$35,$A$1,1),0))*F52,2),"")</f>
        <v/>
      </c>
      <c r="I52" s="158"/>
      <c r="J52" s="165"/>
      <c r="K52" s="364" t="str">
        <f t="shared" si="1"/>
        <v/>
      </c>
      <c r="L52" s="366"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167"/>
      <c r="N52" s="168"/>
    </row>
    <row r="53" spans="1:22" ht="21.95" customHeight="1" x14ac:dyDescent="0.35">
      <c r="A53" s="363" t="s">
        <v>124</v>
      </c>
      <c r="B53" s="181"/>
      <c r="C53" s="182"/>
      <c r="D53" s="186"/>
      <c r="E53" s="184"/>
      <c r="F53" s="190"/>
      <c r="G53" s="364" t="str">
        <f>IF(OR(E53="",F53=""),"",PID_KVLohnLookup($A$1,E53,F53,LOHNTABELLE!$H$4))</f>
        <v/>
      </c>
      <c r="H53" s="365" t="str">
        <f>IF(AND(ISNUMBER(D53),ISNUMBER(F53)),ROUNDDOWN(MIN(IF(OR(ISBLANK(I53),I53=""),EOMONTH(DATE(EINSTELLUNG!$C$35,$A$1,1),0),I53)-MAX(D53,DATE(EINSTELLUNG!$C$35,$A$1,1))+1)/DAY(EOMONTH(DATE(EINSTELLUNG!$C$35,$A$1,1),0))*F53,2),"")</f>
        <v/>
      </c>
      <c r="I53" s="186"/>
      <c r="J53" s="187"/>
      <c r="K53" s="364" t="str">
        <f t="shared" si="1"/>
        <v/>
      </c>
      <c r="L53" s="366"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188"/>
      <c r="N53" s="189"/>
    </row>
    <row r="54" spans="1:22" ht="21.95" customHeight="1" x14ac:dyDescent="0.35">
      <c r="A54" s="363" t="s">
        <v>125</v>
      </c>
      <c r="B54" s="152"/>
      <c r="C54" s="153"/>
      <c r="D54" s="158"/>
      <c r="E54" s="155"/>
      <c r="F54" s="156"/>
      <c r="G54" s="364" t="str">
        <f>IF(OR(E54="",F54=""),"",PID_KVLohnLookup($A$1,E54,F54,LOHNTABELLE!$H$4))</f>
        <v/>
      </c>
      <c r="H54" s="365" t="str">
        <f>IF(AND(ISNUMBER(D54),ISNUMBER(F54)),ROUNDDOWN(MIN(IF(OR(ISBLANK(I54),I54=""),EOMONTH(DATE(EINSTELLUNG!$C$35,$A$1,1),0),I54)-MAX(D54,DATE(EINSTELLUNG!$C$35,$A$1,1))+1)/DAY(EOMONTH(DATE(EINSTELLUNG!$C$35,$A$1,1),0))*F54,2),"")</f>
        <v/>
      </c>
      <c r="I54" s="158"/>
      <c r="J54" s="165"/>
      <c r="K54" s="364" t="str">
        <f t="shared" si="1"/>
        <v/>
      </c>
      <c r="L54" s="366"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167"/>
      <c r="N54" s="168"/>
    </row>
    <row r="55" spans="1:22" ht="21.95" customHeight="1" x14ac:dyDescent="0.35">
      <c r="A55" s="363" t="s">
        <v>126</v>
      </c>
      <c r="B55" s="181"/>
      <c r="C55" s="182"/>
      <c r="D55" s="186"/>
      <c r="E55" s="184"/>
      <c r="F55" s="190"/>
      <c r="G55" s="364" t="str">
        <f>IF(OR(E55="",F55=""),"",PID_KVLohnLookup($A$1,E55,F55,LOHNTABELLE!$H$4))</f>
        <v/>
      </c>
      <c r="H55" s="365" t="str">
        <f>IF(AND(ISNUMBER(D55),ISNUMBER(F55)),ROUNDDOWN(MIN(IF(OR(ISBLANK(I55),I55=""),EOMONTH(DATE(EINSTELLUNG!$C$35,$A$1,1),0),I55)-MAX(D55,DATE(EINSTELLUNG!$C$35,$A$1,1))+1)/DAY(EOMONTH(DATE(EINSTELLUNG!$C$35,$A$1,1),0))*F55,2),"")</f>
        <v/>
      </c>
      <c r="I55" s="186"/>
      <c r="J55" s="187"/>
      <c r="K55" s="364" t="str">
        <f t="shared" si="1"/>
        <v/>
      </c>
      <c r="L55" s="366"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188"/>
      <c r="N55" s="189"/>
    </row>
    <row r="56" spans="1:22" ht="21.95" customHeight="1" x14ac:dyDescent="0.35">
      <c r="A56" s="363" t="s">
        <v>127</v>
      </c>
      <c r="B56" s="152"/>
      <c r="C56" s="153"/>
      <c r="D56" s="158"/>
      <c r="E56" s="155"/>
      <c r="F56" s="156"/>
      <c r="G56" s="364" t="str">
        <f>IF(OR(E56="",F56=""),"",PID_KVLohnLookup($A$1,E56,F56,LOHNTABELLE!$H$4))</f>
        <v/>
      </c>
      <c r="H56" s="365" t="str">
        <f>IF(AND(ISNUMBER(D56),ISNUMBER(F56)),ROUNDDOWN(MIN(IF(OR(ISBLANK(I56),I56=""),EOMONTH(DATE(EINSTELLUNG!$C$35,$A$1,1),0),I56)-MAX(D56,DATE(EINSTELLUNG!$C$35,$A$1,1))+1)/DAY(EOMONTH(DATE(EINSTELLUNG!$C$35,$A$1,1),0))*F56,2),"")</f>
        <v/>
      </c>
      <c r="I56" s="158"/>
      <c r="J56" s="165"/>
      <c r="K56" s="364" t="str">
        <f t="shared" si="1"/>
        <v/>
      </c>
      <c r="L56" s="366"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167"/>
      <c r="N56" s="168"/>
    </row>
    <row r="57" spans="1:22" ht="21.95" customHeight="1" x14ac:dyDescent="0.35">
      <c r="A57" s="363" t="s">
        <v>128</v>
      </c>
      <c r="B57" s="181"/>
      <c r="C57" s="182"/>
      <c r="D57" s="186"/>
      <c r="E57" s="184"/>
      <c r="F57" s="190"/>
      <c r="G57" s="364" t="str">
        <f>IF(OR(E57="",F57=""),"",PID_KVLohnLookup($A$1,E57,F57,LOHNTABELLE!$H$4))</f>
        <v/>
      </c>
      <c r="H57" s="365" t="str">
        <f>IF(AND(ISNUMBER(D57),ISNUMBER(F57)),ROUNDDOWN(MIN(IF(OR(ISBLANK(I57),I57=""),EOMONTH(DATE(EINSTELLUNG!$C$35,$A$1,1),0),I57)-MAX(D57,DATE(EINSTELLUNG!$C$35,$A$1,1))+1)/DAY(EOMONTH(DATE(EINSTELLUNG!$C$35,$A$1,1),0))*F57,2),"")</f>
        <v/>
      </c>
      <c r="I57" s="186"/>
      <c r="J57" s="187"/>
      <c r="K57" s="364" t="str">
        <f t="shared" si="1"/>
        <v/>
      </c>
      <c r="L57" s="366"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188"/>
      <c r="N57" s="189"/>
    </row>
    <row r="58" spans="1:22" ht="21.95" customHeight="1" x14ac:dyDescent="0.35">
      <c r="A58" s="363" t="s">
        <v>129</v>
      </c>
      <c r="B58" s="152"/>
      <c r="C58" s="153"/>
      <c r="D58" s="158"/>
      <c r="E58" s="155"/>
      <c r="F58" s="156"/>
      <c r="G58" s="364" t="str">
        <f>IF(OR(E58="",F58=""),"",PID_KVLohnLookup($A$1,E58,F58,LOHNTABELLE!$H$4))</f>
        <v/>
      </c>
      <c r="H58" s="365" t="str">
        <f>IF(AND(ISNUMBER(D58),ISNUMBER(F58)),ROUNDDOWN(MIN(IF(OR(ISBLANK(I58),I58=""),EOMONTH(DATE(EINSTELLUNG!$C$35,$A$1,1),0),I58)-MAX(D58,DATE(EINSTELLUNG!$C$35,$A$1,1))+1)/DAY(EOMONTH(DATE(EINSTELLUNG!$C$35,$A$1,1),0))*F58,2),"")</f>
        <v/>
      </c>
      <c r="I58" s="158"/>
      <c r="J58" s="165"/>
      <c r="K58" s="364" t="str">
        <f t="shared" si="1"/>
        <v/>
      </c>
      <c r="L58" s="366"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167"/>
      <c r="N58" s="168"/>
    </row>
    <row r="59" spans="1:22" ht="21.95" customHeight="1" x14ac:dyDescent="0.35">
      <c r="A59" s="363" t="s">
        <v>130</v>
      </c>
      <c r="B59" s="181"/>
      <c r="C59" s="182"/>
      <c r="D59" s="186"/>
      <c r="E59" s="184"/>
      <c r="F59" s="190"/>
      <c r="G59" s="364" t="str">
        <f>IF(OR(E59="",F59=""),"",PID_KVLohnLookup($A$1,E59,F59,LOHNTABELLE!$H$4))</f>
        <v/>
      </c>
      <c r="H59" s="365" t="str">
        <f>IF(AND(ISNUMBER(D59),ISNUMBER(F59)),ROUNDDOWN(MIN(IF(OR(ISBLANK(I59),I59=""),EOMONTH(DATE(EINSTELLUNG!$C$35,$A$1,1),0),I59)-MAX(D59,DATE(EINSTELLUNG!$C$35,$A$1,1))+1)/DAY(EOMONTH(DATE(EINSTELLUNG!$C$35,$A$1,1),0))*F59,2),"")</f>
        <v/>
      </c>
      <c r="I59" s="186"/>
      <c r="J59" s="187"/>
      <c r="K59" s="364" t="str">
        <f t="shared" si="1"/>
        <v/>
      </c>
      <c r="L59" s="366"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188"/>
      <c r="N59" s="189"/>
    </row>
    <row r="60" spans="1:22" ht="21.95" customHeight="1" x14ac:dyDescent="0.35">
      <c r="A60" s="363" t="s">
        <v>131</v>
      </c>
      <c r="B60" s="152"/>
      <c r="C60" s="153"/>
      <c r="D60" s="158"/>
      <c r="E60" s="155"/>
      <c r="F60" s="156"/>
      <c r="G60" s="364" t="str">
        <f>IF(OR(E60="",F60=""),"",PID_KVLohnLookup($A$1,E60,F60,LOHNTABELLE!$H$4))</f>
        <v/>
      </c>
      <c r="H60" s="365" t="str">
        <f>IF(AND(ISNUMBER(D60),ISNUMBER(F60)),ROUNDDOWN(MIN(IF(OR(ISBLANK(I60),I60=""),EOMONTH(DATE(EINSTELLUNG!$C$35,$A$1,1),0),I60)-MAX(D60,DATE(EINSTELLUNG!$C$35,$A$1,1))+1)/DAY(EOMONTH(DATE(EINSTELLUNG!$C$35,$A$1,1),0))*F60,2),"")</f>
        <v/>
      </c>
      <c r="I60" s="158"/>
      <c r="J60" s="165"/>
      <c r="K60" s="364" t="str">
        <f t="shared" si="1"/>
        <v/>
      </c>
      <c r="L60" s="366"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167"/>
      <c r="N60" s="168"/>
    </row>
    <row r="61" spans="1:22" ht="21.95" customHeight="1" x14ac:dyDescent="0.35">
      <c r="A61" s="363" t="s">
        <v>132</v>
      </c>
      <c r="B61" s="181"/>
      <c r="C61" s="182"/>
      <c r="D61" s="186"/>
      <c r="E61" s="184"/>
      <c r="F61" s="190"/>
      <c r="G61" s="364" t="str">
        <f>IF(OR(E61="",F61=""),"",PID_KVLohnLookup($A$1,E61,F61,LOHNTABELLE!$H$4))</f>
        <v/>
      </c>
      <c r="H61" s="365" t="str">
        <f>IF(AND(ISNUMBER(D61),ISNUMBER(F61)),ROUNDDOWN(MIN(IF(OR(ISBLANK(I61),I61=""),EOMONTH(DATE(EINSTELLUNG!$C$35,$A$1,1),0),I61)-MAX(D61,DATE(EINSTELLUNG!$C$35,$A$1,1))+1)/DAY(EOMONTH(DATE(EINSTELLUNG!$C$35,$A$1,1),0))*F61,2),"")</f>
        <v/>
      </c>
      <c r="I61" s="186"/>
      <c r="J61" s="187"/>
      <c r="K61" s="364" t="str">
        <f t="shared" si="1"/>
        <v/>
      </c>
      <c r="L61" s="366"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88"/>
      <c r="N61" s="189"/>
    </row>
    <row r="62" spans="1:22" ht="21.95" customHeight="1" x14ac:dyDescent="0.35">
      <c r="A62" s="363" t="s">
        <v>133</v>
      </c>
      <c r="B62" s="152"/>
      <c r="C62" s="153"/>
      <c r="D62" s="158"/>
      <c r="E62" s="155"/>
      <c r="F62" s="156"/>
      <c r="G62" s="364" t="str">
        <f>IF(OR(E62="",F62=""),"",PID_KVLohnLookup($A$1,E62,F62,LOHNTABELLE!$H$4))</f>
        <v/>
      </c>
      <c r="H62" s="365" t="str">
        <f>IF(AND(ISNUMBER(D62),ISNUMBER(F62)),ROUNDDOWN(MIN(IF(OR(ISBLANK(I62),I62=""),EOMONTH(DATE(EINSTELLUNG!$C$35,$A$1,1),0),I62)-MAX(D62,DATE(EINSTELLUNG!$C$35,$A$1,1))+1)/DAY(EOMONTH(DATE(EINSTELLUNG!$C$35,$A$1,1),0))*F62,2),"")</f>
        <v/>
      </c>
      <c r="I62" s="158"/>
      <c r="J62" s="165"/>
      <c r="K62" s="364" t="str">
        <f t="shared" si="1"/>
        <v/>
      </c>
      <c r="L62" s="366"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167"/>
      <c r="N62" s="168"/>
    </row>
    <row r="63" spans="1:22" ht="18" customHeight="1" x14ac:dyDescent="0.35">
      <c r="A63" s="363" t="s">
        <v>134</v>
      </c>
      <c r="B63" s="181"/>
      <c r="C63" s="182"/>
      <c r="D63" s="186"/>
      <c r="E63" s="184"/>
      <c r="F63" s="190"/>
      <c r="G63" s="364" t="str">
        <f>IF(OR(E63="",F63=""),"",PID_KVLohnLookup($A$1,E63,F63,LOHNTABELLE!$H$4))</f>
        <v/>
      </c>
      <c r="H63" s="365" t="str">
        <f>IF(AND(ISNUMBER(D63),ISNUMBER(F63)),ROUNDDOWN(MIN(IF(OR(ISBLANK(I63),I63=""),EOMONTH(DATE(EINSTELLUNG!$C$35,$A$1,1),0),I63)-MAX(D63,DATE(EINSTELLUNG!$C$35,$A$1,1))+1)/DAY(EOMONTH(DATE(EINSTELLUNG!$C$35,$A$1,1),0))*F63,2),"")</f>
        <v/>
      </c>
      <c r="I63" s="186"/>
      <c r="J63" s="187"/>
      <c r="K63" s="364" t="str">
        <f t="shared" si="1"/>
        <v/>
      </c>
      <c r="L63" s="366"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88"/>
      <c r="N63" s="189"/>
    </row>
    <row r="64" spans="1:22" ht="21.95" customHeight="1" x14ac:dyDescent="0.35">
      <c r="A64" s="363" t="s">
        <v>135</v>
      </c>
      <c r="B64" s="152"/>
      <c r="C64" s="153"/>
      <c r="D64" s="158"/>
      <c r="E64" s="155"/>
      <c r="F64" s="156"/>
      <c r="G64" s="364" t="str">
        <f>IF(OR(E64="",F64=""),"",PID_KVLohnLookup($A$1,E64,F64,LOHNTABELLE!$H$4))</f>
        <v/>
      </c>
      <c r="H64" s="365" t="str">
        <f>IF(AND(ISNUMBER(D64),ISNUMBER(F64)),ROUNDDOWN(MIN(IF(OR(ISBLANK(I64),I64=""),EOMONTH(DATE(EINSTELLUNG!$C$35,$A$1,1),0),I64)-MAX(D64,DATE(EINSTELLUNG!$C$35,$A$1,1))+1)/DAY(EOMONTH(DATE(EINSTELLUNG!$C$35,$A$1,1),0))*F64,2),"")</f>
        <v/>
      </c>
      <c r="I64" s="158"/>
      <c r="J64" s="165"/>
      <c r="K64" s="364" t="str">
        <f t="shared" si="1"/>
        <v/>
      </c>
      <c r="L64" s="366"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167"/>
      <c r="N64" s="168"/>
    </row>
    <row r="65" spans="1:14" ht="21.95" customHeight="1" x14ac:dyDescent="0.35">
      <c r="A65" s="363" t="s">
        <v>136</v>
      </c>
      <c r="B65" s="181"/>
      <c r="C65" s="182"/>
      <c r="D65" s="186"/>
      <c r="E65" s="184"/>
      <c r="F65" s="190"/>
      <c r="G65" s="364" t="str">
        <f>IF(OR(E65="",F65=""),"",PID_KVLohnLookup($A$1,E65,F65,LOHNTABELLE!$H$4))</f>
        <v/>
      </c>
      <c r="H65" s="365" t="str">
        <f>IF(AND(ISNUMBER(D65),ISNUMBER(F65)),ROUNDDOWN(MIN(IF(OR(ISBLANK(I65),I65=""),EOMONTH(DATE(EINSTELLUNG!$C$35,$A$1,1),0),I65)-MAX(D65,DATE(EINSTELLUNG!$C$35,$A$1,1))+1)/DAY(EOMONTH(DATE(EINSTELLUNG!$C$35,$A$1,1),0))*F65,2),"")</f>
        <v/>
      </c>
      <c r="I65" s="186"/>
      <c r="J65" s="187"/>
      <c r="K65" s="364" t="str">
        <f t="shared" si="1"/>
        <v/>
      </c>
      <c r="L65" s="366"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88"/>
      <c r="N65" s="189"/>
    </row>
    <row r="66" spans="1:14" ht="21.95" customHeight="1" x14ac:dyDescent="0.35">
      <c r="A66" s="363" t="s">
        <v>137</v>
      </c>
      <c r="B66" s="152"/>
      <c r="C66" s="153"/>
      <c r="D66" s="158"/>
      <c r="E66" s="155"/>
      <c r="F66" s="156"/>
      <c r="G66" s="364" t="str">
        <f>IF(OR(E66="",F66=""),"",PID_KVLohnLookup($A$1,E66,F66,LOHNTABELLE!$H$4))</f>
        <v/>
      </c>
      <c r="H66" s="365" t="str">
        <f>IF(AND(ISNUMBER(D66),ISNUMBER(F66)),ROUNDDOWN(MIN(IF(OR(ISBLANK(I66),I66=""),EOMONTH(DATE(EINSTELLUNG!$C$35,$A$1,1),0),I66)-MAX(D66,DATE(EINSTELLUNG!$C$35,$A$1,1))+1)/DAY(EOMONTH(DATE(EINSTELLUNG!$C$35,$A$1,1),0))*F66,2),"")</f>
        <v/>
      </c>
      <c r="I66" s="158"/>
      <c r="J66" s="165"/>
      <c r="K66" s="364" t="str">
        <f t="shared" si="1"/>
        <v/>
      </c>
      <c r="L66" s="366"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167"/>
      <c r="N66" s="168"/>
    </row>
    <row r="67" spans="1:14" ht="21.95" customHeight="1" x14ac:dyDescent="0.35">
      <c r="A67" s="363" t="s">
        <v>138</v>
      </c>
      <c r="B67" s="181"/>
      <c r="C67" s="182"/>
      <c r="D67" s="186"/>
      <c r="E67" s="184"/>
      <c r="F67" s="190"/>
      <c r="G67" s="364" t="str">
        <f>IF(OR(E67="",F67=""),"",PID_KVLohnLookup($A$1,E67,F67,LOHNTABELLE!$H$4))</f>
        <v/>
      </c>
      <c r="H67" s="365" t="str">
        <f>IF(AND(ISNUMBER(D67),ISNUMBER(F67)),ROUNDDOWN(MIN(IF(OR(ISBLANK(I67),I67=""),EOMONTH(DATE(EINSTELLUNG!$C$35,$A$1,1),0),I67)-MAX(D67,DATE(EINSTELLUNG!$C$35,$A$1,1))+1)/DAY(EOMONTH(DATE(EINSTELLUNG!$C$35,$A$1,1),0))*F67,2),"")</f>
        <v/>
      </c>
      <c r="I67" s="186"/>
      <c r="J67" s="187"/>
      <c r="K67" s="364" t="str">
        <f t="shared" ref="K67:K98" si="3">IF(OR(B67="",C67=""),"",IFERROR(IF(OR(MONTH(D67)=1,MONTH(D67)=3,MONTH(D67)=5,MONTH(D67)=7,MONTH(D67)=8,MONTH(D67)=10,MONTH(D67)=12),(G67/31)*J67,IF(OR(MONTH(D67)=4,MONTH(D67)=6,MONTH(D67)=9,MONTH(D67)=11),(G67/30)*J67,(G67/DAY(EOMONTH(D67,0)))*J67)),0))</f>
        <v/>
      </c>
      <c r="L67" s="366"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88"/>
      <c r="N67" s="189"/>
    </row>
    <row r="68" spans="1:14" ht="21.95" customHeight="1" x14ac:dyDescent="0.35">
      <c r="A68" s="363" t="s">
        <v>139</v>
      </c>
      <c r="B68" s="152"/>
      <c r="C68" s="153"/>
      <c r="D68" s="158"/>
      <c r="E68" s="155"/>
      <c r="F68" s="156"/>
      <c r="G68" s="364" t="str">
        <f>IF(OR(E68="",F68=""),"",PID_KVLohnLookup($A$1,E68,F68,LOHNTABELLE!$H$4))</f>
        <v/>
      </c>
      <c r="H68" s="365" t="str">
        <f>IF(AND(ISNUMBER(D68),ISNUMBER(F68)),ROUNDDOWN(MIN(IF(OR(ISBLANK(I68),I68=""),EOMONTH(DATE(EINSTELLUNG!$C$35,$A$1,1),0),I68)-MAX(D68,DATE(EINSTELLUNG!$C$35,$A$1,1))+1)/DAY(EOMONTH(DATE(EINSTELLUNG!$C$35,$A$1,1),0))*F68,2),"")</f>
        <v/>
      </c>
      <c r="I68" s="158"/>
      <c r="J68" s="165"/>
      <c r="K68" s="364" t="str">
        <f t="shared" si="3"/>
        <v/>
      </c>
      <c r="L68" s="366"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167"/>
      <c r="N68" s="168"/>
    </row>
    <row r="69" spans="1:14" ht="21.95" customHeight="1" x14ac:dyDescent="0.35">
      <c r="A69" s="363" t="s">
        <v>140</v>
      </c>
      <c r="B69" s="181"/>
      <c r="C69" s="182"/>
      <c r="D69" s="186"/>
      <c r="E69" s="184"/>
      <c r="F69" s="190"/>
      <c r="G69" s="364" t="str">
        <f>IF(OR(E69="",F69=""),"",PID_KVLohnLookup($A$1,E69,F69,LOHNTABELLE!$H$4))</f>
        <v/>
      </c>
      <c r="H69" s="365" t="str">
        <f>IF(AND(ISNUMBER(D69),ISNUMBER(F69)),ROUNDDOWN(MIN(IF(OR(ISBLANK(I69),I69=""),EOMONTH(DATE(EINSTELLUNG!$C$35,$A$1,1),0),I69)-MAX(D69,DATE(EINSTELLUNG!$C$35,$A$1,1))+1)/DAY(EOMONTH(DATE(EINSTELLUNG!$C$35,$A$1,1),0))*F69,2),"")</f>
        <v/>
      </c>
      <c r="I69" s="186"/>
      <c r="J69" s="187"/>
      <c r="K69" s="364" t="str">
        <f t="shared" si="3"/>
        <v/>
      </c>
      <c r="L69" s="366"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88"/>
      <c r="N69" s="189"/>
    </row>
    <row r="70" spans="1:14" ht="21.95" customHeight="1" x14ac:dyDescent="0.35">
      <c r="A70" s="363" t="s">
        <v>141</v>
      </c>
      <c r="B70" s="152"/>
      <c r="C70" s="153"/>
      <c r="D70" s="158"/>
      <c r="E70" s="155"/>
      <c r="F70" s="156"/>
      <c r="G70" s="364" t="str">
        <f>IF(OR(E70="",F70=""),"",PID_KVLohnLookup($A$1,E70,F70,LOHNTABELLE!$H$4))</f>
        <v/>
      </c>
      <c r="H70" s="365" t="str">
        <f>IF(AND(ISNUMBER(D70),ISNUMBER(F70)),ROUNDDOWN(MIN(IF(OR(ISBLANK(I70),I70=""),EOMONTH(DATE(EINSTELLUNG!$C$35,$A$1,1),0),I70)-MAX(D70,DATE(EINSTELLUNG!$C$35,$A$1,1))+1)/DAY(EOMONTH(DATE(EINSTELLUNG!$C$35,$A$1,1),0))*F70,2),"")</f>
        <v/>
      </c>
      <c r="I70" s="158"/>
      <c r="J70" s="165"/>
      <c r="K70" s="364" t="str">
        <f t="shared" si="3"/>
        <v/>
      </c>
      <c r="L70" s="366"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167"/>
      <c r="N70" s="168"/>
    </row>
    <row r="71" spans="1:14" ht="21.95" customHeight="1" x14ac:dyDescent="0.35">
      <c r="A71" s="363" t="s">
        <v>142</v>
      </c>
      <c r="B71" s="181"/>
      <c r="C71" s="182"/>
      <c r="D71" s="186"/>
      <c r="E71" s="184"/>
      <c r="F71" s="190"/>
      <c r="G71" s="364" t="str">
        <f>IF(OR(E71="",F71=""),"",PID_KVLohnLookup($A$1,E71,F71,LOHNTABELLE!$H$4))</f>
        <v/>
      </c>
      <c r="H71" s="365" t="str">
        <f>IF(AND(ISNUMBER(D71),ISNUMBER(F71)),ROUNDDOWN(MIN(IF(OR(ISBLANK(I71),I71=""),EOMONTH(DATE(EINSTELLUNG!$C$35,$A$1,1),0),I71)-MAX(D71,DATE(EINSTELLUNG!$C$35,$A$1,1))+1)/DAY(EOMONTH(DATE(EINSTELLUNG!$C$35,$A$1,1),0))*F71,2),"")</f>
        <v/>
      </c>
      <c r="I71" s="186"/>
      <c r="J71" s="187"/>
      <c r="K71" s="364" t="str">
        <f t="shared" si="3"/>
        <v/>
      </c>
      <c r="L71" s="366"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88"/>
      <c r="N71" s="189"/>
    </row>
    <row r="72" spans="1:14" ht="21.95" customHeight="1" x14ac:dyDescent="0.35">
      <c r="A72" s="363" t="s">
        <v>143</v>
      </c>
      <c r="B72" s="152"/>
      <c r="C72" s="153"/>
      <c r="D72" s="158"/>
      <c r="E72" s="155"/>
      <c r="F72" s="156"/>
      <c r="G72" s="364" t="str">
        <f>IF(OR(E72="",F72=""),"",PID_KVLohnLookup($A$1,E72,F72,LOHNTABELLE!$H$4))</f>
        <v/>
      </c>
      <c r="H72" s="365" t="str">
        <f>IF(AND(ISNUMBER(D72),ISNUMBER(F72)),ROUNDDOWN(MIN(IF(OR(ISBLANK(I72),I72=""),EOMONTH(DATE(EINSTELLUNG!$C$35,$A$1,1),0),I72)-MAX(D72,DATE(EINSTELLUNG!$C$35,$A$1,1))+1)/DAY(EOMONTH(DATE(EINSTELLUNG!$C$35,$A$1,1),0))*F72,2),"")</f>
        <v/>
      </c>
      <c r="I72" s="158"/>
      <c r="J72" s="165"/>
      <c r="K72" s="364" t="str">
        <f t="shared" si="3"/>
        <v/>
      </c>
      <c r="L72" s="366"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167"/>
      <c r="N72" s="168"/>
    </row>
    <row r="73" spans="1:14" ht="21.95" customHeight="1" x14ac:dyDescent="0.35">
      <c r="A73" s="363" t="s">
        <v>144</v>
      </c>
      <c r="B73" s="181"/>
      <c r="C73" s="182"/>
      <c r="D73" s="186"/>
      <c r="E73" s="184"/>
      <c r="F73" s="190"/>
      <c r="G73" s="364" t="str">
        <f>IF(OR(E73="",F73=""),"",PID_KVLohnLookup($A$1,E73,F73,LOHNTABELLE!$H$4))</f>
        <v/>
      </c>
      <c r="H73" s="365" t="str">
        <f>IF(AND(ISNUMBER(D73),ISNUMBER(F73)),ROUNDDOWN(MIN(IF(OR(ISBLANK(I73),I73=""),EOMONTH(DATE(EINSTELLUNG!$C$35,$A$1,1),0),I73)-MAX(D73,DATE(EINSTELLUNG!$C$35,$A$1,1))+1)/DAY(EOMONTH(DATE(EINSTELLUNG!$C$35,$A$1,1),0))*F73,2),"")</f>
        <v/>
      </c>
      <c r="I73" s="186"/>
      <c r="J73" s="187"/>
      <c r="K73" s="364" t="str">
        <f t="shared" si="3"/>
        <v/>
      </c>
      <c r="L73" s="366"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88"/>
      <c r="N73" s="189"/>
    </row>
    <row r="74" spans="1:14" ht="21.95" customHeight="1" x14ac:dyDescent="0.35">
      <c r="A74" s="363" t="s">
        <v>145</v>
      </c>
      <c r="B74" s="152"/>
      <c r="C74" s="153"/>
      <c r="D74" s="158"/>
      <c r="E74" s="155"/>
      <c r="F74" s="156"/>
      <c r="G74" s="364" t="str">
        <f>IF(OR(E74="",F74=""),"",PID_KVLohnLookup($A$1,E74,F74,LOHNTABELLE!$H$4))</f>
        <v/>
      </c>
      <c r="H74" s="365" t="str">
        <f>IF(AND(ISNUMBER(D74),ISNUMBER(F74)),ROUNDDOWN(MIN(IF(OR(ISBLANK(I74),I74=""),EOMONTH(DATE(EINSTELLUNG!$C$35,$A$1,1),0),I74)-MAX(D74,DATE(EINSTELLUNG!$C$35,$A$1,1))+1)/DAY(EOMONTH(DATE(EINSTELLUNG!$C$35,$A$1,1),0))*F74,2),"")</f>
        <v/>
      </c>
      <c r="I74" s="158"/>
      <c r="J74" s="165"/>
      <c r="K74" s="364" t="str">
        <f t="shared" si="3"/>
        <v/>
      </c>
      <c r="L74" s="366"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167"/>
      <c r="N74" s="168"/>
    </row>
    <row r="75" spans="1:14" ht="21.95" customHeight="1" x14ac:dyDescent="0.35">
      <c r="A75" s="363" t="s">
        <v>146</v>
      </c>
      <c r="B75" s="181"/>
      <c r="C75" s="182"/>
      <c r="D75" s="186"/>
      <c r="E75" s="184"/>
      <c r="F75" s="190"/>
      <c r="G75" s="364" t="str">
        <f>IF(OR(E75="",F75=""),"",PID_KVLohnLookup($A$1,E75,F75,LOHNTABELLE!$H$4))</f>
        <v/>
      </c>
      <c r="H75" s="365" t="str">
        <f>IF(AND(ISNUMBER(D75),ISNUMBER(F75)),ROUNDDOWN(MIN(IF(OR(ISBLANK(I75),I75=""),EOMONTH(DATE(EINSTELLUNG!$C$35,$A$1,1),0),I75)-MAX(D75,DATE(EINSTELLUNG!$C$35,$A$1,1))+1)/DAY(EOMONTH(DATE(EINSTELLUNG!$C$35,$A$1,1),0))*F75,2),"")</f>
        <v/>
      </c>
      <c r="I75" s="186"/>
      <c r="J75" s="187"/>
      <c r="K75" s="364" t="str">
        <f t="shared" si="3"/>
        <v/>
      </c>
      <c r="L75" s="366"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88"/>
      <c r="N75" s="189"/>
    </row>
    <row r="76" spans="1:14" ht="21.95" customHeight="1" x14ac:dyDescent="0.35">
      <c r="A76" s="363" t="s">
        <v>147</v>
      </c>
      <c r="B76" s="152"/>
      <c r="C76" s="153"/>
      <c r="D76" s="158"/>
      <c r="E76" s="155"/>
      <c r="F76" s="156"/>
      <c r="G76" s="364" t="str">
        <f>IF(OR(E76="",F76=""),"",PID_KVLohnLookup($A$1,E76,F76,LOHNTABELLE!$H$4))</f>
        <v/>
      </c>
      <c r="H76" s="365" t="str">
        <f>IF(AND(ISNUMBER(D76),ISNUMBER(F76)),ROUNDDOWN(MIN(IF(OR(ISBLANK(I76),I76=""),EOMONTH(DATE(EINSTELLUNG!$C$35,$A$1,1),0),I76)-MAX(D76,DATE(EINSTELLUNG!$C$35,$A$1,1))+1)/DAY(EOMONTH(DATE(EINSTELLUNG!$C$35,$A$1,1),0))*F76,2),"")</f>
        <v/>
      </c>
      <c r="I76" s="158"/>
      <c r="J76" s="165"/>
      <c r="K76" s="364" t="str">
        <f t="shared" si="3"/>
        <v/>
      </c>
      <c r="L76" s="366"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167"/>
      <c r="N76" s="168"/>
    </row>
    <row r="77" spans="1:14" ht="21.95" customHeight="1" x14ac:dyDescent="0.35">
      <c r="A77" s="363" t="s">
        <v>148</v>
      </c>
      <c r="B77" s="181"/>
      <c r="C77" s="182"/>
      <c r="D77" s="186"/>
      <c r="E77" s="184"/>
      <c r="F77" s="190"/>
      <c r="G77" s="364" t="str">
        <f>IF(OR(E77="",F77=""),"",PID_KVLohnLookup($A$1,E77,F77,LOHNTABELLE!$H$4))</f>
        <v/>
      </c>
      <c r="H77" s="365" t="str">
        <f>IF(AND(ISNUMBER(D77),ISNUMBER(F77)),ROUNDDOWN(MIN(IF(OR(ISBLANK(I77),I77=""),EOMONTH(DATE(EINSTELLUNG!$C$35,$A$1,1),0),I77)-MAX(D77,DATE(EINSTELLUNG!$C$35,$A$1,1))+1)/DAY(EOMONTH(DATE(EINSTELLUNG!$C$35,$A$1,1),0))*F77,2),"")</f>
        <v/>
      </c>
      <c r="I77" s="186"/>
      <c r="J77" s="187"/>
      <c r="K77" s="364" t="str">
        <f t="shared" si="3"/>
        <v/>
      </c>
      <c r="L77" s="366"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88"/>
      <c r="N77" s="189"/>
    </row>
    <row r="78" spans="1:14" ht="21.95" customHeight="1" x14ac:dyDescent="0.35">
      <c r="A78" s="363" t="s">
        <v>149</v>
      </c>
      <c r="B78" s="152"/>
      <c r="C78" s="153"/>
      <c r="D78" s="158"/>
      <c r="E78" s="155"/>
      <c r="F78" s="156"/>
      <c r="G78" s="364" t="str">
        <f>IF(OR(E78="",F78=""),"",PID_KVLohnLookup($A$1,E78,F78,LOHNTABELLE!$H$4))</f>
        <v/>
      </c>
      <c r="H78" s="365" t="str">
        <f>IF(AND(ISNUMBER(D78),ISNUMBER(F78)),ROUNDDOWN(MIN(IF(OR(ISBLANK(I78),I78=""),EOMONTH(DATE(EINSTELLUNG!$C$35,$A$1,1),0),I78)-MAX(D78,DATE(EINSTELLUNG!$C$35,$A$1,1))+1)/DAY(EOMONTH(DATE(EINSTELLUNG!$C$35,$A$1,1),0))*F78,2),"")</f>
        <v/>
      </c>
      <c r="I78" s="158"/>
      <c r="J78" s="165"/>
      <c r="K78" s="364" t="str">
        <f t="shared" si="3"/>
        <v/>
      </c>
      <c r="L78" s="366"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167"/>
      <c r="N78" s="168"/>
    </row>
    <row r="79" spans="1:14" ht="21.95" customHeight="1" x14ac:dyDescent="0.35">
      <c r="A79" s="363" t="s">
        <v>150</v>
      </c>
      <c r="B79" s="181"/>
      <c r="C79" s="182"/>
      <c r="D79" s="186"/>
      <c r="E79" s="184"/>
      <c r="F79" s="190"/>
      <c r="G79" s="364" t="str">
        <f>IF(OR(E79="",F79=""),"",PID_KVLohnLookup($A$1,E79,F79,LOHNTABELLE!$H$4))</f>
        <v/>
      </c>
      <c r="H79" s="365" t="str">
        <f>IF(AND(ISNUMBER(D79),ISNUMBER(F79)),ROUNDDOWN(MIN(IF(OR(ISBLANK(I79),I79=""),EOMONTH(DATE(EINSTELLUNG!$C$35,$A$1,1),0),I79)-MAX(D79,DATE(EINSTELLUNG!$C$35,$A$1,1))+1)/DAY(EOMONTH(DATE(EINSTELLUNG!$C$35,$A$1,1),0))*F79,2),"")</f>
        <v/>
      </c>
      <c r="I79" s="186"/>
      <c r="J79" s="187"/>
      <c r="K79" s="364" t="str">
        <f t="shared" si="3"/>
        <v/>
      </c>
      <c r="L79" s="366"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88"/>
      <c r="N79" s="189"/>
    </row>
    <row r="80" spans="1:14" ht="21.95" customHeight="1" x14ac:dyDescent="0.35">
      <c r="A80" s="363" t="s">
        <v>151</v>
      </c>
      <c r="B80" s="152"/>
      <c r="C80" s="153"/>
      <c r="D80" s="158"/>
      <c r="E80" s="155"/>
      <c r="F80" s="156"/>
      <c r="G80" s="364" t="str">
        <f>IF(OR(E80="",F80=""),"",PID_KVLohnLookup($A$1,E80,F80,LOHNTABELLE!$H$4))</f>
        <v/>
      </c>
      <c r="H80" s="365" t="str">
        <f>IF(AND(ISNUMBER(D80),ISNUMBER(F80)),ROUNDDOWN(MIN(IF(OR(ISBLANK(I80),I80=""),EOMONTH(DATE(EINSTELLUNG!$C$35,$A$1,1),0),I80)-MAX(D80,DATE(EINSTELLUNG!$C$35,$A$1,1))+1)/DAY(EOMONTH(DATE(EINSTELLUNG!$C$35,$A$1,1),0))*F80,2),"")</f>
        <v/>
      </c>
      <c r="I80" s="158"/>
      <c r="J80" s="165"/>
      <c r="K80" s="364" t="str">
        <f t="shared" si="3"/>
        <v/>
      </c>
      <c r="L80" s="366"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167"/>
      <c r="N80" s="168"/>
    </row>
    <row r="81" spans="1:15" ht="21.95" customHeight="1" x14ac:dyDescent="0.35">
      <c r="A81" s="363" t="s">
        <v>152</v>
      </c>
      <c r="B81" s="181"/>
      <c r="C81" s="182"/>
      <c r="D81" s="186"/>
      <c r="E81" s="184"/>
      <c r="F81" s="190"/>
      <c r="G81" s="364" t="str">
        <f>IF(OR(E81="",F81=""),"",PID_KVLohnLookup($A$1,E81,F81,LOHNTABELLE!$H$4))</f>
        <v/>
      </c>
      <c r="H81" s="365" t="str">
        <f>IF(AND(ISNUMBER(D81),ISNUMBER(F81)),ROUNDDOWN(MIN(IF(OR(ISBLANK(I81),I81=""),EOMONTH(DATE(EINSTELLUNG!$C$35,$A$1,1),0),I81)-MAX(D81,DATE(EINSTELLUNG!$C$35,$A$1,1))+1)/DAY(EOMONTH(DATE(EINSTELLUNG!$C$35,$A$1,1),0))*F81,2),"")</f>
        <v/>
      </c>
      <c r="I81" s="186"/>
      <c r="J81" s="187"/>
      <c r="K81" s="364" t="str">
        <f t="shared" si="3"/>
        <v/>
      </c>
      <c r="L81" s="366"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88"/>
      <c r="N81" s="189"/>
    </row>
    <row r="82" spans="1:15" ht="21.95" customHeight="1" thickBot="1" x14ac:dyDescent="0.4">
      <c r="A82" s="423" t="s">
        <v>153</v>
      </c>
      <c r="B82" s="160"/>
      <c r="C82" s="161"/>
      <c r="D82" s="162"/>
      <c r="E82" s="163"/>
      <c r="F82" s="164"/>
      <c r="G82" s="424" t="str">
        <f>IF(OR(E82="",F82=""),"",PID_KVLohnLookup($A$1,E82,F82,LOHNTABELLE!$H$4))</f>
        <v/>
      </c>
      <c r="H82" s="425" t="str">
        <f>IF(AND(ISNUMBER(D82),ISNUMBER(F82)),ROUNDDOWN(MIN(IF(OR(ISBLANK(I82),I82=""),EOMONTH(DATE(EINSTELLUNG!$C$35,$A$1,1),0),I82)-MAX(D82,DATE(EINSTELLUNG!$C$35,$A$1,1))+1)/DAY(EOMONTH(DATE(EINSTELLUNG!$C$35,$A$1,1),0))*F82,2),"")</f>
        <v/>
      </c>
      <c r="I82" s="162"/>
      <c r="J82" s="166"/>
      <c r="K82" s="424" t="str">
        <f t="shared" si="3"/>
        <v/>
      </c>
      <c r="L82" s="42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71"/>
      <c r="N82" s="172"/>
    </row>
    <row r="84" spans="1:15" ht="15.95" customHeight="1" x14ac:dyDescent="0.3">
      <c r="O84" s="461"/>
    </row>
    <row r="85" spans="1:15" ht="15.95" customHeight="1" x14ac:dyDescent="0.3">
      <c r="O85" s="461"/>
    </row>
    <row r="86" spans="1:15" ht="15.95" customHeight="1" x14ac:dyDescent="0.3">
      <c r="O86" s="461"/>
    </row>
    <row r="100" spans="26:26" ht="15.95" customHeight="1" x14ac:dyDescent="0.3">
      <c r="Z100" s="343"/>
    </row>
  </sheetData>
  <sheetProtection algorithmName="SHA-512" hashValue="E/8Hpunttx6kkaT5YL6vAOsVOGhSVizOvzk1WKfD+IBZTVE+w5KFwXd5VUx19ewpI5rRdY//+Bg1wjeKlvuB9w==" saltValue="9tTJT4qJf8YNkzHvpdLmxA==" spinCount="100000" sheet="1" objects="1" scenarios="1" autoFilter="0"/>
  <sortState xmlns:xlrd2="http://schemas.microsoft.com/office/spreadsheetml/2017/richdata2" ref="B3:N82">
    <sortCondition ref="B3:B82"/>
    <sortCondition ref="C3:C82"/>
  </sortState>
  <mergeCells count="101">
    <mergeCell ref="O45:U45"/>
    <mergeCell ref="O39:P39"/>
    <mergeCell ref="Q39:R39"/>
    <mergeCell ref="O36:P36"/>
    <mergeCell ref="Q36:R36"/>
    <mergeCell ref="O37:P37"/>
    <mergeCell ref="Q37:R37"/>
    <mergeCell ref="O38:P38"/>
    <mergeCell ref="Q38:R38"/>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E64E8C3-4BA2-4569-A596-F136E4FDEEF0}">
          <x14:formula1>
            <xm:f>KV_DROPDOWN_HELPER!$AJY$1:$AJY$12</xm:f>
          </x14:formula1>
          <xm:sqref>E3:E82</xm:sqref>
        </x14:dataValidation>
        <x14:dataValidation type="list" allowBlank="1" showInputMessage="1" showErrorMessage="1" xr:uid="{9B0041E4-44CC-44C8-AA1B-9EE72A68A516}">
          <x14:formula1>
            <xm:f>KV_DROPDOWN_HELPER!$CC$1:$CC$15</xm:f>
          </x14:formula1>
          <xm:sqref>F3</xm:sqref>
        </x14:dataValidation>
        <x14:dataValidation type="list" allowBlank="1" showInputMessage="1" showErrorMessage="1" xr:uid="{832EF703-7742-458A-8705-F35F30FA8446}">
          <x14:formula1>
            <xm:f>KV_DROPDOWN_HELPER!$CD$1:$CD$13</xm:f>
          </x14:formula1>
          <xm:sqref>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40625" defaultRowHeight="15.95" customHeight="1" x14ac:dyDescent="0.3"/>
  <cols>
    <col min="1" max="1" width="4.42578125" style="427" customWidth="1"/>
    <col min="2" max="2" width="9.140625" style="427" customWidth="1"/>
    <col min="3" max="3" width="35.5703125" style="263" customWidth="1"/>
    <col min="4" max="4" width="13.5703125" style="263" customWidth="1"/>
    <col min="5" max="5" width="9.5703125" style="263" customWidth="1"/>
    <col min="6" max="6" width="10.5703125" style="263" customWidth="1"/>
    <col min="7" max="7" width="13.5703125" style="263" customWidth="1"/>
    <col min="8" max="8" width="11.5703125" style="263" customWidth="1"/>
    <col min="9" max="10" width="13.5703125" style="263" customWidth="1"/>
    <col min="11" max="11" width="14.5703125" style="263" customWidth="1"/>
    <col min="12" max="12" width="14.5703125" style="389" customWidth="1"/>
    <col min="13" max="13" width="17.85546875" style="263" customWidth="1"/>
    <col min="14" max="14" width="34.5703125" style="263" customWidth="1"/>
    <col min="15" max="15" width="12.5703125" style="263" customWidth="1"/>
    <col min="16" max="16" width="16.5703125" style="263" customWidth="1"/>
    <col min="17" max="17" width="14.5703125" style="263" customWidth="1"/>
    <col min="18" max="18" width="13.5703125" style="263" customWidth="1"/>
    <col min="19" max="19" width="9.5703125" style="263" customWidth="1"/>
    <col min="20" max="20" width="10.5703125" style="263" customWidth="1"/>
    <col min="21" max="21" width="7.5703125" style="263" customWidth="1"/>
    <col min="22" max="27" width="9.140625" style="263"/>
    <col min="28" max="28" width="10.140625" style="263" bestFit="1" customWidth="1"/>
    <col min="29" max="16384" width="9.140625" style="263"/>
  </cols>
  <sheetData>
    <row r="1" spans="1:28" ht="18" customHeight="1" x14ac:dyDescent="0.3">
      <c r="A1" s="344">
        <v>3</v>
      </c>
      <c r="B1" s="345" t="s">
        <v>179</v>
      </c>
      <c r="C1" s="346" t="s">
        <v>39</v>
      </c>
      <c r="D1" s="346" t="s">
        <v>180</v>
      </c>
      <c r="E1" s="346" t="s">
        <v>0</v>
      </c>
      <c r="F1" s="346" t="s">
        <v>40</v>
      </c>
      <c r="G1" s="346" t="s">
        <v>41</v>
      </c>
      <c r="H1" s="346" t="s">
        <v>42</v>
      </c>
      <c r="I1" s="346" t="s">
        <v>181</v>
      </c>
      <c r="J1" s="346" t="s">
        <v>43</v>
      </c>
      <c r="K1" s="346" t="s">
        <v>44</v>
      </c>
      <c r="L1" s="346" t="s">
        <v>45</v>
      </c>
      <c r="M1" s="346" t="s">
        <v>46</v>
      </c>
      <c r="N1" s="347" t="s">
        <v>182</v>
      </c>
      <c r="AB1" s="348">
        <f>DATE(EINSTELLUNG!$C$35,$A$1,1)</f>
        <v>46082</v>
      </c>
    </row>
    <row r="2" spans="1:28" ht="18" customHeight="1" thickBot="1" x14ac:dyDescent="0.35">
      <c r="A2" s="349"/>
      <c r="B2" s="350"/>
      <c r="C2" s="351"/>
      <c r="D2" s="351"/>
      <c r="E2" s="351"/>
      <c r="F2" s="351"/>
      <c r="G2" s="351"/>
      <c r="H2" s="351"/>
      <c r="I2" s="351"/>
      <c r="J2" s="351"/>
      <c r="K2" s="351"/>
      <c r="L2" s="351"/>
      <c r="M2" s="351"/>
      <c r="N2" s="352"/>
      <c r="O2" s="353"/>
      <c r="P2" s="353"/>
      <c r="Q2" s="353"/>
      <c r="S2" s="354" t="s">
        <v>291</v>
      </c>
      <c r="T2" s="354"/>
      <c r="U2" s="354"/>
      <c r="V2" s="354"/>
      <c r="AB2" s="348">
        <f>EOMONTH(DATE(EINSTELLUNG!$C$35,$A$1,1),0)</f>
        <v>46112</v>
      </c>
    </row>
    <row r="3" spans="1:28" ht="21.95" customHeight="1" x14ac:dyDescent="0.35">
      <c r="A3" s="355" t="s">
        <v>292</v>
      </c>
      <c r="B3" s="173">
        <v>21867</v>
      </c>
      <c r="C3" s="151" t="s">
        <v>385</v>
      </c>
      <c r="D3" s="174">
        <v>46023</v>
      </c>
      <c r="E3" s="175" t="s">
        <v>2</v>
      </c>
      <c r="F3" s="176">
        <v>173</v>
      </c>
      <c r="G3" s="356">
        <f>IF(OR(E3="",F3=""),"",PID_KVLohnLookup($A$1,E3,F3,LOHNTABELLE!$H$4))</f>
        <v>2100</v>
      </c>
      <c r="H3" s="357">
        <f>IF(AND(ISNUMBER(D3),ISNUMBER(F3)),ROUNDDOWN(MIN(IF(OR(ISBLANK(I3),I3=""),EOMONTH(DATE(EINSTELLUNG!$C$35,$A$1,1),0),I3)-MAX(D3,DATE(EINSTELLUNG!$C$35,$A$1,1))+1)/DAY(EOMONTH(DATE(EINSTELLUNG!$C$35,$A$1,1),0))*F3,2),"")</f>
        <v>173</v>
      </c>
      <c r="I3" s="177"/>
      <c r="J3" s="178"/>
      <c r="K3" s="356">
        <f t="shared" ref="K3:K34" si="0">IF(OR(B3="",C3=""),"",IFERROR(IF(OR(MONTH(D3)=1,MONTH(D3)=3,MONTH(D3)=5,MONTH(D3)=7,MONTH(D3)=8,MONTH(D3)=10,MONTH(D3)=12),(G3/31)*J3,IF(OR(MONTH(D3)=4,MONTH(D3)=6,MONTH(D3)=9,MONTH(D3)=11),(G3/30)*J3,(G3/DAY(EOMONTH(D3,0)))*J3)),0))</f>
        <v>0</v>
      </c>
      <c r="L3" s="35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2100</v>
      </c>
      <c r="M3" s="179"/>
      <c r="N3" s="180"/>
      <c r="O3" s="359" t="s">
        <v>47</v>
      </c>
      <c r="P3" s="359" t="s">
        <v>48</v>
      </c>
      <c r="Q3" s="359" t="s">
        <v>49</v>
      </c>
      <c r="R3" s="360" t="s">
        <v>50</v>
      </c>
      <c r="S3" s="361"/>
      <c r="T3" s="361"/>
      <c r="U3" s="361"/>
      <c r="V3" s="361"/>
      <c r="AB3" s="362"/>
    </row>
    <row r="4" spans="1:28" ht="21.95" customHeight="1" x14ac:dyDescent="0.35">
      <c r="A4" s="363" t="s">
        <v>51</v>
      </c>
      <c r="B4" s="152">
        <v>221340</v>
      </c>
      <c r="C4" s="153" t="s">
        <v>333</v>
      </c>
      <c r="D4" s="154">
        <v>32994</v>
      </c>
      <c r="E4" s="155" t="s">
        <v>2</v>
      </c>
      <c r="F4" s="156">
        <v>151.38</v>
      </c>
      <c r="G4" s="364">
        <f>IF(OR(E4="",F4=""),"",PID_KVLohnLookup($A$1,E4,F4,LOHNTABELLE!$H$4))</f>
        <v>1768.38</v>
      </c>
      <c r="H4" s="365">
        <f>IF(AND(ISNUMBER(D4),ISNUMBER(F4)),ROUNDDOWN(MIN(IF(OR(ISBLANK(I4),I4=""),EOMONTH(DATE(EINSTELLUNG!$C$35,$A$1,1),0),I4)-MAX(D4,DATE(EINSTELLUNG!$C$35,$A$1,1))+1)/DAY(EOMONTH(DATE(EINSTELLUNG!$C$35,$A$1,1),0))*F4,2),"")</f>
        <v>151.38</v>
      </c>
      <c r="I4" s="158"/>
      <c r="J4" s="165"/>
      <c r="K4" s="364">
        <f t="shared" si="0"/>
        <v>0</v>
      </c>
      <c r="L4" s="366">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1768.38</v>
      </c>
      <c r="M4" s="167"/>
      <c r="N4" s="168"/>
      <c r="O4" s="367"/>
      <c r="P4" s="367"/>
      <c r="Q4" s="367"/>
      <c r="R4" s="368"/>
      <c r="S4" s="361"/>
      <c r="T4" s="361"/>
      <c r="U4" s="361"/>
      <c r="V4" s="361"/>
    </row>
    <row r="5" spans="1:28" ht="21.95" customHeight="1" x14ac:dyDescent="0.35">
      <c r="A5" s="363" t="s">
        <v>52</v>
      </c>
      <c r="B5" s="181"/>
      <c r="C5" s="182"/>
      <c r="D5" s="183"/>
      <c r="E5" s="184"/>
      <c r="F5" s="185"/>
      <c r="G5" s="364" t="str">
        <f>IF(OR(E5="",F5=""),"",PID_KVLohnLookup($A$1,E5,F5,LOHNTABELLE!$H$4))</f>
        <v/>
      </c>
      <c r="H5" s="365" t="str">
        <f>IF(AND(ISNUMBER(D5),ISNUMBER(F5)),ROUNDDOWN(MIN(IF(OR(ISBLANK(I5),I5=""),EOMONTH(DATE(EINSTELLUNG!$C$35,$A$1,1),0),I5)-MAX(D5,DATE(EINSTELLUNG!$C$35,$A$1,1))+1)/DAY(EOMONTH(DATE(EINSTELLUNG!$C$35,$A$1,1),0))*F5,2),"")</f>
        <v/>
      </c>
      <c r="I5" s="186"/>
      <c r="J5" s="187"/>
      <c r="K5" s="364" t="str">
        <f t="shared" si="0"/>
        <v/>
      </c>
      <c r="L5" s="366"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188"/>
      <c r="N5" s="189"/>
      <c r="O5" s="369" cm="1">
        <f t="array" ref="O5">SUMPRODUCT((F3:F82/4.310808)/5*2.08)</f>
        <v>31.303198843465079</v>
      </c>
      <c r="P5" s="370">
        <f>EINSTELLUNG!I8</f>
        <v>0</v>
      </c>
      <c r="Q5" s="370">
        <f>P5-O5</f>
        <v>-31.303198843465079</v>
      </c>
      <c r="R5" s="371">
        <f>IFERROR(Q5*Q42, 0)</f>
        <v>-373.30497670042377</v>
      </c>
      <c r="S5" s="361"/>
      <c r="T5" s="361"/>
      <c r="U5" s="361"/>
      <c r="V5" s="361"/>
    </row>
    <row r="6" spans="1:28" ht="21.95" customHeight="1" x14ac:dyDescent="0.35">
      <c r="A6" s="363" t="s">
        <v>53</v>
      </c>
      <c r="B6" s="152"/>
      <c r="C6" s="153"/>
      <c r="D6" s="154"/>
      <c r="E6" s="155"/>
      <c r="F6" s="156"/>
      <c r="G6" s="364" t="str">
        <f>IF(OR(E6="",F6=""),"",PID_KVLohnLookup($A$1,E6,F6,LOHNTABELLE!$H$4))</f>
        <v/>
      </c>
      <c r="H6" s="365" t="str">
        <f>IF(AND(ISNUMBER(D6),ISNUMBER(F6)),ROUNDDOWN(MIN(IF(OR(ISBLANK(I6),I6=""),EOMONTH(DATE(EINSTELLUNG!$C$35,$A$1,1),0),I6)-MAX(D6,DATE(EINSTELLUNG!$C$35,$A$1,1))+1)/DAY(EOMONTH(DATE(EINSTELLUNG!$C$35,$A$1,1),0))*F6,2),"")</f>
        <v/>
      </c>
      <c r="I6" s="158"/>
      <c r="J6" s="165"/>
      <c r="K6" s="364" t="str">
        <f t="shared" si="0"/>
        <v/>
      </c>
      <c r="L6" s="366"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167"/>
      <c r="N6" s="168"/>
      <c r="O6" s="372" t="str">
        <f>IF(Q5&lt;0, "Schlecht! Zu wenig Urlaub abgebaut.", IF(Q5&gt;0, "Gut! Mehr Urlaub abgebaut als aufgebaut.", ""))</f>
        <v>Schlecht! Zu wenig Urlaub abgebaut.</v>
      </c>
      <c r="P6" s="373"/>
      <c r="Q6" s="373"/>
      <c r="R6" s="374"/>
      <c r="S6" s="361"/>
      <c r="T6" s="361"/>
      <c r="U6" s="361"/>
      <c r="V6" s="361"/>
    </row>
    <row r="7" spans="1:28" ht="21.95" customHeight="1" thickBot="1" x14ac:dyDescent="0.4">
      <c r="A7" s="363" t="s">
        <v>54</v>
      </c>
      <c r="B7" s="181"/>
      <c r="C7" s="182"/>
      <c r="D7" s="183"/>
      <c r="E7" s="184"/>
      <c r="F7" s="190"/>
      <c r="G7" s="364" t="str">
        <f>IF(OR(E7="",F7=""),"",PID_KVLohnLookup($A$1,E7,F7,LOHNTABELLE!$H$4))</f>
        <v/>
      </c>
      <c r="H7" s="365" t="str">
        <f>IF(AND(ISNUMBER(D7),ISNUMBER(F7)),ROUNDDOWN(MIN(IF(OR(ISBLANK(I7),I7=""),EOMONTH(DATE(EINSTELLUNG!$C$35,$A$1,1),0),I7)-MAX(D7,DATE(EINSTELLUNG!$C$35,$A$1,1))+1)/DAY(EOMONTH(DATE(EINSTELLUNG!$C$35,$A$1,1),0))*F7,2),"")</f>
        <v/>
      </c>
      <c r="I7" s="186"/>
      <c r="J7" s="187"/>
      <c r="K7" s="364" t="str">
        <f t="shared" si="0"/>
        <v/>
      </c>
      <c r="L7" s="366"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188"/>
      <c r="N7" s="189"/>
      <c r="O7" s="361"/>
      <c r="P7" s="361"/>
      <c r="Q7" s="361"/>
      <c r="R7" s="361"/>
      <c r="S7" s="361"/>
      <c r="T7" s="361"/>
      <c r="U7" s="361"/>
      <c r="V7" s="361"/>
    </row>
    <row r="8" spans="1:28" ht="21.95" customHeight="1" x14ac:dyDescent="0.35">
      <c r="A8" s="363" t="s">
        <v>55</v>
      </c>
      <c r="B8" s="152"/>
      <c r="C8" s="153"/>
      <c r="D8" s="154"/>
      <c r="E8" s="155"/>
      <c r="F8" s="156"/>
      <c r="G8" s="364" t="str">
        <f>IF(OR(E8="",F8=""),"",PID_KVLohnLookup($A$1,E8,F8,LOHNTABELLE!$H$4))</f>
        <v/>
      </c>
      <c r="H8" s="365" t="str">
        <f>IF(AND(ISNUMBER(D8),ISNUMBER(F8)),ROUNDDOWN(MIN(IF(OR(ISBLANK(I8),I8=""),EOMONTH(DATE(EINSTELLUNG!$C$35,$A$1,1),0),I8)-MAX(D8,DATE(EINSTELLUNG!$C$35,$A$1,1))+1)/DAY(EOMONTH(DATE(EINSTELLUNG!$C$35,$A$1,1),0))*F8,2),"")</f>
        <v/>
      </c>
      <c r="I8" s="158"/>
      <c r="J8" s="165"/>
      <c r="K8" s="364" t="str">
        <f t="shared" si="0"/>
        <v/>
      </c>
      <c r="L8" s="366"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167"/>
      <c r="N8" s="168"/>
      <c r="O8" s="375" t="s">
        <v>56</v>
      </c>
      <c r="P8" s="376"/>
      <c r="Q8" s="377">
        <f>SUM(H3:H82)</f>
        <v>324.38</v>
      </c>
      <c r="R8" s="378"/>
      <c r="S8" s="361"/>
      <c r="T8" s="361"/>
      <c r="U8" s="361"/>
      <c r="V8" s="361"/>
    </row>
    <row r="9" spans="1:28" ht="21.95" customHeight="1" x14ac:dyDescent="0.35">
      <c r="A9" s="363" t="s">
        <v>57</v>
      </c>
      <c r="B9" s="181"/>
      <c r="C9" s="182"/>
      <c r="D9" s="183"/>
      <c r="E9" s="184"/>
      <c r="F9" s="190"/>
      <c r="G9" s="364" t="str">
        <f>IF(OR(E9="",F9=""),"",PID_KVLohnLookup($A$1,E9,F9,LOHNTABELLE!$H$4))</f>
        <v/>
      </c>
      <c r="H9" s="365" t="str">
        <f>IF(AND(ISNUMBER(D9),ISNUMBER(F9)),ROUNDDOWN(MIN(IF(OR(ISBLANK(I9),I9=""),EOMONTH(DATE(EINSTELLUNG!$C$35,$A$1,1),0),I9)-MAX(D9,DATE(EINSTELLUNG!$C$35,$A$1,1))+1)/DAY(EOMONTH(DATE(EINSTELLUNG!$C$35,$A$1,1),0))*F9,2),"")</f>
        <v/>
      </c>
      <c r="I9" s="186"/>
      <c r="J9" s="187"/>
      <c r="K9" s="364" t="str">
        <f t="shared" si="0"/>
        <v/>
      </c>
      <c r="L9" s="366"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188"/>
      <c r="N9" s="189"/>
      <c r="O9" s="379" t="s">
        <v>58</v>
      </c>
      <c r="P9" s="380"/>
      <c r="Q9" s="381">
        <f>EINSTELLUNG!L24</f>
        <v>0</v>
      </c>
      <c r="R9" s="382"/>
      <c r="S9" s="383">
        <f>IFERROR(Q9/Q8, 0)</f>
        <v>0</v>
      </c>
      <c r="T9" s="361"/>
      <c r="U9" s="361"/>
      <c r="V9" s="361"/>
    </row>
    <row r="10" spans="1:28" ht="21.95" customHeight="1" x14ac:dyDescent="0.35">
      <c r="A10" s="363" t="s">
        <v>59</v>
      </c>
      <c r="B10" s="152"/>
      <c r="C10" s="153"/>
      <c r="D10" s="154"/>
      <c r="E10" s="155"/>
      <c r="F10" s="156"/>
      <c r="G10" s="364" t="str">
        <f>IF(OR(E10="",F10=""),"",PID_KVLohnLookup($A$1,E10,F10,LOHNTABELLE!$H$4))</f>
        <v/>
      </c>
      <c r="H10" s="365" t="str">
        <f>IF(AND(ISNUMBER(D10),ISNUMBER(F10)),ROUNDDOWN(MIN(IF(OR(ISBLANK(I10),I10=""),EOMONTH(DATE(EINSTELLUNG!$C$35,$A$1,1),0),I10)-MAX(D10,DATE(EINSTELLUNG!$C$35,$A$1,1))+1)/DAY(EOMONTH(DATE(EINSTELLUNG!$C$35,$A$1,1),0))*F10,2),"")</f>
        <v/>
      </c>
      <c r="I10" s="158"/>
      <c r="J10" s="165"/>
      <c r="K10" s="364" t="str">
        <f t="shared" si="0"/>
        <v/>
      </c>
      <c r="L10" s="366"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167"/>
      <c r="N10" s="168"/>
      <c r="O10" s="379" t="s">
        <v>60</v>
      </c>
      <c r="P10" s="380"/>
      <c r="Q10" s="381">
        <f>EINSTELLUNG!I24</f>
        <v>0</v>
      </c>
      <c r="R10" s="382"/>
      <c r="S10" s="361"/>
      <c r="T10" s="361"/>
      <c r="U10" s="361"/>
      <c r="V10" s="361"/>
    </row>
    <row r="11" spans="1:28" ht="21.95" customHeight="1" x14ac:dyDescent="0.35">
      <c r="A11" s="363" t="s">
        <v>61</v>
      </c>
      <c r="B11" s="181"/>
      <c r="C11" s="182"/>
      <c r="D11" s="183"/>
      <c r="E11" s="184"/>
      <c r="F11" s="190"/>
      <c r="G11" s="364" t="str">
        <f>IF(OR(E11="",F11=""),"",PID_KVLohnLookup($A$1,E11,F11,LOHNTABELLE!$H$4))</f>
        <v/>
      </c>
      <c r="H11" s="365" t="str">
        <f>IF(AND(ISNUMBER(D11),ISNUMBER(F11)),ROUNDDOWN(MIN(IF(OR(ISBLANK(I11),I11=""),EOMONTH(DATE(EINSTELLUNG!$C$35,$A$1,1),0),I11)-MAX(D11,DATE(EINSTELLUNG!$C$35,$A$1,1))+1)/DAY(EOMONTH(DATE(EINSTELLUNG!$C$35,$A$1,1),0))*F11,2),"")</f>
        <v/>
      </c>
      <c r="I11" s="186"/>
      <c r="J11" s="187"/>
      <c r="K11" s="364" t="str">
        <f t="shared" si="0"/>
        <v/>
      </c>
      <c r="L11" s="366"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188"/>
      <c r="N11" s="189"/>
      <c r="O11" s="379" t="s">
        <v>62</v>
      </c>
      <c r="P11" s="380"/>
      <c r="Q11" s="381">
        <f>P5</f>
        <v>0</v>
      </c>
      <c r="R11" s="382"/>
      <c r="S11" s="361"/>
      <c r="T11" s="361"/>
      <c r="U11" s="361"/>
      <c r="V11" s="361"/>
    </row>
    <row r="12" spans="1:28" ht="21.95" customHeight="1" x14ac:dyDescent="0.35">
      <c r="A12" s="363" t="s">
        <v>63</v>
      </c>
      <c r="B12" s="152"/>
      <c r="C12" s="153"/>
      <c r="D12" s="154"/>
      <c r="E12" s="155"/>
      <c r="F12" s="156"/>
      <c r="G12" s="364" t="str">
        <f>IF(OR(E12="",F12=""),"",PID_KVLohnLookup($A$1,E12,F12,LOHNTABELLE!$H$4))</f>
        <v/>
      </c>
      <c r="H12" s="365" t="str">
        <f>IF(AND(ISNUMBER(D12),ISNUMBER(F12)),ROUNDDOWN(MIN(IF(OR(ISBLANK(I12),I12=""),EOMONTH(DATE(EINSTELLUNG!$C$35,$A$1,1),0),I12)-MAX(D12,DATE(EINSTELLUNG!$C$35,$A$1,1))+1)/DAY(EOMONTH(DATE(EINSTELLUNG!$C$35,$A$1,1),0))*F12,2),"")</f>
        <v/>
      </c>
      <c r="I12" s="158"/>
      <c r="J12" s="165"/>
      <c r="K12" s="364" t="str">
        <f t="shared" si="0"/>
        <v/>
      </c>
      <c r="L12" s="366"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167"/>
      <c r="N12" s="168"/>
      <c r="O12" s="379" t="s">
        <v>64</v>
      </c>
      <c r="P12" s="380"/>
      <c r="Q12" s="199"/>
      <c r="R12" s="200"/>
      <c r="S12" s="361"/>
      <c r="T12" s="361"/>
      <c r="U12" s="361"/>
      <c r="V12" s="361"/>
    </row>
    <row r="13" spans="1:28" ht="21.95" customHeight="1" x14ac:dyDescent="0.35">
      <c r="A13" s="363" t="s">
        <v>65</v>
      </c>
      <c r="B13" s="181"/>
      <c r="C13" s="182"/>
      <c r="D13" s="183"/>
      <c r="E13" s="184"/>
      <c r="F13" s="190"/>
      <c r="G13" s="364" t="str">
        <f>IF(OR(E13="",F13=""),"",PID_KVLohnLookup($A$1,E13,F13,LOHNTABELLE!$H$4))</f>
        <v/>
      </c>
      <c r="H13" s="365" t="str">
        <f>IF(AND(ISNUMBER(D13),ISNUMBER(F13)),ROUNDDOWN(MIN(IF(OR(ISBLANK(I13),I13=""),EOMONTH(DATE(EINSTELLUNG!$C$35,$A$1,1),0),I13)-MAX(D13,DATE(EINSTELLUNG!$C$35,$A$1,1))+1)/DAY(EOMONTH(DATE(EINSTELLUNG!$C$35,$A$1,1),0))*F13,2),"")</f>
        <v/>
      </c>
      <c r="I13" s="186"/>
      <c r="J13" s="187"/>
      <c r="K13" s="364" t="str">
        <f t="shared" si="0"/>
        <v/>
      </c>
      <c r="L13" s="366"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188"/>
      <c r="N13" s="189"/>
      <c r="O13" s="379" t="s">
        <v>66</v>
      </c>
      <c r="P13" s="380"/>
      <c r="Q13" s="381">
        <f>Q8-Q9-Q10-Q11-Q12</f>
        <v>324.38</v>
      </c>
      <c r="R13" s="382"/>
      <c r="S13" s="361"/>
      <c r="T13" s="361"/>
      <c r="U13" s="361"/>
      <c r="V13" s="361"/>
    </row>
    <row r="14" spans="1:28" ht="21.95" customHeight="1" x14ac:dyDescent="0.35">
      <c r="A14" s="363" t="s">
        <v>67</v>
      </c>
      <c r="B14" s="152"/>
      <c r="C14" s="153"/>
      <c r="D14" s="154"/>
      <c r="E14" s="155"/>
      <c r="F14" s="156"/>
      <c r="G14" s="364" t="str">
        <f>IF(OR(E14="",F14=""),"",PID_KVLohnLookup($A$1,E14,F14,LOHNTABELLE!$H$4))</f>
        <v/>
      </c>
      <c r="H14" s="365" t="str">
        <f>IF(AND(ISNUMBER(D14),ISNUMBER(F14)),ROUNDDOWN(MIN(IF(OR(ISBLANK(I14),I14=""),EOMONTH(DATE(EINSTELLUNG!$C$35,$A$1,1),0),I14)-MAX(D14,DATE(EINSTELLUNG!$C$35,$A$1,1))+1)/DAY(EOMONTH(DATE(EINSTELLUNG!$C$35,$A$1,1),0))*F14,2),"")</f>
        <v/>
      </c>
      <c r="I14" s="158"/>
      <c r="J14" s="165"/>
      <c r="K14" s="364" t="str">
        <f t="shared" si="0"/>
        <v/>
      </c>
      <c r="L14" s="366"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167"/>
      <c r="N14" s="168"/>
      <c r="O14" s="379" t="s">
        <v>68</v>
      </c>
      <c r="P14" s="380"/>
      <c r="Q14" s="381">
        <f>EINSTELLUNG!L8</f>
        <v>0</v>
      </c>
      <c r="R14" s="382"/>
      <c r="S14" s="361"/>
      <c r="T14" s="361"/>
      <c r="U14" s="361"/>
      <c r="V14" s="361"/>
    </row>
    <row r="15" spans="1:28" ht="21.95" customHeight="1" x14ac:dyDescent="0.35">
      <c r="A15" s="363" t="s">
        <v>69</v>
      </c>
      <c r="B15" s="181"/>
      <c r="C15" s="182"/>
      <c r="D15" s="183"/>
      <c r="E15" s="184"/>
      <c r="F15" s="190"/>
      <c r="G15" s="364" t="str">
        <f>IF(OR(E15="",F15=""),"",PID_KVLohnLookup($A$1,E15,F15,LOHNTABELLE!$H$4))</f>
        <v/>
      </c>
      <c r="H15" s="365" t="str">
        <f>IF(AND(ISNUMBER(D15),ISNUMBER(F15)),ROUNDDOWN(MIN(IF(OR(ISBLANK(I15),I15=""),EOMONTH(DATE(EINSTELLUNG!$C$35,$A$1,1),0),I15)-MAX(D15,DATE(EINSTELLUNG!$C$35,$A$1,1))+1)/DAY(EOMONTH(DATE(EINSTELLUNG!$C$35,$A$1,1),0))*F15,2),"")</f>
        <v/>
      </c>
      <c r="I15" s="186"/>
      <c r="J15" s="187"/>
      <c r="K15" s="364" t="str">
        <f t="shared" si="0"/>
        <v/>
      </c>
      <c r="L15" s="366"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188"/>
      <c r="N15" s="189"/>
      <c r="O15" s="379" t="s">
        <v>70</v>
      </c>
      <c r="P15" s="380"/>
      <c r="Q15" s="381">
        <f>Q13-Q14</f>
        <v>324.38</v>
      </c>
      <c r="R15" s="382"/>
      <c r="S15" s="384"/>
      <c r="T15" s="384"/>
      <c r="U15" s="384"/>
      <c r="V15" s="361"/>
    </row>
    <row r="16" spans="1:28" ht="21.95" customHeight="1" thickBot="1" x14ac:dyDescent="0.4">
      <c r="A16" s="363" t="s">
        <v>71</v>
      </c>
      <c r="B16" s="152"/>
      <c r="C16" s="153"/>
      <c r="D16" s="154"/>
      <c r="E16" s="155"/>
      <c r="F16" s="156"/>
      <c r="G16" s="364" t="str">
        <f>IF(OR(E16="",F16=""),"",PID_KVLohnLookup($A$1,E16,F16,LOHNTABELLE!$H$4))</f>
        <v/>
      </c>
      <c r="H16" s="365" t="str">
        <f>IF(AND(ISNUMBER(D16),ISNUMBER(F16)),ROUNDDOWN(MIN(IF(OR(ISBLANK(I16),I16=""),EOMONTH(DATE(EINSTELLUNG!$C$35,$A$1,1),0),I16)-MAX(D16,DATE(EINSTELLUNG!$C$35,$A$1,1))+1)/DAY(EOMONTH(DATE(EINSTELLUNG!$C$35,$A$1,1),0))*F16,2),"")</f>
        <v/>
      </c>
      <c r="I16" s="158"/>
      <c r="J16" s="165"/>
      <c r="K16" s="364" t="str">
        <f t="shared" si="0"/>
        <v/>
      </c>
      <c r="L16" s="366"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167"/>
      <c r="N16" s="168"/>
      <c r="O16" s="385" t="str">
        <f>IF(Q15&lt;0, "Schlecht! Zu wenig Stunden für Dienstplan.", IF(Q15&gt;0, "Du hast mehr als genug Stunden für Dienstplan.", ""))</f>
        <v>Du hast mehr als genug Stunden für Dienstplan.</v>
      </c>
      <c r="P16" s="386"/>
      <c r="Q16" s="386"/>
      <c r="R16" s="387"/>
      <c r="S16" s="388"/>
      <c r="T16" s="388"/>
      <c r="U16" s="388"/>
      <c r="V16" s="388"/>
      <c r="W16" s="389"/>
    </row>
    <row r="17" spans="1:29" ht="21.95" customHeight="1" x14ac:dyDescent="0.35">
      <c r="A17" s="363" t="s">
        <v>72</v>
      </c>
      <c r="B17" s="181"/>
      <c r="C17" s="182"/>
      <c r="D17" s="183"/>
      <c r="E17" s="184"/>
      <c r="F17" s="190"/>
      <c r="G17" s="364" t="str">
        <f>IF(OR(E17="",F17=""),"",PID_KVLohnLookup($A$1,E17,F17,LOHNTABELLE!$H$4))</f>
        <v/>
      </c>
      <c r="H17" s="365" t="str">
        <f>IF(AND(ISNUMBER(D17),ISNUMBER(F17)),ROUNDDOWN(MIN(IF(OR(ISBLANK(I17),I17=""),EOMONTH(DATE(EINSTELLUNG!$C$35,$A$1,1),0),I17)-MAX(D17,DATE(EINSTELLUNG!$C$35,$A$1,1))+1)/DAY(EOMONTH(DATE(EINSTELLUNG!$C$35,$A$1,1),0))*F17,2),"")</f>
        <v/>
      </c>
      <c r="I17" s="186"/>
      <c r="J17" s="187"/>
      <c r="K17" s="364" t="str">
        <f t="shared" si="0"/>
        <v/>
      </c>
      <c r="L17" s="366"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188"/>
      <c r="N17" s="189"/>
      <c r="O17" s="375" t="s">
        <v>73</v>
      </c>
      <c r="P17" s="376"/>
      <c r="Q17" s="390">
        <f>SUM(L3:L82)</f>
        <v>3868.38</v>
      </c>
      <c r="R17" s="391"/>
      <c r="S17" s="361"/>
      <c r="T17" s="361"/>
      <c r="U17" s="361"/>
      <c r="V17" s="361"/>
      <c r="W17" s="389"/>
    </row>
    <row r="18" spans="1:29" ht="21.95" customHeight="1" x14ac:dyDescent="0.35">
      <c r="A18" s="363" t="s">
        <v>74</v>
      </c>
      <c r="B18" s="152"/>
      <c r="C18" s="153"/>
      <c r="D18" s="154"/>
      <c r="E18" s="155"/>
      <c r="F18" s="156"/>
      <c r="G18" s="364" t="str">
        <f>IF(OR(E18="",F18=""),"",PID_KVLohnLookup($A$1,E18,F18,LOHNTABELLE!$H$4))</f>
        <v/>
      </c>
      <c r="H18" s="365" t="str">
        <f>IF(AND(ISNUMBER(D18),ISNUMBER(F18)),ROUNDDOWN(MIN(IF(OR(ISBLANK(I18),I18=""),EOMONTH(DATE(EINSTELLUNG!$C$35,$A$1,1),0),I18)-MAX(D18,DATE(EINSTELLUNG!$C$35,$A$1,1))+1)/DAY(EOMONTH(DATE(EINSTELLUNG!$C$35,$A$1,1),0))*F18,2),"")</f>
        <v/>
      </c>
      <c r="I18" s="158"/>
      <c r="J18" s="165"/>
      <c r="K18" s="364" t="str">
        <f t="shared" si="0"/>
        <v/>
      </c>
      <c r="L18" s="366"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167"/>
      <c r="N18" s="168"/>
      <c r="O18" s="472"/>
      <c r="P18" s="196"/>
      <c r="Q18" s="197"/>
      <c r="R18" s="198"/>
      <c r="S18" s="361"/>
      <c r="T18" s="361"/>
      <c r="U18" s="361"/>
      <c r="V18" s="361"/>
    </row>
    <row r="19" spans="1:29" ht="21.95" customHeight="1" x14ac:dyDescent="0.35">
      <c r="A19" s="363" t="s">
        <v>75</v>
      </c>
      <c r="B19" s="181"/>
      <c r="C19" s="182"/>
      <c r="D19" s="183"/>
      <c r="E19" s="184"/>
      <c r="F19" s="190"/>
      <c r="G19" s="364" t="str">
        <f>IF(OR(E19="",F19=""),"",PID_KVLohnLookup($A$1,E19,F19,LOHNTABELLE!$H$4))</f>
        <v/>
      </c>
      <c r="H19" s="365" t="str">
        <f>IF(AND(ISNUMBER(D19),ISNUMBER(F19)),ROUNDDOWN(MIN(IF(OR(ISBLANK(I19),I19=""),EOMONTH(DATE(EINSTELLUNG!$C$35,$A$1,1),0),I19)-MAX(D19,DATE(EINSTELLUNG!$C$35,$A$1,1))+1)/DAY(EOMONTH(DATE(EINSTELLUNG!$C$35,$A$1,1),0))*F19,2),"")</f>
        <v/>
      </c>
      <c r="I19" s="186"/>
      <c r="J19" s="187"/>
      <c r="K19" s="364" t="str">
        <f t="shared" si="0"/>
        <v/>
      </c>
      <c r="L19" s="366"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188"/>
      <c r="N19" s="189"/>
      <c r="O19" s="472"/>
      <c r="P19" s="196"/>
      <c r="Q19" s="197"/>
      <c r="R19" s="198"/>
      <c r="S19" s="361"/>
      <c r="T19" s="361"/>
      <c r="U19" s="361"/>
      <c r="V19" s="361"/>
    </row>
    <row r="20" spans="1:29" ht="21.95" customHeight="1" x14ac:dyDescent="0.35">
      <c r="A20" s="363" t="s">
        <v>76</v>
      </c>
      <c r="B20" s="152"/>
      <c r="C20" s="153"/>
      <c r="D20" s="154"/>
      <c r="E20" s="155"/>
      <c r="F20" s="156"/>
      <c r="G20" s="364" t="str">
        <f>IF(OR(E20="",F20=""),"",PID_KVLohnLookup($A$1,E20,F20,LOHNTABELLE!$H$4))</f>
        <v/>
      </c>
      <c r="H20" s="365" t="str">
        <f>IF(AND(ISNUMBER(D20),ISNUMBER(F20)),ROUNDDOWN(MIN(IF(OR(ISBLANK(I20),I20=""),EOMONTH(DATE(EINSTELLUNG!$C$35,$A$1,1),0),I20)-MAX(D20,DATE(EINSTELLUNG!$C$35,$A$1,1))+1)/DAY(EOMONTH(DATE(EINSTELLUNG!$C$35,$A$1,1),0))*F20,2),"")</f>
        <v/>
      </c>
      <c r="I20" s="158"/>
      <c r="J20" s="165"/>
      <c r="K20" s="364" t="str">
        <f t="shared" si="0"/>
        <v/>
      </c>
      <c r="L20" s="366"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167"/>
      <c r="N20" s="168"/>
      <c r="O20" s="472"/>
      <c r="P20" s="196"/>
      <c r="Q20" s="197"/>
      <c r="R20" s="198"/>
      <c r="S20" s="361"/>
      <c r="T20" s="361"/>
      <c r="U20" s="361"/>
      <c r="V20" s="361"/>
    </row>
    <row r="21" spans="1:29" ht="21.95" customHeight="1" x14ac:dyDescent="0.35">
      <c r="A21" s="363" t="s">
        <v>77</v>
      </c>
      <c r="B21" s="181"/>
      <c r="C21" s="182"/>
      <c r="D21" s="183"/>
      <c r="E21" s="184"/>
      <c r="F21" s="190"/>
      <c r="G21" s="364" t="str">
        <f>IF(OR(E21="",F21=""),"",PID_KVLohnLookup($A$1,E21,F21,LOHNTABELLE!$H$4))</f>
        <v/>
      </c>
      <c r="H21" s="365" t="str">
        <f>IF(AND(ISNUMBER(D21),ISNUMBER(F21)),ROUNDDOWN(MIN(IF(OR(ISBLANK(I21),I21=""),EOMONTH(DATE(EINSTELLUNG!$C$35,$A$1,1),0),I21)-MAX(D21,DATE(EINSTELLUNG!$C$35,$A$1,1))+1)/DAY(EOMONTH(DATE(EINSTELLUNG!$C$35,$A$1,1),0))*F21,2),"")</f>
        <v/>
      </c>
      <c r="I21" s="186"/>
      <c r="J21" s="187"/>
      <c r="K21" s="364" t="str">
        <f t="shared" si="0"/>
        <v/>
      </c>
      <c r="L21" s="366"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188"/>
      <c r="N21" s="189"/>
      <c r="O21" s="472"/>
      <c r="P21" s="196"/>
      <c r="Q21" s="197"/>
      <c r="R21" s="198"/>
      <c r="S21" s="361"/>
      <c r="T21" s="361"/>
      <c r="U21" s="361"/>
      <c r="V21" s="361"/>
    </row>
    <row r="22" spans="1:29" ht="21.95" customHeight="1" x14ac:dyDescent="0.35">
      <c r="A22" s="363" t="s">
        <v>78</v>
      </c>
      <c r="B22" s="152"/>
      <c r="C22" s="153"/>
      <c r="D22" s="154"/>
      <c r="E22" s="155"/>
      <c r="F22" s="156"/>
      <c r="G22" s="364" t="str">
        <f>IF(OR(E22="",F22=""),"",PID_KVLohnLookup($A$1,E22,F22,LOHNTABELLE!$H$4))</f>
        <v/>
      </c>
      <c r="H22" s="365" t="str">
        <f>IF(AND(ISNUMBER(D22),ISNUMBER(F22)),ROUNDDOWN(MIN(IF(OR(ISBLANK(I22),I22=""),EOMONTH(DATE(EINSTELLUNG!$C$35,$A$1,1),0),I22)-MAX(D22,DATE(EINSTELLUNG!$C$35,$A$1,1))+1)/DAY(EOMONTH(DATE(EINSTELLUNG!$C$35,$A$1,1),0))*F22,2),"")</f>
        <v/>
      </c>
      <c r="I22" s="158"/>
      <c r="J22" s="165"/>
      <c r="K22" s="364" t="str">
        <f t="shared" si="0"/>
        <v/>
      </c>
      <c r="L22" s="366"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167"/>
      <c r="N22" s="168"/>
      <c r="O22" s="472"/>
      <c r="P22" s="196"/>
      <c r="Q22" s="197"/>
      <c r="R22" s="198"/>
      <c r="S22" s="361"/>
      <c r="T22" s="361"/>
      <c r="U22" s="361"/>
      <c r="V22" s="361"/>
    </row>
    <row r="23" spans="1:29" ht="21.95" customHeight="1" x14ac:dyDescent="0.35">
      <c r="A23" s="363" t="s">
        <v>79</v>
      </c>
      <c r="B23" s="181"/>
      <c r="C23" s="182"/>
      <c r="D23" s="183"/>
      <c r="E23" s="184"/>
      <c r="F23" s="190"/>
      <c r="G23" s="364" t="str">
        <f>IF(OR(E23="",F23=""),"",PID_KVLohnLookup($A$1,E23,F23,LOHNTABELLE!$H$4))</f>
        <v/>
      </c>
      <c r="H23" s="365" t="str">
        <f>IF(AND(ISNUMBER(D23),ISNUMBER(F23)),ROUNDDOWN(MIN(IF(OR(ISBLANK(I23),I23=""),EOMONTH(DATE(EINSTELLUNG!$C$35,$A$1,1),0),I23)-MAX(D23,DATE(EINSTELLUNG!$C$35,$A$1,1))+1)/DAY(EOMONTH(DATE(EINSTELLUNG!$C$35,$A$1,1),0))*F23,2),"")</f>
        <v/>
      </c>
      <c r="I23" s="186"/>
      <c r="J23" s="187"/>
      <c r="K23" s="364" t="str">
        <f t="shared" si="0"/>
        <v/>
      </c>
      <c r="L23" s="366"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188"/>
      <c r="N23" s="189"/>
      <c r="O23" s="472"/>
      <c r="P23" s="196"/>
      <c r="Q23" s="197"/>
      <c r="R23" s="198"/>
      <c r="S23" s="361"/>
      <c r="T23" s="361"/>
      <c r="U23" s="361"/>
      <c r="V23" s="361"/>
      <c r="W23" s="389"/>
    </row>
    <row r="24" spans="1:29" ht="21.95" customHeight="1" x14ac:dyDescent="0.35">
      <c r="A24" s="363" t="s">
        <v>80</v>
      </c>
      <c r="B24" s="152"/>
      <c r="C24" s="153"/>
      <c r="D24" s="154"/>
      <c r="E24" s="155"/>
      <c r="F24" s="156"/>
      <c r="G24" s="364" t="str">
        <f>IF(OR(E24="",F24=""),"",PID_KVLohnLookup($A$1,E24,F24,LOHNTABELLE!$H$4))</f>
        <v/>
      </c>
      <c r="H24" s="365" t="str">
        <f>IF(AND(ISNUMBER(D24),ISNUMBER(F24)),ROUNDDOWN(MIN(IF(OR(ISBLANK(I24),I24=""),EOMONTH(DATE(EINSTELLUNG!$C$35,$A$1,1),0),I24)-MAX(D24,DATE(EINSTELLUNG!$C$35,$A$1,1))+1)/DAY(EOMONTH(DATE(EINSTELLUNG!$C$35,$A$1,1),0))*F24,2),"")</f>
        <v/>
      </c>
      <c r="I24" s="158"/>
      <c r="J24" s="165"/>
      <c r="K24" s="364" t="str">
        <f t="shared" si="0"/>
        <v/>
      </c>
      <c r="L24" s="366"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167"/>
      <c r="N24" s="168"/>
      <c r="O24" s="472"/>
      <c r="P24" s="196"/>
      <c r="Q24" s="197"/>
      <c r="R24" s="198"/>
      <c r="S24" s="361"/>
      <c r="T24" s="361"/>
      <c r="U24" s="361"/>
      <c r="V24" s="361"/>
      <c r="W24" s="389"/>
    </row>
    <row r="25" spans="1:29" ht="21.95" customHeight="1" x14ac:dyDescent="0.35">
      <c r="A25" s="363" t="s">
        <v>81</v>
      </c>
      <c r="B25" s="181"/>
      <c r="C25" s="182"/>
      <c r="D25" s="183"/>
      <c r="E25" s="184"/>
      <c r="F25" s="190"/>
      <c r="G25" s="364" t="str">
        <f>IF(OR(E25="",F25=""),"",PID_KVLohnLookup($A$1,E25,F25,LOHNTABELLE!$H$4))</f>
        <v/>
      </c>
      <c r="H25" s="365" t="str">
        <f>IF(AND(ISNUMBER(D25),ISNUMBER(F25)),ROUNDDOWN(MIN(IF(OR(ISBLANK(I25),I25=""),EOMONTH(DATE(EINSTELLUNG!$C$35,$A$1,1),0),I25)-MAX(D25,DATE(EINSTELLUNG!$C$35,$A$1,1))+1)/DAY(EOMONTH(DATE(EINSTELLUNG!$C$35,$A$1,1),0))*F25,2),"")</f>
        <v/>
      </c>
      <c r="I25" s="186"/>
      <c r="J25" s="187"/>
      <c r="K25" s="364" t="str">
        <f t="shared" si="0"/>
        <v/>
      </c>
      <c r="L25" s="366"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188"/>
      <c r="N25" s="189"/>
      <c r="O25" s="472"/>
      <c r="P25" s="196"/>
      <c r="Q25" s="197"/>
      <c r="R25" s="198"/>
      <c r="S25" s="361"/>
      <c r="T25" s="361"/>
      <c r="U25" s="361"/>
      <c r="V25" s="361"/>
    </row>
    <row r="26" spans="1:29" ht="21.95" customHeight="1" x14ac:dyDescent="0.35">
      <c r="A26" s="363" t="s">
        <v>82</v>
      </c>
      <c r="B26" s="152"/>
      <c r="C26" s="153"/>
      <c r="D26" s="154"/>
      <c r="E26" s="155"/>
      <c r="F26" s="156"/>
      <c r="G26" s="364" t="str">
        <f>IF(OR(E26="",F26=""),"",PID_KVLohnLookup($A$1,E26,F26,LOHNTABELLE!$H$4))</f>
        <v/>
      </c>
      <c r="H26" s="365" t="str">
        <f>IF(AND(ISNUMBER(D26),ISNUMBER(F26)),ROUNDDOWN(MIN(IF(OR(ISBLANK(I26),I26=""),EOMONTH(DATE(EINSTELLUNG!$C$35,$A$1,1),0),I26)-MAX(D26,DATE(EINSTELLUNG!$C$35,$A$1,1))+1)/DAY(EOMONTH(DATE(EINSTELLUNG!$C$35,$A$1,1),0))*F26,2),"")</f>
        <v/>
      </c>
      <c r="I26" s="158"/>
      <c r="J26" s="165"/>
      <c r="K26" s="364" t="str">
        <f t="shared" si="0"/>
        <v/>
      </c>
      <c r="L26" s="366"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167"/>
      <c r="N26" s="168"/>
      <c r="O26" s="195"/>
      <c r="P26" s="196"/>
      <c r="Q26" s="197"/>
      <c r="R26" s="198"/>
      <c r="S26" s="361"/>
      <c r="T26" s="361"/>
      <c r="U26" s="361"/>
      <c r="V26" s="361"/>
    </row>
    <row r="27" spans="1:29" ht="21.95" customHeight="1" x14ac:dyDescent="0.35">
      <c r="A27" s="363" t="s">
        <v>83</v>
      </c>
      <c r="B27" s="181"/>
      <c r="C27" s="182"/>
      <c r="D27" s="183"/>
      <c r="E27" s="184"/>
      <c r="F27" s="190"/>
      <c r="G27" s="364" t="str">
        <f>IF(OR(E27="",F27=""),"",PID_KVLohnLookup($A$1,E27,F27,LOHNTABELLE!$H$4))</f>
        <v/>
      </c>
      <c r="H27" s="365" t="str">
        <f>IF(AND(ISNUMBER(D27),ISNUMBER(F27)),ROUNDDOWN(MIN(IF(OR(ISBLANK(I27),I27=""),EOMONTH(DATE(EINSTELLUNG!$C$35,$A$1,1),0),I27)-MAX(D27,DATE(EINSTELLUNG!$C$35,$A$1,1))+1)/DAY(EOMONTH(DATE(EINSTELLUNG!$C$35,$A$1,1),0))*F27,2),"")</f>
        <v/>
      </c>
      <c r="I27" s="186"/>
      <c r="J27" s="187"/>
      <c r="K27" s="364" t="str">
        <f t="shared" si="0"/>
        <v/>
      </c>
      <c r="L27" s="366"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188"/>
      <c r="N27" s="189"/>
      <c r="O27" s="195"/>
      <c r="P27" s="196"/>
      <c r="Q27" s="197"/>
      <c r="R27" s="198"/>
      <c r="S27" s="392" t="s">
        <v>84</v>
      </c>
      <c r="T27" s="392"/>
      <c r="U27" s="392"/>
      <c r="V27" s="392"/>
    </row>
    <row r="28" spans="1:29" ht="21.95" customHeight="1" x14ac:dyDescent="0.35">
      <c r="A28" s="363" t="s">
        <v>85</v>
      </c>
      <c r="B28" s="152"/>
      <c r="C28" s="153"/>
      <c r="D28" s="154"/>
      <c r="E28" s="155"/>
      <c r="F28" s="156"/>
      <c r="G28" s="364" t="str">
        <f>IF(OR(E28="",F28=""),"",PID_KVLohnLookup($A$1,E28,F28,LOHNTABELLE!$H$4))</f>
        <v/>
      </c>
      <c r="H28" s="365" t="str">
        <f>IF(AND(ISNUMBER(D28),ISNUMBER(F28)),ROUNDDOWN(MIN(IF(OR(ISBLANK(I28),I28=""),EOMONTH(DATE(EINSTELLUNG!$C$35,$A$1,1),0),I28)-MAX(D28,DATE(EINSTELLUNG!$C$35,$A$1,1))+1)/DAY(EOMONTH(DATE(EINSTELLUNG!$C$35,$A$1,1),0))*F28,2),"")</f>
        <v/>
      </c>
      <c r="I28" s="158"/>
      <c r="J28" s="165"/>
      <c r="K28" s="364" t="str">
        <f t="shared" si="0"/>
        <v/>
      </c>
      <c r="L28" s="366"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167"/>
      <c r="N28" s="168"/>
      <c r="O28" s="195"/>
      <c r="P28" s="196"/>
      <c r="Q28" s="197"/>
      <c r="R28" s="198"/>
      <c r="S28" s="361"/>
      <c r="T28" s="361"/>
      <c r="U28" s="361"/>
      <c r="V28" s="361"/>
    </row>
    <row r="29" spans="1:29" ht="21.95" customHeight="1" thickBot="1" x14ac:dyDescent="0.4">
      <c r="A29" s="363" t="s">
        <v>86</v>
      </c>
      <c r="B29" s="181"/>
      <c r="C29" s="182"/>
      <c r="D29" s="183"/>
      <c r="E29" s="184"/>
      <c r="F29" s="190"/>
      <c r="G29" s="364" t="str">
        <f>IF(OR(E29="",F29=""),"",PID_KVLohnLookup($A$1,E29,F29,LOHNTABELLE!$H$4))</f>
        <v/>
      </c>
      <c r="H29" s="365" t="str">
        <f>IF(AND(ISNUMBER(D29),ISNUMBER(F29)),ROUNDDOWN(MIN(IF(OR(ISBLANK(I29),I29=""),EOMONTH(DATE(EINSTELLUNG!$C$35,$A$1,1),0),I29)-MAX(D29,DATE(EINSTELLUNG!$C$35,$A$1,1))+1)/DAY(EOMONTH(DATE(EINSTELLUNG!$C$35,$A$1,1),0))*F29,2),"")</f>
        <v/>
      </c>
      <c r="I29" s="186"/>
      <c r="J29" s="187"/>
      <c r="K29" s="364" t="str">
        <f t="shared" si="0"/>
        <v/>
      </c>
      <c r="L29" s="366"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188"/>
      <c r="N29" s="189"/>
      <c r="O29" s="393" t="s">
        <v>87</v>
      </c>
      <c r="P29" s="394"/>
      <c r="Q29" s="395">
        <f>EINSTELLUNG!O8</f>
        <v>0</v>
      </c>
      <c r="R29" s="396"/>
      <c r="S29" s="361"/>
      <c r="T29" s="361"/>
      <c r="U29" s="361"/>
      <c r="V29" s="361"/>
    </row>
    <row r="30" spans="1:29" ht="21.95" customHeight="1" thickBot="1" x14ac:dyDescent="0.4">
      <c r="A30" s="363" t="s">
        <v>88</v>
      </c>
      <c r="B30" s="152"/>
      <c r="C30" s="153"/>
      <c r="D30" s="154"/>
      <c r="E30" s="155"/>
      <c r="F30" s="156"/>
      <c r="G30" s="364" t="str">
        <f>IF(OR(E30="",F30=""),"",PID_KVLohnLookup($A$1,E30,F30,LOHNTABELLE!$H$4))</f>
        <v/>
      </c>
      <c r="H30" s="365" t="str">
        <f>IF(AND(ISNUMBER(D30),ISNUMBER(F30)),ROUNDDOWN(MIN(IF(OR(ISBLANK(I30),I30=""),EOMONTH(DATE(EINSTELLUNG!$C$35,$A$1,1),0),I30)-MAX(D30,DATE(EINSTELLUNG!$C$35,$A$1,1))+1)/DAY(EOMONTH(DATE(EINSTELLUNG!$C$35,$A$1,1),0))*F30,2),"")</f>
        <v/>
      </c>
      <c r="I30" s="158"/>
      <c r="J30" s="165"/>
      <c r="K30" s="364" t="str">
        <f t="shared" si="0"/>
        <v/>
      </c>
      <c r="L30" s="366"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167"/>
      <c r="N30" s="168"/>
      <c r="O30" s="361"/>
      <c r="P30" s="361"/>
      <c r="Q30" s="361"/>
      <c r="R30" s="361"/>
      <c r="S30" s="361"/>
      <c r="T30" s="361"/>
      <c r="U30" s="361"/>
      <c r="V30" s="361"/>
      <c r="W30" s="397"/>
      <c r="X30" s="397"/>
      <c r="Y30" s="397"/>
      <c r="Z30" s="397"/>
      <c r="AA30" s="397"/>
      <c r="AB30" s="397"/>
      <c r="AC30" s="397"/>
    </row>
    <row r="31" spans="1:29" ht="21.95" customHeight="1" thickBot="1" x14ac:dyDescent="0.4">
      <c r="A31" s="363" t="s">
        <v>89</v>
      </c>
      <c r="B31" s="181"/>
      <c r="C31" s="182"/>
      <c r="D31" s="183"/>
      <c r="E31" s="184"/>
      <c r="F31" s="190"/>
      <c r="G31" s="364" t="str">
        <f>IF(OR(E31="",F31=""),"",PID_KVLohnLookup($A$1,E31,F31,LOHNTABELLE!$H$4))</f>
        <v/>
      </c>
      <c r="H31" s="365" t="str">
        <f>IF(AND(ISNUMBER(D31),ISNUMBER(F31)),ROUNDDOWN(MIN(IF(OR(ISBLANK(I31),I31=""),EOMONTH(DATE(EINSTELLUNG!$C$35,$A$1,1),0),I31)-MAX(D31,DATE(EINSTELLUNG!$C$35,$A$1,1))+1)/DAY(EOMONTH(DATE(EINSTELLUNG!$C$35,$A$1,1),0))*F31,2),"")</f>
        <v/>
      </c>
      <c r="I31" s="186"/>
      <c r="J31" s="187"/>
      <c r="K31" s="364" t="str">
        <f t="shared" si="0"/>
        <v/>
      </c>
      <c r="L31" s="366"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188"/>
      <c r="N31" s="189"/>
      <c r="O31" s="398" t="s">
        <v>321</v>
      </c>
      <c r="P31" s="399"/>
      <c r="Q31" s="400">
        <v>0</v>
      </c>
      <c r="R31" s="401"/>
      <c r="S31" s="361"/>
      <c r="T31" s="361"/>
      <c r="U31" s="361"/>
      <c r="V31" s="361"/>
    </row>
    <row r="32" spans="1:29" ht="21.95" customHeight="1" thickBot="1" x14ac:dyDescent="0.4">
      <c r="A32" s="363" t="s">
        <v>91</v>
      </c>
      <c r="B32" s="152"/>
      <c r="C32" s="153"/>
      <c r="D32" s="154"/>
      <c r="E32" s="155"/>
      <c r="F32" s="156"/>
      <c r="G32" s="364" t="str">
        <f>IF(OR(E32="",F32=""),"",PID_KVLohnLookup($A$1,E32,F32,LOHNTABELLE!$H$4))</f>
        <v/>
      </c>
      <c r="H32" s="365" t="str">
        <f>IF(AND(ISNUMBER(D32),ISNUMBER(F32)),ROUNDDOWN(MIN(IF(OR(ISBLANK(I32),I32=""),EOMONTH(DATE(EINSTELLUNG!$C$35,$A$1,1),0),I32)-MAX(D32,DATE(EINSTELLUNG!$C$35,$A$1,1))+1)/DAY(EOMONTH(DATE(EINSTELLUNG!$C$35,$A$1,1),0))*F32,2),"")</f>
        <v/>
      </c>
      <c r="I32" s="158"/>
      <c r="J32" s="165"/>
      <c r="K32" s="364" t="str">
        <f t="shared" si="0"/>
        <v/>
      </c>
      <c r="L32" s="366"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167"/>
      <c r="N32" s="168"/>
      <c r="O32" s="361"/>
      <c r="P32" s="361"/>
      <c r="Q32" s="361"/>
      <c r="R32" s="361"/>
      <c r="S32" s="361"/>
      <c r="T32" s="361"/>
      <c r="U32" s="361"/>
      <c r="V32" s="361"/>
    </row>
    <row r="33" spans="1:22" ht="21.95" customHeight="1" x14ac:dyDescent="0.35">
      <c r="A33" s="363" t="s">
        <v>92</v>
      </c>
      <c r="B33" s="181"/>
      <c r="C33" s="182"/>
      <c r="D33" s="183"/>
      <c r="E33" s="184"/>
      <c r="F33" s="190"/>
      <c r="G33" s="364" t="str">
        <f>IF(OR(E33="",F33=""),"",PID_KVLohnLookup($A$1,E33,F33,LOHNTABELLE!$H$4))</f>
        <v/>
      </c>
      <c r="H33" s="365" t="str">
        <f>IF(AND(ISNUMBER(D33),ISNUMBER(F33)),ROUNDDOWN(MIN(IF(OR(ISBLANK(I33),I33=""),EOMONTH(DATE(EINSTELLUNG!$C$35,$A$1,1),0),I33)-MAX(D33,DATE(EINSTELLUNG!$C$35,$A$1,1))+1)/DAY(EOMONTH(DATE(EINSTELLUNG!$C$35,$A$1,1),0))*F33,2),"")</f>
        <v/>
      </c>
      <c r="I33" s="186"/>
      <c r="J33" s="187"/>
      <c r="K33" s="364" t="str">
        <f t="shared" si="0"/>
        <v/>
      </c>
      <c r="L33" s="366"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188"/>
      <c r="N33" s="189"/>
      <c r="O33" s="402"/>
      <c r="P33" s="403"/>
      <c r="Q33" s="346" t="str">
        <f>EINSTELLUNG!B3</f>
        <v>Budget</v>
      </c>
      <c r="R33" s="346"/>
      <c r="S33" s="346" t="str">
        <f>EINSTELLUNG!B19</f>
        <v>Projection/Aktuell Zahlen</v>
      </c>
      <c r="T33" s="346"/>
      <c r="U33" s="346" t="s">
        <v>95</v>
      </c>
      <c r="V33" s="347"/>
    </row>
    <row r="34" spans="1:22" ht="21.95" customHeight="1" x14ac:dyDescent="0.35">
      <c r="A34" s="363" t="s">
        <v>96</v>
      </c>
      <c r="B34" s="152"/>
      <c r="C34" s="153"/>
      <c r="D34" s="154"/>
      <c r="E34" s="155"/>
      <c r="F34" s="156"/>
      <c r="G34" s="364" t="str">
        <f>IF(OR(E34="",F34=""),"",PID_KVLohnLookup($A$1,E34,F34,LOHNTABELLE!$H$4))</f>
        <v/>
      </c>
      <c r="H34" s="365" t="str">
        <f>IF(AND(ISNUMBER(D34),ISNUMBER(F34)),ROUNDDOWN(MIN(IF(OR(ISBLANK(I34),I34=""),EOMONTH(DATE(EINSTELLUNG!$C$35,$A$1,1),0),I34)-MAX(D34,DATE(EINSTELLUNG!$C$35,$A$1,1))+1)/DAY(EOMONTH(DATE(EINSTELLUNG!$C$35,$A$1,1),0))*F34,2),"")</f>
        <v/>
      </c>
      <c r="I34" s="158"/>
      <c r="J34" s="165"/>
      <c r="K34" s="364" t="str">
        <f t="shared" si="0"/>
        <v/>
      </c>
      <c r="L34" s="366"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167"/>
      <c r="N34" s="168"/>
      <c r="O34" s="404"/>
      <c r="P34" s="405"/>
      <c r="Q34" s="406"/>
      <c r="R34" s="406"/>
      <c r="S34" s="406"/>
      <c r="T34" s="406"/>
      <c r="U34" s="406"/>
      <c r="V34" s="407"/>
    </row>
    <row r="35" spans="1:22" ht="21.95" customHeight="1" x14ac:dyDescent="0.35">
      <c r="A35" s="363" t="s">
        <v>97</v>
      </c>
      <c r="B35" s="181"/>
      <c r="C35" s="182"/>
      <c r="D35" s="183"/>
      <c r="E35" s="184"/>
      <c r="F35" s="190"/>
      <c r="G35" s="364" t="str">
        <f>IF(OR(E35="",F35=""),"",PID_KVLohnLookup($A$1,E35,F35,LOHNTABELLE!$H$4))</f>
        <v/>
      </c>
      <c r="H35" s="365" t="str">
        <f>IF(AND(ISNUMBER(D35),ISNUMBER(F35)),ROUNDDOWN(MIN(IF(OR(ISBLANK(I35),I35=""),EOMONTH(DATE(EINSTELLUNG!$C$35,$A$1,1),0),I35)-MAX(D35,DATE(EINSTELLUNG!$C$35,$A$1,1))+1)/DAY(EOMONTH(DATE(EINSTELLUNG!$C$35,$A$1,1),0))*F35,2),"")</f>
        <v/>
      </c>
      <c r="I35" s="186"/>
      <c r="J35" s="187"/>
      <c r="K35" s="364" t="str">
        <f t="shared" ref="K35:K66" si="1">IF(OR(B35="",C35=""),"",IFERROR(IF(OR(MONTH(D35)=1,MONTH(D35)=3,MONTH(D35)=5,MONTH(D35)=7,MONTH(D35)=8,MONTH(D35)=10,MONTH(D35)=12),(G35/31)*J35,IF(OR(MONTH(D35)=4,MONTH(D35)=6,MONTH(D35)=9,MONTH(D35)=11),(G35/30)*J35,(G35/DAY(EOMONTH(D35,0)))*J35)),0))</f>
        <v/>
      </c>
      <c r="L35" s="366"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188"/>
      <c r="N35" s="189"/>
      <c r="O35" s="379" t="s">
        <v>98</v>
      </c>
      <c r="P35" s="380"/>
      <c r="Q35" s="408">
        <f>EINSTELLUNG!C8</f>
        <v>0</v>
      </c>
      <c r="R35" s="408"/>
      <c r="S35" s="408">
        <f>EINSTELLUNG!C24</f>
        <v>0</v>
      </c>
      <c r="T35" s="408"/>
      <c r="U35" s="408">
        <f>S35-Q35</f>
        <v>0</v>
      </c>
      <c r="V35" s="409"/>
    </row>
    <row r="36" spans="1:22" ht="21.95" customHeight="1" x14ac:dyDescent="0.35">
      <c r="A36" s="363" t="s">
        <v>99</v>
      </c>
      <c r="B36" s="152"/>
      <c r="C36" s="153"/>
      <c r="D36" s="154"/>
      <c r="E36" s="155"/>
      <c r="F36" s="156"/>
      <c r="G36" s="364" t="str">
        <f>IF(OR(E36="",F36=""),"",PID_KVLohnLookup($A$1,E36,F36,LOHNTABELLE!$H$4))</f>
        <v/>
      </c>
      <c r="H36" s="365" t="str">
        <f>IF(AND(ISNUMBER(D36),ISNUMBER(F36)),ROUNDDOWN(MIN(IF(OR(ISBLANK(I36),I36=""),EOMONTH(DATE(EINSTELLUNG!$C$35,$A$1,1),0),I36)-MAX(D36,DATE(EINSTELLUNG!$C$35,$A$1,1))+1)/DAY(EOMONTH(DATE(EINSTELLUNG!$C$35,$A$1,1),0))*F36,2),"")</f>
        <v/>
      </c>
      <c r="I36" s="158"/>
      <c r="J36" s="165"/>
      <c r="K36" s="364" t="str">
        <f t="shared" si="1"/>
        <v/>
      </c>
      <c r="L36" s="366"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167"/>
      <c r="N36" s="168"/>
      <c r="O36" s="379" t="s">
        <v>100</v>
      </c>
      <c r="P36" s="380"/>
      <c r="Q36" s="408">
        <f>EINSTELLUNG!D8</f>
        <v>0</v>
      </c>
      <c r="R36" s="408"/>
      <c r="S36" s="408">
        <f ca="1">SumMergedCells(Q17:R29)</f>
        <v>3868.38</v>
      </c>
      <c r="T36" s="408"/>
      <c r="U36" s="408">
        <f t="shared" ref="U36:U41" ca="1" si="2">S36-Q36</f>
        <v>3868.38</v>
      </c>
      <c r="V36" s="409"/>
    </row>
    <row r="37" spans="1:22" ht="21.95" customHeight="1" x14ac:dyDescent="0.35">
      <c r="A37" s="363" t="s">
        <v>101</v>
      </c>
      <c r="B37" s="181"/>
      <c r="C37" s="182"/>
      <c r="D37" s="183"/>
      <c r="E37" s="184"/>
      <c r="F37" s="190"/>
      <c r="G37" s="364" t="str">
        <f>IF(OR(E37="",F37=""),"",PID_KVLohnLookup($A$1,E37,F37,LOHNTABELLE!$H$4))</f>
        <v/>
      </c>
      <c r="H37" s="365" t="str">
        <f>IF(AND(ISNUMBER(D37),ISNUMBER(F37)),ROUNDDOWN(MIN(IF(OR(ISBLANK(I37),I37=""),EOMONTH(DATE(EINSTELLUNG!$C$35,$A$1,1),0),I37)-MAX(D37,DATE(EINSTELLUNG!$C$35,$A$1,1))+1)/DAY(EOMONTH(DATE(EINSTELLUNG!$C$35,$A$1,1),0))*F37,2),"")</f>
        <v/>
      </c>
      <c r="I37" s="186"/>
      <c r="J37" s="187"/>
      <c r="K37" s="364" t="str">
        <f t="shared" si="1"/>
        <v/>
      </c>
      <c r="L37" s="366"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188"/>
      <c r="N37" s="189"/>
      <c r="O37" s="379" t="s">
        <v>102</v>
      </c>
      <c r="P37" s="380"/>
      <c r="Q37" s="410">
        <f>IF(ISERROR(Q36/Q35), 0, Q36/Q35)</f>
        <v>0</v>
      </c>
      <c r="R37" s="410"/>
      <c r="S37" s="410">
        <f ca="1">IF(ISERROR(S36/S35), 0, S36/S35)</f>
        <v>0</v>
      </c>
      <c r="T37" s="410"/>
      <c r="U37" s="410">
        <f t="shared" ca="1" si="2"/>
        <v>0</v>
      </c>
      <c r="V37" s="411"/>
    </row>
    <row r="38" spans="1:22" ht="21.95" customHeight="1" x14ac:dyDescent="0.35">
      <c r="A38" s="363" t="s">
        <v>103</v>
      </c>
      <c r="B38" s="152"/>
      <c r="C38" s="153"/>
      <c r="D38" s="154"/>
      <c r="E38" s="155"/>
      <c r="F38" s="156"/>
      <c r="G38" s="364" t="str">
        <f>IF(OR(E38="",F38=""),"",PID_KVLohnLookup($A$1,E38,F38,LOHNTABELLE!$H$4))</f>
        <v/>
      </c>
      <c r="H38" s="365" t="str">
        <f>IF(AND(ISNUMBER(D38),ISNUMBER(F38)),ROUNDDOWN(MIN(IF(OR(ISBLANK(I38),I38=""),EOMONTH(DATE(EINSTELLUNG!$C$35,$A$1,1),0),I38)-MAX(D38,DATE(EINSTELLUNG!$C$35,$A$1,1))+1)/DAY(EOMONTH(DATE(EINSTELLUNG!$C$35,$A$1,1),0))*F38,2),"")</f>
        <v/>
      </c>
      <c r="I38" s="158"/>
      <c r="J38" s="165"/>
      <c r="K38" s="364" t="str">
        <f t="shared" si="1"/>
        <v/>
      </c>
      <c r="L38" s="366"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167"/>
      <c r="N38" s="168"/>
      <c r="O38" s="379" t="s">
        <v>104</v>
      </c>
      <c r="P38" s="380"/>
      <c r="Q38" s="381">
        <f>EINSTELLUNG!F8</f>
        <v>0</v>
      </c>
      <c r="R38" s="381"/>
      <c r="S38" s="381">
        <f>EINSTELLUNG!F24</f>
        <v>0</v>
      </c>
      <c r="T38" s="381"/>
      <c r="U38" s="381">
        <f t="shared" si="2"/>
        <v>0</v>
      </c>
      <c r="V38" s="382"/>
    </row>
    <row r="39" spans="1:22" ht="21.95" customHeight="1" x14ac:dyDescent="0.35">
      <c r="A39" s="363" t="s">
        <v>105</v>
      </c>
      <c r="B39" s="181"/>
      <c r="C39" s="182"/>
      <c r="D39" s="183"/>
      <c r="E39" s="184"/>
      <c r="F39" s="190"/>
      <c r="G39" s="364" t="str">
        <f>IF(OR(E39="",F39=""),"",PID_KVLohnLookup($A$1,E39,F39,LOHNTABELLE!$H$4))</f>
        <v/>
      </c>
      <c r="H39" s="365" t="str">
        <f>IF(AND(ISNUMBER(D39),ISNUMBER(F39)),ROUNDDOWN(MIN(IF(OR(ISBLANK(I39),I39=""),EOMONTH(DATE(EINSTELLUNG!$C$35,$A$1,1),0),I39)-MAX(D39,DATE(EINSTELLUNG!$C$35,$A$1,1))+1)/DAY(EOMONTH(DATE(EINSTELLUNG!$C$35,$A$1,1),0))*F39,2),"")</f>
        <v/>
      </c>
      <c r="I39" s="186"/>
      <c r="J39" s="187"/>
      <c r="K39" s="364" t="str">
        <f t="shared" si="1"/>
        <v/>
      </c>
      <c r="L39" s="366"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188"/>
      <c r="N39" s="189"/>
      <c r="O39" s="379" t="s">
        <v>106</v>
      </c>
      <c r="P39" s="380"/>
      <c r="Q39" s="408">
        <f>IF(Q38=0, 0, Q35/Q38)</f>
        <v>0</v>
      </c>
      <c r="R39" s="408"/>
      <c r="S39" s="408">
        <f>IF(S38=0, 0, S35/S38)</f>
        <v>0</v>
      </c>
      <c r="T39" s="408"/>
      <c r="U39" s="408">
        <f t="shared" si="2"/>
        <v>0</v>
      </c>
      <c r="V39" s="409"/>
    </row>
    <row r="40" spans="1:22" ht="21.95" customHeight="1" x14ac:dyDescent="0.35">
      <c r="A40" s="363" t="s">
        <v>107</v>
      </c>
      <c r="B40" s="152"/>
      <c r="C40" s="153"/>
      <c r="D40" s="154"/>
      <c r="E40" s="155"/>
      <c r="F40" s="156"/>
      <c r="G40" s="364" t="str">
        <f>IF(OR(E40="",F40=""),"",PID_KVLohnLookup($A$1,E40,F40,LOHNTABELLE!$H$4))</f>
        <v/>
      </c>
      <c r="H40" s="365" t="str">
        <f>IF(AND(ISNUMBER(D40),ISNUMBER(F40)),ROUNDDOWN(MIN(IF(OR(ISBLANK(I40),I40=""),EOMONTH(DATE(EINSTELLUNG!$C$35,$A$1,1),0),I40)-MAX(D40,DATE(EINSTELLUNG!$C$35,$A$1,1))+1)/DAY(EOMONTH(DATE(EINSTELLUNG!$C$35,$A$1,1),0))*F40,2),"")</f>
        <v/>
      </c>
      <c r="I40" s="158"/>
      <c r="J40" s="165"/>
      <c r="K40" s="364" t="str">
        <f t="shared" si="1"/>
        <v/>
      </c>
      <c r="L40" s="366"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167"/>
      <c r="N40" s="168"/>
      <c r="O40" s="379" t="s">
        <v>108</v>
      </c>
      <c r="P40" s="380"/>
      <c r="Q40" s="408">
        <f>IF(Q13=0, 0, Q35/Q13)</f>
        <v>0</v>
      </c>
      <c r="R40" s="408"/>
      <c r="S40" s="408">
        <f>IF(Q13=0, 0, S35/Q13)</f>
        <v>0</v>
      </c>
      <c r="T40" s="408"/>
      <c r="U40" s="408">
        <f t="shared" si="2"/>
        <v>0</v>
      </c>
      <c r="V40" s="409"/>
    </row>
    <row r="41" spans="1:22" ht="21.95" customHeight="1" x14ac:dyDescent="0.35">
      <c r="A41" s="363" t="s">
        <v>109</v>
      </c>
      <c r="B41" s="181"/>
      <c r="C41" s="182"/>
      <c r="D41" s="183"/>
      <c r="E41" s="184"/>
      <c r="F41" s="190"/>
      <c r="G41" s="364" t="str">
        <f>IF(OR(E41="",F41=""),"",PID_KVLohnLookup($A$1,E41,F41,LOHNTABELLE!$H$4))</f>
        <v/>
      </c>
      <c r="H41" s="365" t="str">
        <f>IF(AND(ISNUMBER(D41),ISNUMBER(F41)),ROUNDDOWN(MIN(IF(OR(ISBLANK(I41),I41=""),EOMONTH(DATE(EINSTELLUNG!$C$35,$A$1,1),0),I41)-MAX(D41,DATE(EINSTELLUNG!$C$35,$A$1,1))+1)/DAY(EOMONTH(DATE(EINSTELLUNG!$C$35,$A$1,1),0))*F41,2),"")</f>
        <v/>
      </c>
      <c r="I41" s="186"/>
      <c r="J41" s="187"/>
      <c r="K41" s="364" t="str">
        <f t="shared" si="1"/>
        <v/>
      </c>
      <c r="L41" s="366"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188"/>
      <c r="N41" s="189"/>
      <c r="O41" s="412" t="s">
        <v>110</v>
      </c>
      <c r="P41" s="413"/>
      <c r="Q41" s="414">
        <f>IF(Q13=0, 0, Q38/Q13)</f>
        <v>0</v>
      </c>
      <c r="R41" s="414"/>
      <c r="S41" s="414">
        <f>IF(Q13=0, 0, S38/Q13)</f>
        <v>0</v>
      </c>
      <c r="T41" s="414"/>
      <c r="U41" s="414">
        <f t="shared" si="2"/>
        <v>0</v>
      </c>
      <c r="V41" s="415"/>
    </row>
    <row r="42" spans="1:22" ht="21.95" customHeight="1" thickBot="1" x14ac:dyDescent="0.4">
      <c r="A42" s="363" t="s">
        <v>111</v>
      </c>
      <c r="B42" s="152"/>
      <c r="C42" s="153"/>
      <c r="D42" s="154"/>
      <c r="E42" s="155"/>
      <c r="F42" s="156"/>
      <c r="G42" s="364" t="str">
        <f>IF(OR(E42="",F42=""),"",PID_KVLohnLookup($A$1,E42,F42,LOHNTABELLE!$H$4))</f>
        <v/>
      </c>
      <c r="H42" s="365" t="str">
        <f>IF(AND(ISNUMBER(D42),ISNUMBER(F42)),ROUNDDOWN(MIN(IF(OR(ISBLANK(I42),I42=""),EOMONTH(DATE(EINSTELLUNG!$C$35,$A$1,1),0),I42)-MAX(D42,DATE(EINSTELLUNG!$C$35,$A$1,1))+1)/DAY(EOMONTH(DATE(EINSTELLUNG!$C$35,$A$1,1),0))*F42,2),"")</f>
        <v/>
      </c>
      <c r="I42" s="158"/>
      <c r="J42" s="165"/>
      <c r="K42" s="364" t="str">
        <f t="shared" si="1"/>
        <v/>
      </c>
      <c r="L42" s="366"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167"/>
      <c r="N42" s="169"/>
      <c r="O42" s="416" t="s">
        <v>112</v>
      </c>
      <c r="P42" s="394"/>
      <c r="Q42" s="417">
        <f>IFERROR(Q17/Q8, 0)</f>
        <v>11.925457796411617</v>
      </c>
      <c r="R42" s="418"/>
      <c r="S42" s="417"/>
      <c r="T42" s="417"/>
      <c r="U42" s="417"/>
      <c r="V42" s="396"/>
    </row>
    <row r="43" spans="1:22" ht="21.95" customHeight="1" x14ac:dyDescent="0.35">
      <c r="A43" s="363" t="s">
        <v>113</v>
      </c>
      <c r="B43" s="181"/>
      <c r="C43" s="182"/>
      <c r="D43" s="183"/>
      <c r="E43" s="184"/>
      <c r="F43" s="190"/>
      <c r="G43" s="364" t="str">
        <f>IF(OR(E43="",F43=""),"",PID_KVLohnLookup($A$1,E43,F43,LOHNTABELLE!$H$4))</f>
        <v/>
      </c>
      <c r="H43" s="365" t="str">
        <f>IF(AND(ISNUMBER(D43),ISNUMBER(F43)),ROUNDDOWN(MIN(IF(OR(ISBLANK(I43),I43=""),EOMONTH(DATE(EINSTELLUNG!$C$35,$A$1,1),0),I43)-MAX(D43,DATE(EINSTELLUNG!$C$35,$A$1,1))+1)/DAY(EOMONTH(DATE(EINSTELLUNG!$C$35,$A$1,1),0))*F43,2),"")</f>
        <v/>
      </c>
      <c r="I43" s="186"/>
      <c r="J43" s="187"/>
      <c r="K43" s="364" t="str">
        <f t="shared" si="1"/>
        <v/>
      </c>
      <c r="L43" s="366"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91"/>
      <c r="N43" s="189"/>
      <c r="O43" s="419"/>
      <c r="P43" s="419"/>
      <c r="Q43" s="419"/>
      <c r="R43" s="361"/>
      <c r="S43" s="361"/>
      <c r="T43" s="361"/>
      <c r="U43" s="361"/>
      <c r="V43" s="361"/>
    </row>
    <row r="44" spans="1:22" ht="21.95" customHeight="1" x14ac:dyDescent="0.35">
      <c r="A44" s="363" t="s">
        <v>114</v>
      </c>
      <c r="B44" s="152"/>
      <c r="C44" s="153"/>
      <c r="D44" s="154"/>
      <c r="E44" s="155"/>
      <c r="F44" s="156"/>
      <c r="G44" s="364" t="str">
        <f>IF(OR(E44="",F44=""),"",PID_KVLohnLookup($A$1,E44,F44,LOHNTABELLE!$H$4))</f>
        <v/>
      </c>
      <c r="H44" s="365" t="str">
        <f>IF(AND(ISNUMBER(D44),ISNUMBER(F44)),ROUNDDOWN(MIN(IF(OR(ISBLANK(I44),I44=""),EOMONTH(DATE(EINSTELLUNG!$C$35,$A$1,1),0),I44)-MAX(D44,DATE(EINSTELLUNG!$C$35,$A$1,1))+1)/DAY(EOMONTH(DATE(EINSTELLUNG!$C$35,$A$1,1),0))*F44,2),"")</f>
        <v/>
      </c>
      <c r="I44" s="158"/>
      <c r="J44" s="165"/>
      <c r="K44" s="364" t="str">
        <f t="shared" si="1"/>
        <v/>
      </c>
      <c r="L44" s="366"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70"/>
      <c r="N44" s="168"/>
      <c r="O44" s="420" t="s">
        <v>115</v>
      </c>
      <c r="P44" s="420"/>
      <c r="Q44" s="420"/>
      <c r="R44" s="420"/>
      <c r="S44" s="420"/>
      <c r="T44" s="420"/>
      <c r="U44" s="420"/>
      <c r="V44" s="420"/>
    </row>
    <row r="45" spans="1:22" ht="21.95" customHeight="1" x14ac:dyDescent="0.35">
      <c r="A45" s="363" t="s">
        <v>116</v>
      </c>
      <c r="B45" s="181"/>
      <c r="C45" s="182"/>
      <c r="D45" s="183"/>
      <c r="E45" s="184"/>
      <c r="F45" s="190"/>
      <c r="G45" s="364" t="str">
        <f>IF(OR(E45="",F45=""),"",PID_KVLohnLookup($A$1,E45,F45,LOHNTABELLE!$H$4))</f>
        <v/>
      </c>
      <c r="H45" s="365" t="str">
        <f>IF(AND(ISNUMBER(D45),ISNUMBER(F45)),ROUNDDOWN(MIN(IF(OR(ISBLANK(I45),I45=""),EOMONTH(DATE(EINSTELLUNG!$C$35,$A$1,1),0),I45)-MAX(D45,DATE(EINSTELLUNG!$C$35,$A$1,1))+1)/DAY(EOMONTH(DATE(EINSTELLUNG!$C$35,$A$1,1),0))*F45,2),"")</f>
        <v/>
      </c>
      <c r="I45" s="186"/>
      <c r="J45" s="187"/>
      <c r="K45" s="364" t="str">
        <f t="shared" si="1"/>
        <v/>
      </c>
      <c r="L45" s="366"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91"/>
      <c r="N45" s="189"/>
      <c r="O45" s="421"/>
      <c r="P45" s="421"/>
      <c r="Q45" s="421"/>
      <c r="R45" s="422"/>
      <c r="S45" s="422"/>
      <c r="T45" s="422"/>
      <c r="U45" s="422"/>
      <c r="V45" s="361"/>
    </row>
    <row r="46" spans="1:22" ht="21.95" customHeight="1" x14ac:dyDescent="0.35">
      <c r="A46" s="363" t="s">
        <v>117</v>
      </c>
      <c r="B46" s="152"/>
      <c r="C46" s="153"/>
      <c r="D46" s="154"/>
      <c r="E46" s="155"/>
      <c r="F46" s="156"/>
      <c r="G46" s="364" t="str">
        <f>IF(OR(E46="",F46=""),"",PID_KVLohnLookup($A$1,E46,F46,LOHNTABELLE!$H$4))</f>
        <v/>
      </c>
      <c r="H46" s="365" t="str">
        <f>IF(AND(ISNUMBER(D46),ISNUMBER(F46)),ROUNDDOWN(MIN(IF(OR(ISBLANK(I46),I46=""),EOMONTH(DATE(EINSTELLUNG!$C$35,$A$1,1),0),I46)-MAX(D46,DATE(EINSTELLUNG!$C$35,$A$1,1))+1)/DAY(EOMONTH(DATE(EINSTELLUNG!$C$35,$A$1,1),0))*F46,2),"")</f>
        <v/>
      </c>
      <c r="I46" s="158"/>
      <c r="J46" s="165"/>
      <c r="K46" s="364" t="str">
        <f t="shared" si="1"/>
        <v/>
      </c>
      <c r="L46" s="366"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70"/>
      <c r="N46" s="168"/>
      <c r="O46" s="361"/>
      <c r="P46" s="361"/>
      <c r="Q46" s="361"/>
      <c r="R46" s="361"/>
      <c r="S46" s="361"/>
      <c r="T46" s="361"/>
      <c r="U46" s="361"/>
      <c r="V46" s="361"/>
    </row>
    <row r="47" spans="1:22" ht="21.95" customHeight="1" x14ac:dyDescent="0.35">
      <c r="A47" s="363" t="s">
        <v>118</v>
      </c>
      <c r="B47" s="181"/>
      <c r="C47" s="182"/>
      <c r="D47" s="183"/>
      <c r="E47" s="184"/>
      <c r="F47" s="190"/>
      <c r="G47" s="364" t="str">
        <f>IF(OR(E47="",F47=""),"",PID_KVLohnLookup($A$1,E47,F47,LOHNTABELLE!$H$4))</f>
        <v/>
      </c>
      <c r="H47" s="365" t="str">
        <f>IF(AND(ISNUMBER(D47),ISNUMBER(F47)),ROUNDDOWN(MIN(IF(OR(ISBLANK(I47),I47=""),EOMONTH(DATE(EINSTELLUNG!$C$35,$A$1,1),0),I47)-MAX(D47,DATE(EINSTELLUNG!$C$35,$A$1,1))+1)/DAY(EOMONTH(DATE(EINSTELLUNG!$C$35,$A$1,1),0))*F47,2),"")</f>
        <v/>
      </c>
      <c r="I47" s="186"/>
      <c r="J47" s="187"/>
      <c r="K47" s="364" t="str">
        <f t="shared" si="1"/>
        <v/>
      </c>
      <c r="L47" s="366"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91"/>
      <c r="N47" s="189"/>
      <c r="O47" s="361"/>
      <c r="P47" s="361"/>
      <c r="Q47" s="361"/>
      <c r="R47" s="361"/>
      <c r="S47" s="361"/>
      <c r="T47" s="361"/>
      <c r="U47" s="361"/>
      <c r="V47" s="361"/>
    </row>
    <row r="48" spans="1:22" ht="21.95" customHeight="1" x14ac:dyDescent="0.35">
      <c r="A48" s="363" t="s">
        <v>119</v>
      </c>
      <c r="B48" s="152"/>
      <c r="C48" s="153"/>
      <c r="D48" s="158"/>
      <c r="E48" s="155"/>
      <c r="F48" s="156"/>
      <c r="G48" s="364" t="str">
        <f>IF(OR(E48="",F48=""),"",PID_KVLohnLookup($A$1,E48,F48,LOHNTABELLE!$H$4))</f>
        <v/>
      </c>
      <c r="H48" s="365" t="str">
        <f>IF(AND(ISNUMBER(D48),ISNUMBER(F48)),ROUNDDOWN(MIN(IF(OR(ISBLANK(I48),I48=""),EOMONTH(DATE(EINSTELLUNG!$C$35,$A$1,1),0),I48)-MAX(D48,DATE(EINSTELLUNG!$C$35,$A$1,1))+1)/DAY(EOMONTH(DATE(EINSTELLUNG!$C$35,$A$1,1),0))*F48,2),"")</f>
        <v/>
      </c>
      <c r="I48" s="158"/>
      <c r="J48" s="165"/>
      <c r="K48" s="364" t="str">
        <f t="shared" si="1"/>
        <v/>
      </c>
      <c r="L48" s="366"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70"/>
      <c r="N48" s="168"/>
      <c r="O48" s="361"/>
      <c r="P48" s="361"/>
      <c r="Q48" s="361"/>
      <c r="R48" s="361"/>
      <c r="S48" s="361"/>
      <c r="T48" s="361"/>
      <c r="U48" s="361"/>
      <c r="V48" s="361"/>
    </row>
    <row r="49" spans="1:22" ht="21.95" customHeight="1" x14ac:dyDescent="0.35">
      <c r="A49" s="363" t="s">
        <v>120</v>
      </c>
      <c r="B49" s="181"/>
      <c r="C49" s="182"/>
      <c r="D49" s="186"/>
      <c r="E49" s="184"/>
      <c r="F49" s="190"/>
      <c r="G49" s="364" t="str">
        <f>IF(OR(E49="",F49=""),"",PID_KVLohnLookup($A$1,E49,F49,LOHNTABELLE!$H$4))</f>
        <v/>
      </c>
      <c r="H49" s="365" t="str">
        <f>IF(AND(ISNUMBER(D49),ISNUMBER(F49)),ROUNDDOWN(MIN(IF(OR(ISBLANK(I49),I49=""),EOMONTH(DATE(EINSTELLUNG!$C$35,$A$1,1),0),I49)-MAX(D49,DATE(EINSTELLUNG!$C$35,$A$1,1))+1)/DAY(EOMONTH(DATE(EINSTELLUNG!$C$35,$A$1,1),0))*F49,2),"")</f>
        <v/>
      </c>
      <c r="I49" s="186"/>
      <c r="J49" s="187"/>
      <c r="K49" s="364" t="str">
        <f t="shared" si="1"/>
        <v/>
      </c>
      <c r="L49" s="366"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91"/>
      <c r="N49" s="189"/>
      <c r="O49" s="361"/>
      <c r="P49" s="361"/>
      <c r="Q49" s="361"/>
      <c r="R49" s="361"/>
      <c r="S49" s="361"/>
      <c r="T49" s="361"/>
      <c r="U49" s="361"/>
      <c r="V49" s="361"/>
    </row>
    <row r="50" spans="1:22" ht="21.95" customHeight="1" x14ac:dyDescent="0.35">
      <c r="A50" s="363" t="s">
        <v>121</v>
      </c>
      <c r="B50" s="152"/>
      <c r="C50" s="159"/>
      <c r="D50" s="158"/>
      <c r="E50" s="155"/>
      <c r="F50" s="156"/>
      <c r="G50" s="364" t="str">
        <f>IF(OR(E50="",F50=""),"",PID_KVLohnLookup($A$1,E50,F50,LOHNTABELLE!$H$4))</f>
        <v/>
      </c>
      <c r="H50" s="365" t="str">
        <f>IF(AND(ISNUMBER(D50),ISNUMBER(F50)),ROUNDDOWN(MIN(IF(OR(ISBLANK(I50),I50=""),EOMONTH(DATE(EINSTELLUNG!$C$35,$A$1,1),0),I50)-MAX(D50,DATE(EINSTELLUNG!$C$35,$A$1,1))+1)/DAY(EOMONTH(DATE(EINSTELLUNG!$C$35,$A$1,1),0))*F50,2),"")</f>
        <v/>
      </c>
      <c r="I50" s="158"/>
      <c r="J50" s="165"/>
      <c r="K50" s="364" t="str">
        <f t="shared" si="1"/>
        <v/>
      </c>
      <c r="L50" s="366"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70"/>
      <c r="N50" s="168"/>
      <c r="O50" s="361"/>
      <c r="P50" s="361"/>
      <c r="Q50" s="361"/>
      <c r="R50" s="361"/>
      <c r="S50" s="361"/>
      <c r="T50" s="361"/>
      <c r="U50" s="361"/>
      <c r="V50" s="361"/>
    </row>
    <row r="51" spans="1:22" ht="21.95" customHeight="1" x14ac:dyDescent="0.35">
      <c r="A51" s="363" t="s">
        <v>122</v>
      </c>
      <c r="B51" s="181"/>
      <c r="C51" s="182"/>
      <c r="D51" s="186"/>
      <c r="E51" s="184"/>
      <c r="F51" s="190"/>
      <c r="G51" s="364" t="str">
        <f>IF(OR(E51="",F51=""),"",PID_KVLohnLookup($A$1,E51,F51,LOHNTABELLE!$H$4))</f>
        <v/>
      </c>
      <c r="H51" s="365" t="str">
        <f>IF(AND(ISNUMBER(D51),ISNUMBER(F51)),ROUNDDOWN(MIN(IF(OR(ISBLANK(I51),I51=""),EOMONTH(DATE(EINSTELLUNG!$C$35,$A$1,1),0),I51)-MAX(D51,DATE(EINSTELLUNG!$C$35,$A$1,1))+1)/DAY(EOMONTH(DATE(EINSTELLUNG!$C$35,$A$1,1),0))*F51,2),"")</f>
        <v/>
      </c>
      <c r="I51" s="186"/>
      <c r="J51" s="187"/>
      <c r="K51" s="364" t="str">
        <f t="shared" si="1"/>
        <v/>
      </c>
      <c r="L51" s="366"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188"/>
      <c r="N51" s="192"/>
    </row>
    <row r="52" spans="1:22" ht="21.95" customHeight="1" x14ac:dyDescent="0.35">
      <c r="A52" s="363" t="s">
        <v>123</v>
      </c>
      <c r="B52" s="152"/>
      <c r="C52" s="153"/>
      <c r="D52" s="158"/>
      <c r="E52" s="155"/>
      <c r="F52" s="156"/>
      <c r="G52" s="364" t="str">
        <f>IF(OR(E52="",F52=""),"",PID_KVLohnLookup($A$1,E52,F52,LOHNTABELLE!$H$4))</f>
        <v/>
      </c>
      <c r="H52" s="365" t="str">
        <f>IF(AND(ISNUMBER(D52),ISNUMBER(F52)),ROUNDDOWN(MIN(IF(OR(ISBLANK(I52),I52=""),EOMONTH(DATE(EINSTELLUNG!$C$35,$A$1,1),0),I52)-MAX(D52,DATE(EINSTELLUNG!$C$35,$A$1,1))+1)/DAY(EOMONTH(DATE(EINSTELLUNG!$C$35,$A$1,1),0))*F52,2),"")</f>
        <v/>
      </c>
      <c r="I52" s="158"/>
      <c r="J52" s="165"/>
      <c r="K52" s="364" t="str">
        <f t="shared" si="1"/>
        <v/>
      </c>
      <c r="L52" s="366"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167"/>
      <c r="N52" s="168"/>
    </row>
    <row r="53" spans="1:22" ht="21.95" customHeight="1" x14ac:dyDescent="0.35">
      <c r="A53" s="363" t="s">
        <v>124</v>
      </c>
      <c r="B53" s="181"/>
      <c r="C53" s="182"/>
      <c r="D53" s="186"/>
      <c r="E53" s="184"/>
      <c r="F53" s="190"/>
      <c r="G53" s="364" t="str">
        <f>IF(OR(E53="",F53=""),"",PID_KVLohnLookup($A$1,E53,F53,LOHNTABELLE!$H$4))</f>
        <v/>
      </c>
      <c r="H53" s="365" t="str">
        <f>IF(AND(ISNUMBER(D53),ISNUMBER(F53)),ROUNDDOWN(MIN(IF(OR(ISBLANK(I53),I53=""),EOMONTH(DATE(EINSTELLUNG!$C$35,$A$1,1),0),I53)-MAX(D53,DATE(EINSTELLUNG!$C$35,$A$1,1))+1)/DAY(EOMONTH(DATE(EINSTELLUNG!$C$35,$A$1,1),0))*F53,2),"")</f>
        <v/>
      </c>
      <c r="I53" s="186"/>
      <c r="J53" s="187"/>
      <c r="K53" s="364" t="str">
        <f t="shared" si="1"/>
        <v/>
      </c>
      <c r="L53" s="366"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188"/>
      <c r="N53" s="189"/>
    </row>
    <row r="54" spans="1:22" ht="21.95" customHeight="1" x14ac:dyDescent="0.35">
      <c r="A54" s="363" t="s">
        <v>125</v>
      </c>
      <c r="B54" s="152"/>
      <c r="C54" s="153"/>
      <c r="D54" s="158"/>
      <c r="E54" s="155"/>
      <c r="F54" s="156"/>
      <c r="G54" s="364" t="str">
        <f>IF(OR(E54="",F54=""),"",PID_KVLohnLookup($A$1,E54,F54,LOHNTABELLE!$H$4))</f>
        <v/>
      </c>
      <c r="H54" s="365" t="str">
        <f>IF(AND(ISNUMBER(D54),ISNUMBER(F54)),ROUNDDOWN(MIN(IF(OR(ISBLANK(I54),I54=""),EOMONTH(DATE(EINSTELLUNG!$C$35,$A$1,1),0),I54)-MAX(D54,DATE(EINSTELLUNG!$C$35,$A$1,1))+1)/DAY(EOMONTH(DATE(EINSTELLUNG!$C$35,$A$1,1),0))*F54,2),"")</f>
        <v/>
      </c>
      <c r="I54" s="158"/>
      <c r="J54" s="165"/>
      <c r="K54" s="364" t="str">
        <f t="shared" si="1"/>
        <v/>
      </c>
      <c r="L54" s="366"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167"/>
      <c r="N54" s="168"/>
    </row>
    <row r="55" spans="1:22" ht="18" customHeight="1" x14ac:dyDescent="0.35">
      <c r="A55" s="363" t="s">
        <v>126</v>
      </c>
      <c r="B55" s="181"/>
      <c r="C55" s="182"/>
      <c r="D55" s="186"/>
      <c r="E55" s="184"/>
      <c r="F55" s="190"/>
      <c r="G55" s="364" t="str">
        <f>IF(OR(E55="",F55=""),"",PID_KVLohnLookup($A$1,E55,F55,LOHNTABELLE!$H$4))</f>
        <v/>
      </c>
      <c r="H55" s="365" t="str">
        <f>IF(AND(ISNUMBER(D55),ISNUMBER(F55)),ROUNDDOWN(MIN(IF(OR(ISBLANK(I55),I55=""),EOMONTH(DATE(EINSTELLUNG!$C$35,$A$1,1),0),I55)-MAX(D55,DATE(EINSTELLUNG!$C$35,$A$1,1))+1)/DAY(EOMONTH(DATE(EINSTELLUNG!$C$35,$A$1,1),0))*F55,2),"")</f>
        <v/>
      </c>
      <c r="I55" s="186"/>
      <c r="J55" s="187"/>
      <c r="K55" s="364" t="str">
        <f t="shared" si="1"/>
        <v/>
      </c>
      <c r="L55" s="366"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188"/>
      <c r="N55" s="189"/>
    </row>
    <row r="56" spans="1:22" ht="21.95" customHeight="1" x14ac:dyDescent="0.35">
      <c r="A56" s="363" t="s">
        <v>127</v>
      </c>
      <c r="B56" s="152"/>
      <c r="C56" s="153"/>
      <c r="D56" s="158"/>
      <c r="E56" s="155"/>
      <c r="F56" s="156"/>
      <c r="G56" s="364" t="str">
        <f>IF(OR(E56="",F56=""),"",PID_KVLohnLookup($A$1,E56,F56,LOHNTABELLE!$H$4))</f>
        <v/>
      </c>
      <c r="H56" s="365" t="str">
        <f>IF(AND(ISNUMBER(D56),ISNUMBER(F56)),ROUNDDOWN(MIN(IF(OR(ISBLANK(I56),I56=""),EOMONTH(DATE(EINSTELLUNG!$C$35,$A$1,1),0),I56)-MAX(D56,DATE(EINSTELLUNG!$C$35,$A$1,1))+1)/DAY(EOMONTH(DATE(EINSTELLUNG!$C$35,$A$1,1),0))*F56,2),"")</f>
        <v/>
      </c>
      <c r="I56" s="158"/>
      <c r="J56" s="165"/>
      <c r="K56" s="364" t="str">
        <f t="shared" si="1"/>
        <v/>
      </c>
      <c r="L56" s="366"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167"/>
      <c r="N56" s="168"/>
    </row>
    <row r="57" spans="1:22" ht="21.95" customHeight="1" x14ac:dyDescent="0.35">
      <c r="A57" s="363" t="s">
        <v>128</v>
      </c>
      <c r="B57" s="181"/>
      <c r="C57" s="182"/>
      <c r="D57" s="186"/>
      <c r="E57" s="184"/>
      <c r="F57" s="190"/>
      <c r="G57" s="364" t="str">
        <f>IF(OR(E57="",F57=""),"",PID_KVLohnLookup($A$1,E57,F57,LOHNTABELLE!$H$4))</f>
        <v/>
      </c>
      <c r="H57" s="365" t="str">
        <f>IF(AND(ISNUMBER(D57),ISNUMBER(F57)),ROUNDDOWN(MIN(IF(OR(ISBLANK(I57),I57=""),EOMONTH(DATE(EINSTELLUNG!$C$35,$A$1,1),0),I57)-MAX(D57,DATE(EINSTELLUNG!$C$35,$A$1,1))+1)/DAY(EOMONTH(DATE(EINSTELLUNG!$C$35,$A$1,1),0))*F57,2),"")</f>
        <v/>
      </c>
      <c r="I57" s="186"/>
      <c r="J57" s="187"/>
      <c r="K57" s="364" t="str">
        <f t="shared" si="1"/>
        <v/>
      </c>
      <c r="L57" s="366"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188"/>
      <c r="N57" s="189"/>
    </row>
    <row r="58" spans="1:22" ht="21.95" customHeight="1" x14ac:dyDescent="0.35">
      <c r="A58" s="363" t="s">
        <v>129</v>
      </c>
      <c r="B58" s="152"/>
      <c r="C58" s="153"/>
      <c r="D58" s="158"/>
      <c r="E58" s="155"/>
      <c r="F58" s="156"/>
      <c r="G58" s="364" t="str">
        <f>IF(OR(E58="",F58=""),"",PID_KVLohnLookup($A$1,E58,F58,LOHNTABELLE!$H$4))</f>
        <v/>
      </c>
      <c r="H58" s="365" t="str">
        <f>IF(AND(ISNUMBER(D58),ISNUMBER(F58)),ROUNDDOWN(MIN(IF(OR(ISBLANK(I58),I58=""),EOMONTH(DATE(EINSTELLUNG!$C$35,$A$1,1),0),I58)-MAX(D58,DATE(EINSTELLUNG!$C$35,$A$1,1))+1)/DAY(EOMONTH(DATE(EINSTELLUNG!$C$35,$A$1,1),0))*F58,2),"")</f>
        <v/>
      </c>
      <c r="I58" s="158"/>
      <c r="J58" s="165"/>
      <c r="K58" s="364" t="str">
        <f t="shared" si="1"/>
        <v/>
      </c>
      <c r="L58" s="366"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167"/>
      <c r="N58" s="168"/>
    </row>
    <row r="59" spans="1:22" ht="21.95" customHeight="1" x14ac:dyDescent="0.35">
      <c r="A59" s="363" t="s">
        <v>130</v>
      </c>
      <c r="B59" s="181"/>
      <c r="C59" s="182"/>
      <c r="D59" s="186"/>
      <c r="E59" s="184"/>
      <c r="F59" s="190"/>
      <c r="G59" s="364" t="str">
        <f>IF(OR(E59="",F59=""),"",PID_KVLohnLookup($A$1,E59,F59,LOHNTABELLE!$H$4))</f>
        <v/>
      </c>
      <c r="H59" s="365" t="str">
        <f>IF(AND(ISNUMBER(D59),ISNUMBER(F59)),ROUNDDOWN(MIN(IF(OR(ISBLANK(I59),I59=""),EOMONTH(DATE(EINSTELLUNG!$C$35,$A$1,1),0),I59)-MAX(D59,DATE(EINSTELLUNG!$C$35,$A$1,1))+1)/DAY(EOMONTH(DATE(EINSTELLUNG!$C$35,$A$1,1),0))*F59,2),"")</f>
        <v/>
      </c>
      <c r="I59" s="186"/>
      <c r="J59" s="187"/>
      <c r="K59" s="364" t="str">
        <f t="shared" si="1"/>
        <v/>
      </c>
      <c r="L59" s="366"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188"/>
      <c r="N59" s="189"/>
    </row>
    <row r="60" spans="1:22" ht="21.95" customHeight="1" x14ac:dyDescent="0.35">
      <c r="A60" s="363" t="s">
        <v>131</v>
      </c>
      <c r="B60" s="152"/>
      <c r="C60" s="153"/>
      <c r="D60" s="158"/>
      <c r="E60" s="155"/>
      <c r="F60" s="156"/>
      <c r="G60" s="364" t="str">
        <f>IF(OR(E60="",F60=""),"",PID_KVLohnLookup($A$1,E60,F60,LOHNTABELLE!$H$4))</f>
        <v/>
      </c>
      <c r="H60" s="365" t="str">
        <f>IF(AND(ISNUMBER(D60),ISNUMBER(F60)),ROUNDDOWN(MIN(IF(OR(ISBLANK(I60),I60=""),EOMONTH(DATE(EINSTELLUNG!$C$35,$A$1,1),0),I60)-MAX(D60,DATE(EINSTELLUNG!$C$35,$A$1,1))+1)/DAY(EOMONTH(DATE(EINSTELLUNG!$C$35,$A$1,1),0))*F60,2),"")</f>
        <v/>
      </c>
      <c r="I60" s="158"/>
      <c r="J60" s="165"/>
      <c r="K60" s="364" t="str">
        <f t="shared" si="1"/>
        <v/>
      </c>
      <c r="L60" s="366"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167"/>
      <c r="N60" s="168"/>
    </row>
    <row r="61" spans="1:22" ht="21.95" customHeight="1" x14ac:dyDescent="0.35">
      <c r="A61" s="363" t="s">
        <v>132</v>
      </c>
      <c r="B61" s="181"/>
      <c r="C61" s="182"/>
      <c r="D61" s="186"/>
      <c r="E61" s="184"/>
      <c r="F61" s="190"/>
      <c r="G61" s="364" t="str">
        <f>IF(OR(E61="",F61=""),"",PID_KVLohnLookup($A$1,E61,F61,LOHNTABELLE!$H$4))</f>
        <v/>
      </c>
      <c r="H61" s="365" t="str">
        <f>IF(AND(ISNUMBER(D61),ISNUMBER(F61)),ROUNDDOWN(MIN(IF(OR(ISBLANK(I61),I61=""),EOMONTH(DATE(EINSTELLUNG!$C$35,$A$1,1),0),I61)-MAX(D61,DATE(EINSTELLUNG!$C$35,$A$1,1))+1)/DAY(EOMONTH(DATE(EINSTELLUNG!$C$35,$A$1,1),0))*F61,2),"")</f>
        <v/>
      </c>
      <c r="I61" s="186"/>
      <c r="J61" s="187"/>
      <c r="K61" s="364" t="str">
        <f t="shared" si="1"/>
        <v/>
      </c>
      <c r="L61" s="366"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88"/>
      <c r="N61" s="189"/>
    </row>
    <row r="62" spans="1:22" ht="21.95" customHeight="1" x14ac:dyDescent="0.35">
      <c r="A62" s="363" t="s">
        <v>133</v>
      </c>
      <c r="B62" s="152"/>
      <c r="C62" s="153"/>
      <c r="D62" s="158"/>
      <c r="E62" s="155"/>
      <c r="F62" s="156"/>
      <c r="G62" s="364" t="str">
        <f>IF(OR(E62="",F62=""),"",PID_KVLohnLookup($A$1,E62,F62,LOHNTABELLE!$H$4))</f>
        <v/>
      </c>
      <c r="H62" s="365" t="str">
        <f>IF(AND(ISNUMBER(D62),ISNUMBER(F62)),ROUNDDOWN(MIN(IF(OR(ISBLANK(I62),I62=""),EOMONTH(DATE(EINSTELLUNG!$C$35,$A$1,1),0),I62)-MAX(D62,DATE(EINSTELLUNG!$C$35,$A$1,1))+1)/DAY(EOMONTH(DATE(EINSTELLUNG!$C$35,$A$1,1),0))*F62,2),"")</f>
        <v/>
      </c>
      <c r="I62" s="158"/>
      <c r="J62" s="165"/>
      <c r="K62" s="364" t="str">
        <f t="shared" si="1"/>
        <v/>
      </c>
      <c r="L62" s="366"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167"/>
      <c r="N62" s="168"/>
    </row>
    <row r="63" spans="1:22" ht="21.95" customHeight="1" x14ac:dyDescent="0.35">
      <c r="A63" s="363" t="s">
        <v>134</v>
      </c>
      <c r="B63" s="181"/>
      <c r="C63" s="182"/>
      <c r="D63" s="186"/>
      <c r="E63" s="184"/>
      <c r="F63" s="190"/>
      <c r="G63" s="364" t="str">
        <f>IF(OR(E63="",F63=""),"",PID_KVLohnLookup($A$1,E63,F63,LOHNTABELLE!$H$4))</f>
        <v/>
      </c>
      <c r="H63" s="365" t="str">
        <f>IF(AND(ISNUMBER(D63),ISNUMBER(F63)),ROUNDDOWN(MIN(IF(OR(ISBLANK(I63),I63=""),EOMONTH(DATE(EINSTELLUNG!$C$35,$A$1,1),0),I63)-MAX(D63,DATE(EINSTELLUNG!$C$35,$A$1,1))+1)/DAY(EOMONTH(DATE(EINSTELLUNG!$C$35,$A$1,1),0))*F63,2),"")</f>
        <v/>
      </c>
      <c r="I63" s="186"/>
      <c r="J63" s="187"/>
      <c r="K63" s="364" t="str">
        <f t="shared" si="1"/>
        <v/>
      </c>
      <c r="L63" s="366"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88"/>
      <c r="N63" s="189"/>
    </row>
    <row r="64" spans="1:22" ht="21.95" customHeight="1" x14ac:dyDescent="0.35">
      <c r="A64" s="363" t="s">
        <v>135</v>
      </c>
      <c r="B64" s="152"/>
      <c r="C64" s="153"/>
      <c r="D64" s="158"/>
      <c r="E64" s="155"/>
      <c r="F64" s="156"/>
      <c r="G64" s="364" t="str">
        <f>IF(OR(E64="",F64=""),"",PID_KVLohnLookup($A$1,E64,F64,LOHNTABELLE!$H$4))</f>
        <v/>
      </c>
      <c r="H64" s="365" t="str">
        <f>IF(AND(ISNUMBER(D64),ISNUMBER(F64)),ROUNDDOWN(MIN(IF(OR(ISBLANK(I64),I64=""),EOMONTH(DATE(EINSTELLUNG!$C$35,$A$1,1),0),I64)-MAX(D64,DATE(EINSTELLUNG!$C$35,$A$1,1))+1)/DAY(EOMONTH(DATE(EINSTELLUNG!$C$35,$A$1,1),0))*F64,2),"")</f>
        <v/>
      </c>
      <c r="I64" s="158"/>
      <c r="J64" s="165"/>
      <c r="K64" s="364" t="str">
        <f t="shared" si="1"/>
        <v/>
      </c>
      <c r="L64" s="366"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167"/>
      <c r="N64" s="168"/>
    </row>
    <row r="65" spans="1:14" ht="21.95" customHeight="1" x14ac:dyDescent="0.35">
      <c r="A65" s="363" t="s">
        <v>136</v>
      </c>
      <c r="B65" s="181"/>
      <c r="C65" s="182"/>
      <c r="D65" s="186"/>
      <c r="E65" s="184"/>
      <c r="F65" s="190"/>
      <c r="G65" s="364" t="str">
        <f>IF(OR(E65="",F65=""),"",PID_KVLohnLookup($A$1,E65,F65,LOHNTABELLE!$H$4))</f>
        <v/>
      </c>
      <c r="H65" s="365" t="str">
        <f>IF(AND(ISNUMBER(D65),ISNUMBER(F65)),ROUNDDOWN(MIN(IF(OR(ISBLANK(I65),I65=""),EOMONTH(DATE(EINSTELLUNG!$C$35,$A$1,1),0),I65)-MAX(D65,DATE(EINSTELLUNG!$C$35,$A$1,1))+1)/DAY(EOMONTH(DATE(EINSTELLUNG!$C$35,$A$1,1),0))*F65,2),"")</f>
        <v/>
      </c>
      <c r="I65" s="186"/>
      <c r="J65" s="187"/>
      <c r="K65" s="364" t="str">
        <f t="shared" si="1"/>
        <v/>
      </c>
      <c r="L65" s="366"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88"/>
      <c r="N65" s="189"/>
    </row>
    <row r="66" spans="1:14" ht="21.95" customHeight="1" x14ac:dyDescent="0.35">
      <c r="A66" s="363" t="s">
        <v>137</v>
      </c>
      <c r="B66" s="152"/>
      <c r="C66" s="153"/>
      <c r="D66" s="158"/>
      <c r="E66" s="155"/>
      <c r="F66" s="156"/>
      <c r="G66" s="364" t="str">
        <f>IF(OR(E66="",F66=""),"",PID_KVLohnLookup($A$1,E66,F66,LOHNTABELLE!$H$4))</f>
        <v/>
      </c>
      <c r="H66" s="365" t="str">
        <f>IF(AND(ISNUMBER(D66),ISNUMBER(F66)),ROUNDDOWN(MIN(IF(OR(ISBLANK(I66),I66=""),EOMONTH(DATE(EINSTELLUNG!$C$35,$A$1,1),0),I66)-MAX(D66,DATE(EINSTELLUNG!$C$35,$A$1,1))+1)/DAY(EOMONTH(DATE(EINSTELLUNG!$C$35,$A$1,1),0))*F66,2),"")</f>
        <v/>
      </c>
      <c r="I66" s="158"/>
      <c r="J66" s="165"/>
      <c r="K66" s="364" t="str">
        <f t="shared" si="1"/>
        <v/>
      </c>
      <c r="L66" s="366"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167"/>
      <c r="N66" s="168"/>
    </row>
    <row r="67" spans="1:14" ht="21.95" customHeight="1" x14ac:dyDescent="0.35">
      <c r="A67" s="363" t="s">
        <v>138</v>
      </c>
      <c r="B67" s="181"/>
      <c r="C67" s="182"/>
      <c r="D67" s="186"/>
      <c r="E67" s="184"/>
      <c r="F67" s="190"/>
      <c r="G67" s="364" t="str">
        <f>IF(OR(E67="",F67=""),"",PID_KVLohnLookup($A$1,E67,F67,LOHNTABELLE!$H$4))</f>
        <v/>
      </c>
      <c r="H67" s="365" t="str">
        <f>IF(AND(ISNUMBER(D67),ISNUMBER(F67)),ROUNDDOWN(MIN(IF(OR(ISBLANK(I67),I67=""),EOMONTH(DATE(EINSTELLUNG!$C$35,$A$1,1),0),I67)-MAX(D67,DATE(EINSTELLUNG!$C$35,$A$1,1))+1)/DAY(EOMONTH(DATE(EINSTELLUNG!$C$35,$A$1,1),0))*F67,2),"")</f>
        <v/>
      </c>
      <c r="I67" s="186"/>
      <c r="J67" s="187"/>
      <c r="K67" s="364" t="str">
        <f t="shared" ref="K67:K98" si="3">IF(OR(B67="",C67=""),"",IFERROR(IF(OR(MONTH(D67)=1,MONTH(D67)=3,MONTH(D67)=5,MONTH(D67)=7,MONTH(D67)=8,MONTH(D67)=10,MONTH(D67)=12),(G67/31)*J67,IF(OR(MONTH(D67)=4,MONTH(D67)=6,MONTH(D67)=9,MONTH(D67)=11),(G67/30)*J67,(G67/DAY(EOMONTH(D67,0)))*J67)),0))</f>
        <v/>
      </c>
      <c r="L67" s="366"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88"/>
      <c r="N67" s="189"/>
    </row>
    <row r="68" spans="1:14" ht="21.95" customHeight="1" x14ac:dyDescent="0.35">
      <c r="A68" s="363" t="s">
        <v>139</v>
      </c>
      <c r="B68" s="152"/>
      <c r="C68" s="153"/>
      <c r="D68" s="158"/>
      <c r="E68" s="155"/>
      <c r="F68" s="156"/>
      <c r="G68" s="364" t="str">
        <f>IF(OR(E68="",F68=""),"",PID_KVLohnLookup($A$1,E68,F68,LOHNTABELLE!$H$4))</f>
        <v/>
      </c>
      <c r="H68" s="365" t="str">
        <f>IF(AND(ISNUMBER(D68),ISNUMBER(F68)),ROUNDDOWN(MIN(IF(OR(ISBLANK(I68),I68=""),EOMONTH(DATE(EINSTELLUNG!$C$35,$A$1,1),0),I68)-MAX(D68,DATE(EINSTELLUNG!$C$35,$A$1,1))+1)/DAY(EOMONTH(DATE(EINSTELLUNG!$C$35,$A$1,1),0))*F68,2),"")</f>
        <v/>
      </c>
      <c r="I68" s="158"/>
      <c r="J68" s="165"/>
      <c r="K68" s="364" t="str">
        <f t="shared" si="3"/>
        <v/>
      </c>
      <c r="L68" s="366"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167"/>
      <c r="N68" s="168"/>
    </row>
    <row r="69" spans="1:14" ht="21.95" customHeight="1" x14ac:dyDescent="0.35">
      <c r="A69" s="363" t="s">
        <v>140</v>
      </c>
      <c r="B69" s="181"/>
      <c r="C69" s="182"/>
      <c r="D69" s="186"/>
      <c r="E69" s="184"/>
      <c r="F69" s="190"/>
      <c r="G69" s="364" t="str">
        <f>IF(OR(E69="",F69=""),"",PID_KVLohnLookup($A$1,E69,F69,LOHNTABELLE!$H$4))</f>
        <v/>
      </c>
      <c r="H69" s="365" t="str">
        <f>IF(AND(ISNUMBER(D69),ISNUMBER(F69)),ROUNDDOWN(MIN(IF(OR(ISBLANK(I69),I69=""),EOMONTH(DATE(EINSTELLUNG!$C$35,$A$1,1),0),I69)-MAX(D69,DATE(EINSTELLUNG!$C$35,$A$1,1))+1)/DAY(EOMONTH(DATE(EINSTELLUNG!$C$35,$A$1,1),0))*F69,2),"")</f>
        <v/>
      </c>
      <c r="I69" s="186"/>
      <c r="J69" s="187"/>
      <c r="K69" s="364" t="str">
        <f t="shared" si="3"/>
        <v/>
      </c>
      <c r="L69" s="366"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88"/>
      <c r="N69" s="189"/>
    </row>
    <row r="70" spans="1:14" ht="21.95" customHeight="1" x14ac:dyDescent="0.35">
      <c r="A70" s="363" t="s">
        <v>141</v>
      </c>
      <c r="B70" s="152"/>
      <c r="C70" s="153"/>
      <c r="D70" s="158"/>
      <c r="E70" s="155"/>
      <c r="F70" s="156"/>
      <c r="G70" s="364" t="str">
        <f>IF(OR(E70="",F70=""),"",PID_KVLohnLookup($A$1,E70,F70,LOHNTABELLE!$H$4))</f>
        <v/>
      </c>
      <c r="H70" s="365" t="str">
        <f>IF(AND(ISNUMBER(D70),ISNUMBER(F70)),ROUNDDOWN(MIN(IF(OR(ISBLANK(I70),I70=""),EOMONTH(DATE(EINSTELLUNG!$C$35,$A$1,1),0),I70)-MAX(D70,DATE(EINSTELLUNG!$C$35,$A$1,1))+1)/DAY(EOMONTH(DATE(EINSTELLUNG!$C$35,$A$1,1),0))*F70,2),"")</f>
        <v/>
      </c>
      <c r="I70" s="158"/>
      <c r="J70" s="165"/>
      <c r="K70" s="364" t="str">
        <f t="shared" si="3"/>
        <v/>
      </c>
      <c r="L70" s="366"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167"/>
      <c r="N70" s="168"/>
    </row>
    <row r="71" spans="1:14" ht="21.95" customHeight="1" x14ac:dyDescent="0.35">
      <c r="A71" s="363" t="s">
        <v>142</v>
      </c>
      <c r="B71" s="181"/>
      <c r="C71" s="182"/>
      <c r="D71" s="186"/>
      <c r="E71" s="184"/>
      <c r="F71" s="190"/>
      <c r="G71" s="364" t="str">
        <f>IF(OR(E71="",F71=""),"",PID_KVLohnLookup($A$1,E71,F71,LOHNTABELLE!$H$4))</f>
        <v/>
      </c>
      <c r="H71" s="365" t="str">
        <f>IF(AND(ISNUMBER(D71),ISNUMBER(F71)),ROUNDDOWN(MIN(IF(OR(ISBLANK(I71),I71=""),EOMONTH(DATE(EINSTELLUNG!$C$35,$A$1,1),0),I71)-MAX(D71,DATE(EINSTELLUNG!$C$35,$A$1,1))+1)/DAY(EOMONTH(DATE(EINSTELLUNG!$C$35,$A$1,1),0))*F71,2),"")</f>
        <v/>
      </c>
      <c r="I71" s="186"/>
      <c r="J71" s="187"/>
      <c r="K71" s="364" t="str">
        <f t="shared" si="3"/>
        <v/>
      </c>
      <c r="L71" s="366"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88"/>
      <c r="N71" s="189"/>
    </row>
    <row r="72" spans="1:14" ht="21.95" customHeight="1" x14ac:dyDescent="0.35">
      <c r="A72" s="363" t="s">
        <v>143</v>
      </c>
      <c r="B72" s="152"/>
      <c r="C72" s="153"/>
      <c r="D72" s="158"/>
      <c r="E72" s="155"/>
      <c r="F72" s="156"/>
      <c r="G72" s="364" t="str">
        <f>IF(OR(E72="",F72=""),"",PID_KVLohnLookup($A$1,E72,F72,LOHNTABELLE!$H$4))</f>
        <v/>
      </c>
      <c r="H72" s="365" t="str">
        <f>IF(AND(ISNUMBER(D72),ISNUMBER(F72)),ROUNDDOWN(MIN(IF(OR(ISBLANK(I72),I72=""),EOMONTH(DATE(EINSTELLUNG!$C$35,$A$1,1),0),I72)-MAX(D72,DATE(EINSTELLUNG!$C$35,$A$1,1))+1)/DAY(EOMONTH(DATE(EINSTELLUNG!$C$35,$A$1,1),0))*F72,2),"")</f>
        <v/>
      </c>
      <c r="I72" s="158"/>
      <c r="J72" s="165"/>
      <c r="K72" s="364" t="str">
        <f t="shared" si="3"/>
        <v/>
      </c>
      <c r="L72" s="366"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167"/>
      <c r="N72" s="168"/>
    </row>
    <row r="73" spans="1:14" ht="21.95" customHeight="1" x14ac:dyDescent="0.35">
      <c r="A73" s="363" t="s">
        <v>144</v>
      </c>
      <c r="B73" s="181"/>
      <c r="C73" s="182"/>
      <c r="D73" s="186"/>
      <c r="E73" s="184"/>
      <c r="F73" s="190"/>
      <c r="G73" s="364" t="str">
        <f>IF(OR(E73="",F73=""),"",PID_KVLohnLookup($A$1,E73,F73,LOHNTABELLE!$H$4))</f>
        <v/>
      </c>
      <c r="H73" s="365" t="str">
        <f>IF(AND(ISNUMBER(D73),ISNUMBER(F73)),ROUNDDOWN(MIN(IF(OR(ISBLANK(I73),I73=""),EOMONTH(DATE(EINSTELLUNG!$C$35,$A$1,1),0),I73)-MAX(D73,DATE(EINSTELLUNG!$C$35,$A$1,1))+1)/DAY(EOMONTH(DATE(EINSTELLUNG!$C$35,$A$1,1),0))*F73,2),"")</f>
        <v/>
      </c>
      <c r="I73" s="186"/>
      <c r="J73" s="187"/>
      <c r="K73" s="364" t="str">
        <f t="shared" si="3"/>
        <v/>
      </c>
      <c r="L73" s="366"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88"/>
      <c r="N73" s="189"/>
    </row>
    <row r="74" spans="1:14" ht="21.95" customHeight="1" x14ac:dyDescent="0.35">
      <c r="A74" s="363" t="s">
        <v>145</v>
      </c>
      <c r="B74" s="152"/>
      <c r="C74" s="153"/>
      <c r="D74" s="158"/>
      <c r="E74" s="155"/>
      <c r="F74" s="156"/>
      <c r="G74" s="364" t="str">
        <f>IF(OR(E74="",F74=""),"",PID_KVLohnLookup($A$1,E74,F74,LOHNTABELLE!$H$4))</f>
        <v/>
      </c>
      <c r="H74" s="365" t="str">
        <f>IF(AND(ISNUMBER(D74),ISNUMBER(F74)),ROUNDDOWN(MIN(IF(OR(ISBLANK(I74),I74=""),EOMONTH(DATE(EINSTELLUNG!$C$35,$A$1,1),0),I74)-MAX(D74,DATE(EINSTELLUNG!$C$35,$A$1,1))+1)/DAY(EOMONTH(DATE(EINSTELLUNG!$C$35,$A$1,1),0))*F74,2),"")</f>
        <v/>
      </c>
      <c r="I74" s="158"/>
      <c r="J74" s="165"/>
      <c r="K74" s="364" t="str">
        <f t="shared" si="3"/>
        <v/>
      </c>
      <c r="L74" s="366"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167"/>
      <c r="N74" s="168"/>
    </row>
    <row r="75" spans="1:14" ht="21.95" customHeight="1" x14ac:dyDescent="0.35">
      <c r="A75" s="363" t="s">
        <v>146</v>
      </c>
      <c r="B75" s="181"/>
      <c r="C75" s="182"/>
      <c r="D75" s="186"/>
      <c r="E75" s="184"/>
      <c r="F75" s="190"/>
      <c r="G75" s="364" t="str">
        <f>IF(OR(E75="",F75=""),"",PID_KVLohnLookup($A$1,E75,F75,LOHNTABELLE!$H$4))</f>
        <v/>
      </c>
      <c r="H75" s="365" t="str">
        <f>IF(AND(ISNUMBER(D75),ISNUMBER(F75)),ROUNDDOWN(MIN(IF(OR(ISBLANK(I75),I75=""),EOMONTH(DATE(EINSTELLUNG!$C$35,$A$1,1),0),I75)-MAX(D75,DATE(EINSTELLUNG!$C$35,$A$1,1))+1)/DAY(EOMONTH(DATE(EINSTELLUNG!$C$35,$A$1,1),0))*F75,2),"")</f>
        <v/>
      </c>
      <c r="I75" s="186"/>
      <c r="J75" s="187"/>
      <c r="K75" s="364" t="str">
        <f t="shared" si="3"/>
        <v/>
      </c>
      <c r="L75" s="366"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88"/>
      <c r="N75" s="189"/>
    </row>
    <row r="76" spans="1:14" ht="21.95" customHeight="1" x14ac:dyDescent="0.35">
      <c r="A76" s="363" t="s">
        <v>147</v>
      </c>
      <c r="B76" s="152"/>
      <c r="C76" s="153"/>
      <c r="D76" s="158"/>
      <c r="E76" s="155"/>
      <c r="F76" s="156"/>
      <c r="G76" s="364" t="str">
        <f>IF(OR(E76="",F76=""),"",PID_KVLohnLookup($A$1,E76,F76,LOHNTABELLE!$H$4))</f>
        <v/>
      </c>
      <c r="H76" s="365" t="str">
        <f>IF(AND(ISNUMBER(D76),ISNUMBER(F76)),ROUNDDOWN(MIN(IF(OR(ISBLANK(I76),I76=""),EOMONTH(DATE(EINSTELLUNG!$C$35,$A$1,1),0),I76)-MAX(D76,DATE(EINSTELLUNG!$C$35,$A$1,1))+1)/DAY(EOMONTH(DATE(EINSTELLUNG!$C$35,$A$1,1),0))*F76,2),"")</f>
        <v/>
      </c>
      <c r="I76" s="158"/>
      <c r="J76" s="165"/>
      <c r="K76" s="364" t="str">
        <f t="shared" si="3"/>
        <v/>
      </c>
      <c r="L76" s="366"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167"/>
      <c r="N76" s="168"/>
    </row>
    <row r="77" spans="1:14" ht="21.95" customHeight="1" x14ac:dyDescent="0.35">
      <c r="A77" s="363" t="s">
        <v>148</v>
      </c>
      <c r="B77" s="181"/>
      <c r="C77" s="182"/>
      <c r="D77" s="186"/>
      <c r="E77" s="184"/>
      <c r="F77" s="190"/>
      <c r="G77" s="364" t="str">
        <f>IF(OR(E77="",F77=""),"",PID_KVLohnLookup($A$1,E77,F77,LOHNTABELLE!$H$4))</f>
        <v/>
      </c>
      <c r="H77" s="365" t="str">
        <f>IF(AND(ISNUMBER(D77),ISNUMBER(F77)),ROUNDDOWN(MIN(IF(OR(ISBLANK(I77),I77=""),EOMONTH(DATE(EINSTELLUNG!$C$35,$A$1,1),0),I77)-MAX(D77,DATE(EINSTELLUNG!$C$35,$A$1,1))+1)/DAY(EOMONTH(DATE(EINSTELLUNG!$C$35,$A$1,1),0))*F77,2),"")</f>
        <v/>
      </c>
      <c r="I77" s="186"/>
      <c r="J77" s="187"/>
      <c r="K77" s="364" t="str">
        <f t="shared" si="3"/>
        <v/>
      </c>
      <c r="L77" s="366"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88"/>
      <c r="N77" s="189"/>
    </row>
    <row r="78" spans="1:14" ht="21.95" customHeight="1" x14ac:dyDescent="0.35">
      <c r="A78" s="363" t="s">
        <v>149</v>
      </c>
      <c r="B78" s="152"/>
      <c r="C78" s="153"/>
      <c r="D78" s="158"/>
      <c r="E78" s="155"/>
      <c r="F78" s="156"/>
      <c r="G78" s="364" t="str">
        <f>IF(OR(E78="",F78=""),"",PID_KVLohnLookup($A$1,E78,F78,LOHNTABELLE!$H$4))</f>
        <v/>
      </c>
      <c r="H78" s="365" t="str">
        <f>IF(AND(ISNUMBER(D78),ISNUMBER(F78)),ROUNDDOWN(MIN(IF(OR(ISBLANK(I78),I78=""),EOMONTH(DATE(EINSTELLUNG!$C$35,$A$1,1),0),I78)-MAX(D78,DATE(EINSTELLUNG!$C$35,$A$1,1))+1)/DAY(EOMONTH(DATE(EINSTELLUNG!$C$35,$A$1,1),0))*F78,2),"")</f>
        <v/>
      </c>
      <c r="I78" s="158"/>
      <c r="J78" s="165"/>
      <c r="K78" s="364" t="str">
        <f t="shared" si="3"/>
        <v/>
      </c>
      <c r="L78" s="366"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167"/>
      <c r="N78" s="168"/>
    </row>
    <row r="79" spans="1:14" ht="21.95" customHeight="1" x14ac:dyDescent="0.35">
      <c r="A79" s="363" t="s">
        <v>150</v>
      </c>
      <c r="B79" s="181"/>
      <c r="C79" s="182"/>
      <c r="D79" s="186"/>
      <c r="E79" s="184"/>
      <c r="F79" s="190"/>
      <c r="G79" s="364" t="str">
        <f>IF(OR(E79="",F79=""),"",PID_KVLohnLookup($A$1,E79,F79,LOHNTABELLE!$H$4))</f>
        <v/>
      </c>
      <c r="H79" s="365" t="str">
        <f>IF(AND(ISNUMBER(D79),ISNUMBER(F79)),ROUNDDOWN(MIN(IF(OR(ISBLANK(I79),I79=""),EOMONTH(DATE(EINSTELLUNG!$C$35,$A$1,1),0),I79)-MAX(D79,DATE(EINSTELLUNG!$C$35,$A$1,1))+1)/DAY(EOMONTH(DATE(EINSTELLUNG!$C$35,$A$1,1),0))*F79,2),"")</f>
        <v/>
      </c>
      <c r="I79" s="186"/>
      <c r="J79" s="187"/>
      <c r="K79" s="364" t="str">
        <f t="shared" si="3"/>
        <v/>
      </c>
      <c r="L79" s="366"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88"/>
      <c r="N79" s="189"/>
    </row>
    <row r="80" spans="1:14" ht="21.95" customHeight="1" x14ac:dyDescent="0.35">
      <c r="A80" s="363" t="s">
        <v>151</v>
      </c>
      <c r="B80" s="152"/>
      <c r="C80" s="153"/>
      <c r="D80" s="158"/>
      <c r="E80" s="155"/>
      <c r="F80" s="156"/>
      <c r="G80" s="364" t="str">
        <f>IF(OR(E80="",F80=""),"",PID_KVLohnLookup($A$1,E80,F80,LOHNTABELLE!$H$4))</f>
        <v/>
      </c>
      <c r="H80" s="365" t="str">
        <f>IF(AND(ISNUMBER(D80),ISNUMBER(F80)),ROUNDDOWN(MIN(IF(OR(ISBLANK(I80),I80=""),EOMONTH(DATE(EINSTELLUNG!$C$35,$A$1,1),0),I80)-MAX(D80,DATE(EINSTELLUNG!$C$35,$A$1,1))+1)/DAY(EOMONTH(DATE(EINSTELLUNG!$C$35,$A$1,1),0))*F80,2),"")</f>
        <v/>
      </c>
      <c r="I80" s="158"/>
      <c r="J80" s="165"/>
      <c r="K80" s="364" t="str">
        <f t="shared" si="3"/>
        <v/>
      </c>
      <c r="L80" s="366"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167"/>
      <c r="N80" s="168"/>
    </row>
    <row r="81" spans="1:14" ht="21.95" customHeight="1" x14ac:dyDescent="0.35">
      <c r="A81" s="363" t="s">
        <v>152</v>
      </c>
      <c r="B81" s="181"/>
      <c r="C81" s="182"/>
      <c r="D81" s="186"/>
      <c r="E81" s="184"/>
      <c r="F81" s="190"/>
      <c r="G81" s="364" t="str">
        <f>IF(OR(E81="",F81=""),"",PID_KVLohnLookup($A$1,E81,F81,LOHNTABELLE!$H$4))</f>
        <v/>
      </c>
      <c r="H81" s="365" t="str">
        <f>IF(AND(ISNUMBER(D81),ISNUMBER(F81)),ROUNDDOWN(MIN(IF(OR(ISBLANK(I81),I81=""),EOMONTH(DATE(EINSTELLUNG!$C$35,$A$1,1),0),I81)-MAX(D81,DATE(EINSTELLUNG!$C$35,$A$1,1))+1)/DAY(EOMONTH(DATE(EINSTELLUNG!$C$35,$A$1,1),0))*F81,2),"")</f>
        <v/>
      </c>
      <c r="I81" s="186"/>
      <c r="J81" s="187"/>
      <c r="K81" s="364" t="str">
        <f t="shared" si="3"/>
        <v/>
      </c>
      <c r="L81" s="366"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88"/>
      <c r="N81" s="189"/>
    </row>
    <row r="82" spans="1:14" ht="21.95" customHeight="1" thickBot="1" x14ac:dyDescent="0.4">
      <c r="A82" s="423" t="s">
        <v>153</v>
      </c>
      <c r="B82" s="160"/>
      <c r="C82" s="161"/>
      <c r="D82" s="162"/>
      <c r="E82" s="163"/>
      <c r="F82" s="164"/>
      <c r="G82" s="424" t="str">
        <f>IF(OR(E82="",F82=""),"",PID_KVLohnLookup($A$1,E82,F82,LOHNTABELLE!$H$4))</f>
        <v/>
      </c>
      <c r="H82" s="425" t="str">
        <f>IF(AND(ISNUMBER(D82),ISNUMBER(F82)),ROUNDDOWN(MIN(IF(OR(ISBLANK(I82),I82=""),EOMONTH(DATE(EINSTELLUNG!$C$35,$A$1,1),0),I82)-MAX(D82,DATE(EINSTELLUNG!$C$35,$A$1,1))+1)/DAY(EOMONTH(DATE(EINSTELLUNG!$C$35,$A$1,1),0))*F82,2),"")</f>
        <v/>
      </c>
      <c r="I82" s="162"/>
      <c r="J82" s="166"/>
      <c r="K82" s="424" t="str">
        <f t="shared" si="3"/>
        <v/>
      </c>
      <c r="L82" s="42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71"/>
      <c r="N82" s="172"/>
    </row>
    <row r="100" spans="26:26" ht="15.95" customHeight="1" x14ac:dyDescent="0.3">
      <c r="Z100" s="343"/>
    </row>
  </sheetData>
  <sheetProtection algorithmName="SHA-512" hashValue="zQF0mF2nm4thJdFswVDxactr18UJPcdR3I+AAr5ac8xcAPp+5wsvUyZgZ6+q9chPw3eY4p9OLdCdtYn0AmIerw==" saltValue="CUEHMLNB4lHP6tQeUn+tHw==" spinCount="100000" sheet="1" objects="1" scenarios="1" autoFilter="0"/>
  <sortState xmlns:xlrd2="http://schemas.microsoft.com/office/spreadsheetml/2017/richdata2" ref="B3:N82">
    <sortCondition ref="B3:B82"/>
    <sortCondition ref="C3:C82"/>
  </sortState>
  <mergeCells count="102">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O12:P12"/>
    <mergeCell ref="O25:P25"/>
    <mergeCell ref="O11:P11"/>
    <mergeCell ref="O22:P22"/>
    <mergeCell ref="O38:P38"/>
    <mergeCell ref="Q11:R11"/>
    <mergeCell ref="O13:P13"/>
    <mergeCell ref="Q13:R13"/>
    <mergeCell ref="O14:P14"/>
    <mergeCell ref="Q14:R14"/>
    <mergeCell ref="O15:P15"/>
    <mergeCell ref="Q15:R15"/>
    <mergeCell ref="O17:P17"/>
    <mergeCell ref="Q17:R17"/>
    <mergeCell ref="Q22:R22"/>
    <mergeCell ref="O23:P23"/>
    <mergeCell ref="Q23:R23"/>
    <mergeCell ref="O24:P24"/>
    <mergeCell ref="Q24:R24"/>
    <mergeCell ref="Q28:R28"/>
    <mergeCell ref="Q20:R20"/>
    <mergeCell ref="O21:P21"/>
    <mergeCell ref="Q21:R21"/>
    <mergeCell ref="Q38:R38"/>
    <mergeCell ref="S38:T38"/>
    <mergeCell ref="O37:P37"/>
    <mergeCell ref="O35:P35"/>
    <mergeCell ref="O36:P36"/>
    <mergeCell ref="Q36:R36"/>
    <mergeCell ref="S36:T36"/>
    <mergeCell ref="Q25:R25"/>
    <mergeCell ref="O26:P26"/>
    <mergeCell ref="Q26:R26"/>
    <mergeCell ref="Q27:R27"/>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BD3BE75-4AF3-42A1-B0BA-5F271452C508}">
          <x14:formula1>
            <xm:f>KV_DROPDOWN_HELPER!$AJY$1:$AJY$12</xm:f>
          </x14:formula1>
          <xm:sqref>E3:E82</xm:sqref>
        </x14:dataValidation>
        <x14:dataValidation type="list" allowBlank="1" showInputMessage="1" showErrorMessage="1" xr:uid="{D4620857-45CA-43F8-AB69-5463BDCE4B7C}">
          <x14:formula1>
            <xm:f>KV_DROPDOWN_HELPER!$FE$1:$FE$13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40625" defaultRowHeight="15.95" customHeight="1" x14ac:dyDescent="0.3"/>
  <cols>
    <col min="1" max="1" width="4.42578125" style="427" customWidth="1"/>
    <col min="2" max="2" width="9.140625" style="427" customWidth="1"/>
    <col min="3" max="3" width="35.5703125" style="263" customWidth="1"/>
    <col min="4" max="4" width="13.5703125" style="263" customWidth="1"/>
    <col min="5" max="5" width="9.5703125" style="263" customWidth="1"/>
    <col min="6" max="6" width="10.5703125" style="263" customWidth="1"/>
    <col min="7" max="7" width="13.5703125" style="263" customWidth="1"/>
    <col min="8" max="8" width="11.5703125" style="263" customWidth="1"/>
    <col min="9" max="10" width="13.5703125" style="263" customWidth="1"/>
    <col min="11" max="11" width="14.5703125" style="263" customWidth="1"/>
    <col min="12" max="12" width="14.5703125" style="389" customWidth="1"/>
    <col min="13" max="13" width="17.85546875" style="263" customWidth="1"/>
    <col min="14" max="14" width="34.5703125" style="263" customWidth="1"/>
    <col min="15" max="15" width="12.5703125" style="263" customWidth="1"/>
    <col min="16" max="16" width="16.5703125" style="263" customWidth="1"/>
    <col min="17" max="17" width="14.5703125" style="263" customWidth="1"/>
    <col min="18" max="18" width="13.5703125" style="263" customWidth="1"/>
    <col min="19" max="19" width="9.5703125" style="263" customWidth="1"/>
    <col min="20" max="20" width="10.5703125" style="263" customWidth="1"/>
    <col min="21" max="21" width="7.5703125" style="263" customWidth="1"/>
    <col min="22" max="27" width="9.140625" style="263"/>
    <col min="28" max="28" width="10.5703125" style="263" bestFit="1" customWidth="1"/>
    <col min="29" max="16384" width="9.140625" style="263"/>
  </cols>
  <sheetData>
    <row r="1" spans="1:28" ht="18" customHeight="1" x14ac:dyDescent="0.3">
      <c r="A1" s="344">
        <v>4</v>
      </c>
      <c r="B1" s="345" t="s">
        <v>179</v>
      </c>
      <c r="C1" s="346" t="s">
        <v>39</v>
      </c>
      <c r="D1" s="346" t="s">
        <v>180</v>
      </c>
      <c r="E1" s="346" t="s">
        <v>0</v>
      </c>
      <c r="F1" s="346" t="s">
        <v>40</v>
      </c>
      <c r="G1" s="346" t="s">
        <v>41</v>
      </c>
      <c r="H1" s="346" t="s">
        <v>42</v>
      </c>
      <c r="I1" s="346" t="s">
        <v>181</v>
      </c>
      <c r="J1" s="346" t="s">
        <v>43</v>
      </c>
      <c r="K1" s="346" t="s">
        <v>44</v>
      </c>
      <c r="L1" s="346" t="s">
        <v>45</v>
      </c>
      <c r="M1" s="346" t="s">
        <v>46</v>
      </c>
      <c r="N1" s="347" t="s">
        <v>182</v>
      </c>
      <c r="AB1" s="348">
        <f>DATE(EINSTELLUNG!$C$35,$A$1,1)</f>
        <v>46113</v>
      </c>
    </row>
    <row r="2" spans="1:28" ht="18" customHeight="1" thickBot="1" x14ac:dyDescent="0.35">
      <c r="A2" s="349"/>
      <c r="B2" s="350"/>
      <c r="C2" s="351"/>
      <c r="D2" s="351"/>
      <c r="E2" s="351"/>
      <c r="F2" s="351"/>
      <c r="G2" s="351"/>
      <c r="H2" s="351"/>
      <c r="I2" s="351"/>
      <c r="J2" s="351"/>
      <c r="K2" s="351"/>
      <c r="L2" s="351"/>
      <c r="M2" s="351"/>
      <c r="N2" s="352"/>
      <c r="O2" s="353"/>
      <c r="P2" s="353"/>
      <c r="Q2" s="353"/>
      <c r="S2" s="354" t="s">
        <v>291</v>
      </c>
      <c r="T2" s="354"/>
      <c r="U2" s="354"/>
      <c r="V2" s="354"/>
      <c r="AB2" s="348">
        <f>EOMONTH(DATE(EINSTELLUNG!$C$35,$A$1,1),0)</f>
        <v>46142</v>
      </c>
    </row>
    <row r="3" spans="1:28" ht="21.95" customHeight="1" x14ac:dyDescent="0.35">
      <c r="A3" s="355" t="s">
        <v>292</v>
      </c>
      <c r="B3" s="173">
        <v>21867</v>
      </c>
      <c r="C3" s="151" t="s">
        <v>385</v>
      </c>
      <c r="D3" s="174">
        <v>46023</v>
      </c>
      <c r="E3" s="175" t="s">
        <v>2</v>
      </c>
      <c r="F3" s="176">
        <v>173</v>
      </c>
      <c r="G3" s="356">
        <f>IF(OR(E3="",F3=""),"",PID_KVLohnLookup($A$1,E3,F3,LOHNTABELLE!$H$4))</f>
        <v>2100</v>
      </c>
      <c r="H3" s="357">
        <f>IF(AND(ISNUMBER(D3),ISNUMBER(F3)),ROUNDDOWN(MIN(IF(OR(ISBLANK(I3),I3=""),EOMONTH(DATE(EINSTELLUNG!$C$35,$A$1,1),0),I3)-MAX(D3,DATE(EINSTELLUNG!$C$35,$A$1,1))+1)/DAY(EOMONTH(DATE(EINSTELLUNG!$C$35,$A$1,1),0))*F3,2),"")</f>
        <v>173</v>
      </c>
      <c r="I3" s="177"/>
      <c r="J3" s="178"/>
      <c r="K3" s="356">
        <f t="shared" ref="K3:K34" si="0">IF(OR(B3="",C3=""),"",IFERROR(IF(OR(MONTH(D3)=1,MONTH(D3)=3,MONTH(D3)=5,MONTH(D3)=7,MONTH(D3)=8,MONTH(D3)=10,MONTH(D3)=12),(G3/31)*J3,IF(OR(MONTH(D3)=4,MONTH(D3)=6,MONTH(D3)=9,MONTH(D3)=11),(G3/30)*J3,(G3/DAY(EOMONTH(D3,0)))*J3)),0))</f>
        <v>0</v>
      </c>
      <c r="L3" s="35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2100</v>
      </c>
      <c r="M3" s="179"/>
      <c r="N3" s="180"/>
      <c r="O3" s="359" t="s">
        <v>47</v>
      </c>
      <c r="P3" s="359" t="s">
        <v>48</v>
      </c>
      <c r="Q3" s="359" t="s">
        <v>49</v>
      </c>
      <c r="R3" s="360" t="s">
        <v>50</v>
      </c>
      <c r="S3" s="361"/>
      <c r="T3" s="361"/>
      <c r="U3" s="361"/>
      <c r="V3" s="361"/>
      <c r="AB3" s="362"/>
    </row>
    <row r="4" spans="1:28" ht="21.95" customHeight="1" x14ac:dyDescent="0.35">
      <c r="A4" s="363" t="s">
        <v>51</v>
      </c>
      <c r="B4" s="152">
        <v>221340</v>
      </c>
      <c r="C4" s="153" t="s">
        <v>333</v>
      </c>
      <c r="D4" s="154">
        <v>32994</v>
      </c>
      <c r="E4" s="155" t="s">
        <v>2</v>
      </c>
      <c r="F4" s="156">
        <v>151.38</v>
      </c>
      <c r="G4" s="364">
        <f>IF(OR(E4="",F4=""),"",PID_KVLohnLookup($A$1,E4,F4,LOHNTABELLE!$H$4))</f>
        <v>1768.38</v>
      </c>
      <c r="H4" s="365">
        <f>IF(AND(ISNUMBER(D4),ISNUMBER(F4)),ROUNDDOWN(MIN(IF(OR(ISBLANK(I4),I4=""),EOMONTH(DATE(EINSTELLUNG!$C$35,$A$1,1),0),I4)-MAX(D4,DATE(EINSTELLUNG!$C$35,$A$1,1))+1)/DAY(EOMONTH(DATE(EINSTELLUNG!$C$35,$A$1,1),0))*F4,2),"")</f>
        <v>151.38</v>
      </c>
      <c r="I4" s="158"/>
      <c r="J4" s="165"/>
      <c r="K4" s="364">
        <f t="shared" si="0"/>
        <v>0</v>
      </c>
      <c r="L4" s="366">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1768.38</v>
      </c>
      <c r="M4" s="167"/>
      <c r="N4" s="168"/>
      <c r="O4" s="367"/>
      <c r="P4" s="367"/>
      <c r="Q4" s="367"/>
      <c r="R4" s="368"/>
      <c r="S4" s="361"/>
      <c r="T4" s="361"/>
      <c r="U4" s="361"/>
      <c r="V4" s="361"/>
    </row>
    <row r="5" spans="1:28" ht="21.95" customHeight="1" x14ac:dyDescent="0.35">
      <c r="A5" s="363" t="s">
        <v>52</v>
      </c>
      <c r="B5" s="181"/>
      <c r="C5" s="182"/>
      <c r="D5" s="183"/>
      <c r="E5" s="184"/>
      <c r="F5" s="185"/>
      <c r="G5" s="364" t="str">
        <f>IF(OR(E5="",F5=""),"",PID_KVLohnLookup($A$1,E5,F5,LOHNTABELLE!$H$4))</f>
        <v/>
      </c>
      <c r="H5" s="365" t="str">
        <f>IF(AND(ISNUMBER(D5),ISNUMBER(F5)),ROUNDDOWN(MIN(IF(OR(ISBLANK(I5),I5=""),EOMONTH(DATE(EINSTELLUNG!$C$35,$A$1,1),0),I5)-MAX(D5,DATE(EINSTELLUNG!$C$35,$A$1,1))+1)/DAY(EOMONTH(DATE(EINSTELLUNG!$C$35,$A$1,1),0))*F5,2),"")</f>
        <v/>
      </c>
      <c r="I5" s="186"/>
      <c r="J5" s="187"/>
      <c r="K5" s="364" t="str">
        <f t="shared" si="0"/>
        <v/>
      </c>
      <c r="L5" s="366"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188"/>
      <c r="N5" s="189"/>
      <c r="O5" s="369" cm="1">
        <f t="array" ref="O5">SUMPRODUCT((F3:F82/4.310808)/5*2.08)</f>
        <v>31.303198843465079</v>
      </c>
      <c r="P5" s="370">
        <f>EINSTELLUNG!I9</f>
        <v>0</v>
      </c>
      <c r="Q5" s="370">
        <f>P5-O5</f>
        <v>-31.303198843465079</v>
      </c>
      <c r="R5" s="371">
        <f>IFERROR(Q5*Q42, 0)</f>
        <v>-373.30497670042377</v>
      </c>
      <c r="S5" s="361"/>
      <c r="T5" s="361"/>
      <c r="U5" s="361"/>
      <c r="V5" s="361"/>
    </row>
    <row r="6" spans="1:28" ht="21.95" customHeight="1" x14ac:dyDescent="0.35">
      <c r="A6" s="363" t="s">
        <v>53</v>
      </c>
      <c r="B6" s="152"/>
      <c r="C6" s="153"/>
      <c r="D6" s="154"/>
      <c r="E6" s="155"/>
      <c r="F6" s="156"/>
      <c r="G6" s="364" t="str">
        <f>IF(OR(E6="",F6=""),"",PID_KVLohnLookup($A$1,E6,F6,LOHNTABELLE!$H$4))</f>
        <v/>
      </c>
      <c r="H6" s="365" t="str">
        <f>IF(AND(ISNUMBER(D6),ISNUMBER(F6)),ROUNDDOWN(MIN(IF(OR(ISBLANK(I6),I6=""),EOMONTH(DATE(EINSTELLUNG!$C$35,$A$1,1),0),I6)-MAX(D6,DATE(EINSTELLUNG!$C$35,$A$1,1))+1)/DAY(EOMONTH(DATE(EINSTELLUNG!$C$35,$A$1,1),0))*F6,2),"")</f>
        <v/>
      </c>
      <c r="I6" s="158"/>
      <c r="J6" s="165"/>
      <c r="K6" s="364" t="str">
        <f t="shared" si="0"/>
        <v/>
      </c>
      <c r="L6" s="366"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167"/>
      <c r="N6" s="168"/>
      <c r="O6" s="372" t="str">
        <f>IF(Q5&lt;0, "Schlecht! Zu wenig Urlaub abgebaut.", IF(Q5&gt;0, "Gut! Mehr Urlaub abgebaut als aufgebaut.", ""))</f>
        <v>Schlecht! Zu wenig Urlaub abgebaut.</v>
      </c>
      <c r="P6" s="373"/>
      <c r="Q6" s="373"/>
      <c r="R6" s="374"/>
      <c r="S6" s="361"/>
      <c r="T6" s="361"/>
      <c r="U6" s="361"/>
      <c r="V6" s="361"/>
    </row>
    <row r="7" spans="1:28" ht="21.95" customHeight="1" thickBot="1" x14ac:dyDescent="0.4">
      <c r="A7" s="363" t="s">
        <v>54</v>
      </c>
      <c r="B7" s="181"/>
      <c r="C7" s="182"/>
      <c r="D7" s="183"/>
      <c r="E7" s="184"/>
      <c r="F7" s="190"/>
      <c r="G7" s="364" t="str">
        <f>IF(OR(E7="",F7=""),"",PID_KVLohnLookup($A$1,E7,F7,LOHNTABELLE!$H$4))</f>
        <v/>
      </c>
      <c r="H7" s="365" t="str">
        <f>IF(AND(ISNUMBER(D7),ISNUMBER(F7)),ROUNDDOWN(MIN(IF(OR(ISBLANK(I7),I7=""),EOMONTH(DATE(EINSTELLUNG!$C$35,$A$1,1),0),I7)-MAX(D7,DATE(EINSTELLUNG!$C$35,$A$1,1))+1)/DAY(EOMONTH(DATE(EINSTELLUNG!$C$35,$A$1,1),0))*F7,2),"")</f>
        <v/>
      </c>
      <c r="I7" s="186"/>
      <c r="J7" s="187"/>
      <c r="K7" s="364" t="str">
        <f t="shared" si="0"/>
        <v/>
      </c>
      <c r="L7" s="366"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188"/>
      <c r="N7" s="189"/>
      <c r="O7" s="361"/>
      <c r="P7" s="361"/>
      <c r="Q7" s="361"/>
      <c r="R7" s="361"/>
      <c r="S7" s="361"/>
      <c r="T7" s="361"/>
      <c r="U7" s="361"/>
      <c r="V7" s="361"/>
    </row>
    <row r="8" spans="1:28" ht="21.95" customHeight="1" x14ac:dyDescent="0.35">
      <c r="A8" s="363" t="s">
        <v>55</v>
      </c>
      <c r="B8" s="152"/>
      <c r="C8" s="153"/>
      <c r="D8" s="154"/>
      <c r="E8" s="155"/>
      <c r="F8" s="156"/>
      <c r="G8" s="364" t="str">
        <f>IF(OR(E8="",F8=""),"",PID_KVLohnLookup($A$1,E8,F8,LOHNTABELLE!$H$4))</f>
        <v/>
      </c>
      <c r="H8" s="365" t="str">
        <f>IF(AND(ISNUMBER(D8),ISNUMBER(F8)),ROUNDDOWN(MIN(IF(OR(ISBLANK(I8),I8=""),EOMONTH(DATE(EINSTELLUNG!$C$35,$A$1,1),0),I8)-MAX(D8,DATE(EINSTELLUNG!$C$35,$A$1,1))+1)/DAY(EOMONTH(DATE(EINSTELLUNG!$C$35,$A$1,1),0))*F8,2),"")</f>
        <v/>
      </c>
      <c r="I8" s="158"/>
      <c r="J8" s="165"/>
      <c r="K8" s="364" t="str">
        <f t="shared" si="0"/>
        <v/>
      </c>
      <c r="L8" s="366"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167"/>
      <c r="N8" s="168"/>
      <c r="O8" s="375" t="s">
        <v>56</v>
      </c>
      <c r="P8" s="376"/>
      <c r="Q8" s="377">
        <f>SUM(H3:H82)</f>
        <v>324.38</v>
      </c>
      <c r="R8" s="378"/>
      <c r="S8" s="361"/>
      <c r="T8" s="361"/>
      <c r="U8" s="361"/>
      <c r="V8" s="361"/>
    </row>
    <row r="9" spans="1:28" ht="21.95" customHeight="1" x14ac:dyDescent="0.35">
      <c r="A9" s="363" t="s">
        <v>57</v>
      </c>
      <c r="B9" s="181"/>
      <c r="C9" s="182"/>
      <c r="D9" s="183"/>
      <c r="E9" s="184"/>
      <c r="F9" s="190"/>
      <c r="G9" s="364" t="str">
        <f>IF(OR(E9="",F9=""),"",PID_KVLohnLookup($A$1,E9,F9,LOHNTABELLE!$H$4))</f>
        <v/>
      </c>
      <c r="H9" s="365" t="str">
        <f>IF(AND(ISNUMBER(D9),ISNUMBER(F9)),ROUNDDOWN(MIN(IF(OR(ISBLANK(I9),I9=""),EOMONTH(DATE(EINSTELLUNG!$C$35,$A$1,1),0),I9)-MAX(D9,DATE(EINSTELLUNG!$C$35,$A$1,1))+1)/DAY(EOMONTH(DATE(EINSTELLUNG!$C$35,$A$1,1),0))*F9,2),"")</f>
        <v/>
      </c>
      <c r="I9" s="186"/>
      <c r="J9" s="187"/>
      <c r="K9" s="364" t="str">
        <f t="shared" si="0"/>
        <v/>
      </c>
      <c r="L9" s="366"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188"/>
      <c r="N9" s="189"/>
      <c r="O9" s="379" t="s">
        <v>58</v>
      </c>
      <c r="P9" s="380"/>
      <c r="Q9" s="381">
        <f>EINSTELLUNG!L25</f>
        <v>0</v>
      </c>
      <c r="R9" s="382"/>
      <c r="S9" s="383">
        <f>IFERROR(Q9/Q8, 0)</f>
        <v>0</v>
      </c>
      <c r="T9" s="361"/>
      <c r="U9" s="361"/>
      <c r="V9" s="361"/>
    </row>
    <row r="10" spans="1:28" ht="21.95" customHeight="1" x14ac:dyDescent="0.35">
      <c r="A10" s="363" t="s">
        <v>59</v>
      </c>
      <c r="B10" s="152"/>
      <c r="C10" s="153"/>
      <c r="D10" s="154"/>
      <c r="E10" s="155"/>
      <c r="F10" s="156"/>
      <c r="G10" s="364" t="str">
        <f>IF(OR(E10="",F10=""),"",PID_KVLohnLookup($A$1,E10,F10,LOHNTABELLE!$H$4))</f>
        <v/>
      </c>
      <c r="H10" s="365" t="str">
        <f>IF(AND(ISNUMBER(D10),ISNUMBER(F10)),ROUNDDOWN(MIN(IF(OR(ISBLANK(I10),I10=""),EOMONTH(DATE(EINSTELLUNG!$C$35,$A$1,1),0),I10)-MAX(D10,DATE(EINSTELLUNG!$C$35,$A$1,1))+1)/DAY(EOMONTH(DATE(EINSTELLUNG!$C$35,$A$1,1),0))*F10,2),"")</f>
        <v/>
      </c>
      <c r="I10" s="158"/>
      <c r="J10" s="165"/>
      <c r="K10" s="364" t="str">
        <f t="shared" si="0"/>
        <v/>
      </c>
      <c r="L10" s="366"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167"/>
      <c r="N10" s="168"/>
      <c r="O10" s="379" t="s">
        <v>60</v>
      </c>
      <c r="P10" s="380"/>
      <c r="Q10" s="381">
        <f>EINSTELLUNG!I25</f>
        <v>0</v>
      </c>
      <c r="R10" s="382"/>
      <c r="S10" s="361"/>
      <c r="T10" s="361"/>
      <c r="U10" s="361"/>
      <c r="V10" s="361"/>
    </row>
    <row r="11" spans="1:28" ht="21.95" customHeight="1" x14ac:dyDescent="0.35">
      <c r="A11" s="363" t="s">
        <v>61</v>
      </c>
      <c r="B11" s="181"/>
      <c r="C11" s="182"/>
      <c r="D11" s="183"/>
      <c r="E11" s="184"/>
      <c r="F11" s="190"/>
      <c r="G11" s="364" t="str">
        <f>IF(OR(E11="",F11=""),"",PID_KVLohnLookup($A$1,E11,F11,LOHNTABELLE!$H$4))</f>
        <v/>
      </c>
      <c r="H11" s="365" t="str">
        <f>IF(AND(ISNUMBER(D11),ISNUMBER(F11)),ROUNDDOWN(MIN(IF(OR(ISBLANK(I11),I11=""),EOMONTH(DATE(EINSTELLUNG!$C$35,$A$1,1),0),I11)-MAX(D11,DATE(EINSTELLUNG!$C$35,$A$1,1))+1)/DAY(EOMONTH(DATE(EINSTELLUNG!$C$35,$A$1,1),0))*F11,2),"")</f>
        <v/>
      </c>
      <c r="I11" s="186"/>
      <c r="J11" s="187"/>
      <c r="K11" s="364" t="str">
        <f t="shared" si="0"/>
        <v/>
      </c>
      <c r="L11" s="366"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188"/>
      <c r="N11" s="189"/>
      <c r="O11" s="379" t="s">
        <v>62</v>
      </c>
      <c r="P11" s="380"/>
      <c r="Q11" s="381">
        <f>P5</f>
        <v>0</v>
      </c>
      <c r="R11" s="382"/>
      <c r="S11" s="361"/>
      <c r="T11" s="361"/>
      <c r="U11" s="361"/>
      <c r="V11" s="361"/>
    </row>
    <row r="12" spans="1:28" ht="21.95" customHeight="1" x14ac:dyDescent="0.35">
      <c r="A12" s="363" t="s">
        <v>63</v>
      </c>
      <c r="B12" s="152"/>
      <c r="C12" s="153"/>
      <c r="D12" s="154"/>
      <c r="E12" s="155"/>
      <c r="F12" s="156"/>
      <c r="G12" s="364" t="str">
        <f>IF(OR(E12="",F12=""),"",PID_KVLohnLookup($A$1,E12,F12,LOHNTABELLE!$H$4))</f>
        <v/>
      </c>
      <c r="H12" s="365" t="str">
        <f>IF(AND(ISNUMBER(D12),ISNUMBER(F12)),ROUNDDOWN(MIN(IF(OR(ISBLANK(I12),I12=""),EOMONTH(DATE(EINSTELLUNG!$C$35,$A$1,1),0),I12)-MAX(D12,DATE(EINSTELLUNG!$C$35,$A$1,1))+1)/DAY(EOMONTH(DATE(EINSTELLUNG!$C$35,$A$1,1),0))*F12,2),"")</f>
        <v/>
      </c>
      <c r="I12" s="158"/>
      <c r="J12" s="165"/>
      <c r="K12" s="364" t="str">
        <f t="shared" si="0"/>
        <v/>
      </c>
      <c r="L12" s="366"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167"/>
      <c r="N12" s="168"/>
      <c r="O12" s="379" t="s">
        <v>64</v>
      </c>
      <c r="P12" s="380"/>
      <c r="Q12" s="199"/>
      <c r="R12" s="200"/>
      <c r="S12" s="361"/>
      <c r="T12" s="361"/>
      <c r="U12" s="361"/>
      <c r="V12" s="361"/>
    </row>
    <row r="13" spans="1:28" ht="21.95" customHeight="1" x14ac:dyDescent="0.35">
      <c r="A13" s="363" t="s">
        <v>65</v>
      </c>
      <c r="B13" s="181"/>
      <c r="C13" s="182"/>
      <c r="D13" s="183"/>
      <c r="E13" s="184"/>
      <c r="F13" s="190"/>
      <c r="G13" s="364" t="str">
        <f>IF(OR(E13="",F13=""),"",PID_KVLohnLookup($A$1,E13,F13,LOHNTABELLE!$H$4))</f>
        <v/>
      </c>
      <c r="H13" s="365" t="str">
        <f>IF(AND(ISNUMBER(D13),ISNUMBER(F13)),ROUNDDOWN(MIN(IF(OR(ISBLANK(I13),I13=""),EOMONTH(DATE(EINSTELLUNG!$C$35,$A$1,1),0),I13)-MAX(D13,DATE(EINSTELLUNG!$C$35,$A$1,1))+1)/DAY(EOMONTH(DATE(EINSTELLUNG!$C$35,$A$1,1),0))*F13,2),"")</f>
        <v/>
      </c>
      <c r="I13" s="186"/>
      <c r="J13" s="187"/>
      <c r="K13" s="364" t="str">
        <f t="shared" si="0"/>
        <v/>
      </c>
      <c r="L13" s="366"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188"/>
      <c r="N13" s="189"/>
      <c r="O13" s="379" t="s">
        <v>66</v>
      </c>
      <c r="P13" s="380"/>
      <c r="Q13" s="381">
        <f>Q8-Q9-Q10-Q11-Q12</f>
        <v>324.38</v>
      </c>
      <c r="R13" s="382"/>
      <c r="S13" s="361"/>
      <c r="T13" s="361"/>
      <c r="U13" s="361"/>
      <c r="V13" s="361"/>
    </row>
    <row r="14" spans="1:28" ht="21.95" customHeight="1" x14ac:dyDescent="0.35">
      <c r="A14" s="363" t="s">
        <v>67</v>
      </c>
      <c r="B14" s="152"/>
      <c r="C14" s="153"/>
      <c r="D14" s="154"/>
      <c r="E14" s="155"/>
      <c r="F14" s="156"/>
      <c r="G14" s="364" t="str">
        <f>IF(OR(E14="",F14=""),"",PID_KVLohnLookup($A$1,E14,F14,LOHNTABELLE!$H$4))</f>
        <v/>
      </c>
      <c r="H14" s="365" t="str">
        <f>IF(AND(ISNUMBER(D14),ISNUMBER(F14)),ROUNDDOWN(MIN(IF(OR(ISBLANK(I14),I14=""),EOMONTH(DATE(EINSTELLUNG!$C$35,$A$1,1),0),I14)-MAX(D14,DATE(EINSTELLUNG!$C$35,$A$1,1))+1)/DAY(EOMONTH(DATE(EINSTELLUNG!$C$35,$A$1,1),0))*F14,2),"")</f>
        <v/>
      </c>
      <c r="I14" s="158"/>
      <c r="J14" s="165"/>
      <c r="K14" s="364" t="str">
        <f t="shared" si="0"/>
        <v/>
      </c>
      <c r="L14" s="366"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167"/>
      <c r="N14" s="168"/>
      <c r="O14" s="379" t="s">
        <v>68</v>
      </c>
      <c r="P14" s="380"/>
      <c r="Q14" s="381">
        <f>EINSTELLUNG!L9</f>
        <v>0</v>
      </c>
      <c r="R14" s="382"/>
      <c r="S14" s="361"/>
      <c r="T14" s="361"/>
      <c r="U14" s="361"/>
      <c r="V14" s="361"/>
    </row>
    <row r="15" spans="1:28" ht="18" customHeight="1" x14ac:dyDescent="0.35">
      <c r="A15" s="363" t="s">
        <v>69</v>
      </c>
      <c r="B15" s="181"/>
      <c r="C15" s="182"/>
      <c r="D15" s="183"/>
      <c r="E15" s="184"/>
      <c r="F15" s="190"/>
      <c r="G15" s="364" t="str">
        <f>IF(OR(E15="",F15=""),"",PID_KVLohnLookup($A$1,E15,F15,LOHNTABELLE!$H$4))</f>
        <v/>
      </c>
      <c r="H15" s="365" t="str">
        <f>IF(AND(ISNUMBER(D15),ISNUMBER(F15)),ROUNDDOWN(MIN(IF(OR(ISBLANK(I15),I15=""),EOMONTH(DATE(EINSTELLUNG!$C$35,$A$1,1),0),I15)-MAX(D15,DATE(EINSTELLUNG!$C$35,$A$1,1))+1)/DAY(EOMONTH(DATE(EINSTELLUNG!$C$35,$A$1,1),0))*F15,2),"")</f>
        <v/>
      </c>
      <c r="I15" s="186"/>
      <c r="J15" s="187"/>
      <c r="K15" s="364" t="str">
        <f t="shared" si="0"/>
        <v/>
      </c>
      <c r="L15" s="366"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188"/>
      <c r="N15" s="189"/>
      <c r="O15" s="379" t="s">
        <v>70</v>
      </c>
      <c r="P15" s="380"/>
      <c r="Q15" s="381">
        <f>Q13-Q14</f>
        <v>324.38</v>
      </c>
      <c r="R15" s="382"/>
      <c r="S15" s="384"/>
      <c r="T15" s="384"/>
      <c r="U15" s="384"/>
      <c r="V15" s="361"/>
    </row>
    <row r="16" spans="1:28" ht="21.95" customHeight="1" thickBot="1" x14ac:dyDescent="0.4">
      <c r="A16" s="363" t="s">
        <v>71</v>
      </c>
      <c r="B16" s="152"/>
      <c r="C16" s="153"/>
      <c r="D16" s="154"/>
      <c r="E16" s="155"/>
      <c r="F16" s="156"/>
      <c r="G16" s="364" t="str">
        <f>IF(OR(E16="",F16=""),"",PID_KVLohnLookup($A$1,E16,F16,LOHNTABELLE!$H$4))</f>
        <v/>
      </c>
      <c r="H16" s="365" t="str">
        <f>IF(AND(ISNUMBER(D16),ISNUMBER(F16)),ROUNDDOWN(MIN(IF(OR(ISBLANK(I16),I16=""),EOMONTH(DATE(EINSTELLUNG!$C$35,$A$1,1),0),I16)-MAX(D16,DATE(EINSTELLUNG!$C$35,$A$1,1))+1)/DAY(EOMONTH(DATE(EINSTELLUNG!$C$35,$A$1,1),0))*F16,2),"")</f>
        <v/>
      </c>
      <c r="I16" s="158"/>
      <c r="J16" s="165"/>
      <c r="K16" s="364" t="str">
        <f t="shared" si="0"/>
        <v/>
      </c>
      <c r="L16" s="366"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167"/>
      <c r="N16" s="168"/>
      <c r="O16" s="385" t="str">
        <f>IF(Q15&lt;0, "Schlecht! Zu wenig Stunden für Dienstplan.", IF(Q15&gt;0, "Du hast mehr als genug Stunden für Dienstplan.", ""))</f>
        <v>Du hast mehr als genug Stunden für Dienstplan.</v>
      </c>
      <c r="P16" s="386"/>
      <c r="Q16" s="386"/>
      <c r="R16" s="387"/>
      <c r="S16" s="388"/>
      <c r="T16" s="388"/>
      <c r="U16" s="388"/>
      <c r="V16" s="388"/>
      <c r="W16" s="389"/>
    </row>
    <row r="17" spans="1:29" ht="18" customHeight="1" x14ac:dyDescent="0.35">
      <c r="A17" s="363" t="s">
        <v>72</v>
      </c>
      <c r="B17" s="181"/>
      <c r="C17" s="182"/>
      <c r="D17" s="183"/>
      <c r="E17" s="184"/>
      <c r="F17" s="190"/>
      <c r="G17" s="364" t="str">
        <f>IF(OR(E17="",F17=""),"",PID_KVLohnLookup($A$1,E17,F17,LOHNTABELLE!$H$4))</f>
        <v/>
      </c>
      <c r="H17" s="365" t="str">
        <f>IF(AND(ISNUMBER(D17),ISNUMBER(F17)),ROUNDDOWN(MIN(IF(OR(ISBLANK(I17),I17=""),EOMONTH(DATE(EINSTELLUNG!$C$35,$A$1,1),0),I17)-MAX(D17,DATE(EINSTELLUNG!$C$35,$A$1,1))+1)/DAY(EOMONTH(DATE(EINSTELLUNG!$C$35,$A$1,1),0))*F17,2),"")</f>
        <v/>
      </c>
      <c r="I17" s="186"/>
      <c r="J17" s="187"/>
      <c r="K17" s="364" t="str">
        <f t="shared" si="0"/>
        <v/>
      </c>
      <c r="L17" s="366"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188"/>
      <c r="N17" s="189"/>
      <c r="O17" s="375" t="s">
        <v>73</v>
      </c>
      <c r="P17" s="376"/>
      <c r="Q17" s="390">
        <f>SUM(L3:L82)</f>
        <v>3868.38</v>
      </c>
      <c r="R17" s="391"/>
      <c r="S17" s="361"/>
      <c r="T17" s="361"/>
      <c r="U17" s="361"/>
      <c r="V17" s="361"/>
      <c r="W17" s="389"/>
    </row>
    <row r="18" spans="1:29" ht="18" customHeight="1" x14ac:dyDescent="0.35">
      <c r="A18" s="363" t="s">
        <v>74</v>
      </c>
      <c r="B18" s="152"/>
      <c r="C18" s="153"/>
      <c r="D18" s="154"/>
      <c r="E18" s="155"/>
      <c r="F18" s="156"/>
      <c r="G18" s="364" t="str">
        <f>IF(OR(E18="",F18=""),"",PID_KVLohnLookup($A$1,E18,F18,LOHNTABELLE!$H$4))</f>
        <v/>
      </c>
      <c r="H18" s="365" t="str">
        <f>IF(AND(ISNUMBER(D18),ISNUMBER(F18)),ROUNDDOWN(MIN(IF(OR(ISBLANK(I18),I18=""),EOMONTH(DATE(EINSTELLUNG!$C$35,$A$1,1),0),I18)-MAX(D18,DATE(EINSTELLUNG!$C$35,$A$1,1))+1)/DAY(EOMONTH(DATE(EINSTELLUNG!$C$35,$A$1,1),0))*F18,2),"")</f>
        <v/>
      </c>
      <c r="I18" s="158"/>
      <c r="J18" s="165"/>
      <c r="K18" s="364" t="str">
        <f t="shared" si="0"/>
        <v/>
      </c>
      <c r="L18" s="366"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167"/>
      <c r="N18" s="168"/>
      <c r="O18" s="472"/>
      <c r="P18" s="196"/>
      <c r="Q18" s="197"/>
      <c r="R18" s="198"/>
      <c r="S18" s="361"/>
      <c r="T18" s="361"/>
      <c r="U18" s="361"/>
      <c r="V18" s="361"/>
    </row>
    <row r="19" spans="1:29" ht="18" customHeight="1" x14ac:dyDescent="0.35">
      <c r="A19" s="363" t="s">
        <v>75</v>
      </c>
      <c r="B19" s="181"/>
      <c r="C19" s="182"/>
      <c r="D19" s="183"/>
      <c r="E19" s="184"/>
      <c r="F19" s="190"/>
      <c r="G19" s="364" t="str">
        <f>IF(OR(E19="",F19=""),"",PID_KVLohnLookup($A$1,E19,F19,LOHNTABELLE!$H$4))</f>
        <v/>
      </c>
      <c r="H19" s="365" t="str">
        <f>IF(AND(ISNUMBER(D19),ISNUMBER(F19)),ROUNDDOWN(MIN(IF(OR(ISBLANK(I19),I19=""),EOMONTH(DATE(EINSTELLUNG!$C$35,$A$1,1),0),I19)-MAX(D19,DATE(EINSTELLUNG!$C$35,$A$1,1))+1)/DAY(EOMONTH(DATE(EINSTELLUNG!$C$35,$A$1,1),0))*F19,2),"")</f>
        <v/>
      </c>
      <c r="I19" s="186"/>
      <c r="J19" s="187"/>
      <c r="K19" s="364" t="str">
        <f t="shared" si="0"/>
        <v/>
      </c>
      <c r="L19" s="366"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188"/>
      <c r="N19" s="189"/>
      <c r="O19" s="472"/>
      <c r="P19" s="196"/>
      <c r="Q19" s="197"/>
      <c r="R19" s="198"/>
      <c r="S19" s="361"/>
      <c r="T19" s="361"/>
      <c r="U19" s="361"/>
      <c r="V19" s="361"/>
    </row>
    <row r="20" spans="1:29" ht="21.95" customHeight="1" x14ac:dyDescent="0.35">
      <c r="A20" s="363" t="s">
        <v>76</v>
      </c>
      <c r="B20" s="152"/>
      <c r="C20" s="153"/>
      <c r="D20" s="154"/>
      <c r="E20" s="155"/>
      <c r="F20" s="156"/>
      <c r="G20" s="364" t="str">
        <f>IF(OR(E20="",F20=""),"",PID_KVLohnLookup($A$1,E20,F20,LOHNTABELLE!$H$4))</f>
        <v/>
      </c>
      <c r="H20" s="365" t="str">
        <f>IF(AND(ISNUMBER(D20),ISNUMBER(F20)),ROUNDDOWN(MIN(IF(OR(ISBLANK(I20),I20=""),EOMONTH(DATE(EINSTELLUNG!$C$35,$A$1,1),0),I20)-MAX(D20,DATE(EINSTELLUNG!$C$35,$A$1,1))+1)/DAY(EOMONTH(DATE(EINSTELLUNG!$C$35,$A$1,1),0))*F20,2),"")</f>
        <v/>
      </c>
      <c r="I20" s="158"/>
      <c r="J20" s="165"/>
      <c r="K20" s="364" t="str">
        <f t="shared" si="0"/>
        <v/>
      </c>
      <c r="L20" s="366"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167"/>
      <c r="N20" s="168"/>
      <c r="O20" s="472"/>
      <c r="P20" s="196"/>
      <c r="Q20" s="197"/>
      <c r="R20" s="198"/>
      <c r="S20" s="361"/>
      <c r="T20" s="361"/>
      <c r="U20" s="361"/>
      <c r="V20" s="361"/>
    </row>
    <row r="21" spans="1:29" ht="18" customHeight="1" x14ac:dyDescent="0.35">
      <c r="A21" s="363" t="s">
        <v>77</v>
      </c>
      <c r="B21" s="181"/>
      <c r="C21" s="182"/>
      <c r="D21" s="183"/>
      <c r="E21" s="184"/>
      <c r="F21" s="190"/>
      <c r="G21" s="364" t="str">
        <f>IF(OR(E21="",F21=""),"",PID_KVLohnLookup($A$1,E21,F21,LOHNTABELLE!$H$4))</f>
        <v/>
      </c>
      <c r="H21" s="365" t="str">
        <f>IF(AND(ISNUMBER(D21),ISNUMBER(F21)),ROUNDDOWN(MIN(IF(OR(ISBLANK(I21),I21=""),EOMONTH(DATE(EINSTELLUNG!$C$35,$A$1,1),0),I21)-MAX(D21,DATE(EINSTELLUNG!$C$35,$A$1,1))+1)/DAY(EOMONTH(DATE(EINSTELLUNG!$C$35,$A$1,1),0))*F21,2),"")</f>
        <v/>
      </c>
      <c r="I21" s="186"/>
      <c r="J21" s="187"/>
      <c r="K21" s="364" t="str">
        <f t="shared" si="0"/>
        <v/>
      </c>
      <c r="L21" s="366"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188"/>
      <c r="N21" s="189"/>
      <c r="O21" s="472"/>
      <c r="P21" s="196"/>
      <c r="Q21" s="197"/>
      <c r="R21" s="198"/>
      <c r="S21" s="361"/>
      <c r="T21" s="361"/>
      <c r="U21" s="361"/>
      <c r="V21" s="361"/>
    </row>
    <row r="22" spans="1:29" ht="21.95" customHeight="1" x14ac:dyDescent="0.35">
      <c r="A22" s="363" t="s">
        <v>78</v>
      </c>
      <c r="B22" s="152"/>
      <c r="C22" s="153"/>
      <c r="D22" s="154"/>
      <c r="E22" s="155"/>
      <c r="F22" s="156"/>
      <c r="G22" s="364" t="str">
        <f>IF(OR(E22="",F22=""),"",PID_KVLohnLookup($A$1,E22,F22,LOHNTABELLE!$H$4))</f>
        <v/>
      </c>
      <c r="H22" s="365" t="str">
        <f>IF(AND(ISNUMBER(D22),ISNUMBER(F22)),ROUNDDOWN(MIN(IF(OR(ISBLANK(I22),I22=""),EOMONTH(DATE(EINSTELLUNG!$C$35,$A$1,1),0),I22)-MAX(D22,DATE(EINSTELLUNG!$C$35,$A$1,1))+1)/DAY(EOMONTH(DATE(EINSTELLUNG!$C$35,$A$1,1),0))*F22,2),"")</f>
        <v/>
      </c>
      <c r="I22" s="158"/>
      <c r="J22" s="165"/>
      <c r="K22" s="364" t="str">
        <f t="shared" si="0"/>
        <v/>
      </c>
      <c r="L22" s="366"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167"/>
      <c r="N22" s="168"/>
      <c r="O22" s="472"/>
      <c r="P22" s="196"/>
      <c r="Q22" s="197"/>
      <c r="R22" s="198"/>
      <c r="S22" s="361"/>
      <c r="T22" s="361"/>
      <c r="U22" s="361"/>
      <c r="V22" s="361"/>
    </row>
    <row r="23" spans="1:29" ht="21.95" customHeight="1" x14ac:dyDescent="0.35">
      <c r="A23" s="363" t="s">
        <v>79</v>
      </c>
      <c r="B23" s="181"/>
      <c r="C23" s="182"/>
      <c r="D23" s="183"/>
      <c r="E23" s="184"/>
      <c r="F23" s="190"/>
      <c r="G23" s="364" t="str">
        <f>IF(OR(E23="",F23=""),"",PID_KVLohnLookup($A$1,E23,F23,LOHNTABELLE!$H$4))</f>
        <v/>
      </c>
      <c r="H23" s="365" t="str">
        <f>IF(AND(ISNUMBER(D23),ISNUMBER(F23)),ROUNDDOWN(MIN(IF(OR(ISBLANK(I23),I23=""),EOMONTH(DATE(EINSTELLUNG!$C$35,$A$1,1),0),I23)-MAX(D23,DATE(EINSTELLUNG!$C$35,$A$1,1))+1)/DAY(EOMONTH(DATE(EINSTELLUNG!$C$35,$A$1,1),0))*F23,2),"")</f>
        <v/>
      </c>
      <c r="I23" s="186"/>
      <c r="J23" s="187"/>
      <c r="K23" s="364" t="str">
        <f t="shared" si="0"/>
        <v/>
      </c>
      <c r="L23" s="366"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188"/>
      <c r="N23" s="189"/>
      <c r="O23" s="472"/>
      <c r="P23" s="196"/>
      <c r="Q23" s="197"/>
      <c r="R23" s="198"/>
      <c r="S23" s="361"/>
      <c r="T23" s="361"/>
      <c r="U23" s="361"/>
      <c r="V23" s="361"/>
      <c r="W23" s="389"/>
    </row>
    <row r="24" spans="1:29" ht="21.95" customHeight="1" x14ac:dyDescent="0.35">
      <c r="A24" s="363" t="s">
        <v>80</v>
      </c>
      <c r="B24" s="152"/>
      <c r="C24" s="153"/>
      <c r="D24" s="154"/>
      <c r="E24" s="155"/>
      <c r="F24" s="156"/>
      <c r="G24" s="364" t="str">
        <f>IF(OR(E24="",F24=""),"",PID_KVLohnLookup($A$1,E24,F24,LOHNTABELLE!$H$4))</f>
        <v/>
      </c>
      <c r="H24" s="365" t="str">
        <f>IF(AND(ISNUMBER(D24),ISNUMBER(F24)),ROUNDDOWN(MIN(IF(OR(ISBLANK(I24),I24=""),EOMONTH(DATE(EINSTELLUNG!$C$35,$A$1,1),0),I24)-MAX(D24,DATE(EINSTELLUNG!$C$35,$A$1,1))+1)/DAY(EOMONTH(DATE(EINSTELLUNG!$C$35,$A$1,1),0))*F24,2),"")</f>
        <v/>
      </c>
      <c r="I24" s="158"/>
      <c r="J24" s="165"/>
      <c r="K24" s="364" t="str">
        <f t="shared" si="0"/>
        <v/>
      </c>
      <c r="L24" s="366"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167"/>
      <c r="N24" s="168"/>
      <c r="O24" s="472"/>
      <c r="P24" s="196"/>
      <c r="Q24" s="197"/>
      <c r="R24" s="198"/>
      <c r="S24" s="361"/>
      <c r="T24" s="361"/>
      <c r="U24" s="361"/>
      <c r="V24" s="361"/>
      <c r="W24" s="389"/>
    </row>
    <row r="25" spans="1:29" ht="21.95" customHeight="1" x14ac:dyDescent="0.35">
      <c r="A25" s="363" t="s">
        <v>81</v>
      </c>
      <c r="B25" s="181"/>
      <c r="C25" s="182"/>
      <c r="D25" s="183"/>
      <c r="E25" s="184"/>
      <c r="F25" s="190"/>
      <c r="G25" s="364" t="str">
        <f>IF(OR(E25="",F25=""),"",PID_KVLohnLookup($A$1,E25,F25,LOHNTABELLE!$H$4))</f>
        <v/>
      </c>
      <c r="H25" s="365" t="str">
        <f>IF(AND(ISNUMBER(D25),ISNUMBER(F25)),ROUNDDOWN(MIN(IF(OR(ISBLANK(I25),I25=""),EOMONTH(DATE(EINSTELLUNG!$C$35,$A$1,1),0),I25)-MAX(D25,DATE(EINSTELLUNG!$C$35,$A$1,1))+1)/DAY(EOMONTH(DATE(EINSTELLUNG!$C$35,$A$1,1),0))*F25,2),"")</f>
        <v/>
      </c>
      <c r="I25" s="186"/>
      <c r="J25" s="187"/>
      <c r="K25" s="364" t="str">
        <f t="shared" si="0"/>
        <v/>
      </c>
      <c r="L25" s="366"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188"/>
      <c r="N25" s="189"/>
      <c r="O25" s="472"/>
      <c r="P25" s="196"/>
      <c r="Q25" s="197"/>
      <c r="R25" s="198"/>
      <c r="S25" s="361"/>
      <c r="T25" s="361"/>
      <c r="U25" s="361"/>
      <c r="V25" s="361"/>
    </row>
    <row r="26" spans="1:29" ht="21.95" customHeight="1" x14ac:dyDescent="0.35">
      <c r="A26" s="363" t="s">
        <v>82</v>
      </c>
      <c r="B26" s="152"/>
      <c r="C26" s="153"/>
      <c r="D26" s="154"/>
      <c r="E26" s="155"/>
      <c r="F26" s="156"/>
      <c r="G26" s="364" t="str">
        <f>IF(OR(E26="",F26=""),"",PID_KVLohnLookup($A$1,E26,F26,LOHNTABELLE!$H$4))</f>
        <v/>
      </c>
      <c r="H26" s="365" t="str">
        <f>IF(AND(ISNUMBER(D26),ISNUMBER(F26)),ROUNDDOWN(MIN(IF(OR(ISBLANK(I26),I26=""),EOMONTH(DATE(EINSTELLUNG!$C$35,$A$1,1),0),I26)-MAX(D26,DATE(EINSTELLUNG!$C$35,$A$1,1))+1)/DAY(EOMONTH(DATE(EINSTELLUNG!$C$35,$A$1,1),0))*F26,2),"")</f>
        <v/>
      </c>
      <c r="I26" s="158"/>
      <c r="J26" s="165"/>
      <c r="K26" s="364" t="str">
        <f t="shared" si="0"/>
        <v/>
      </c>
      <c r="L26" s="366"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167"/>
      <c r="N26" s="168"/>
      <c r="O26" s="195"/>
      <c r="P26" s="196"/>
      <c r="Q26" s="197"/>
      <c r="R26" s="198"/>
      <c r="S26" s="361"/>
      <c r="T26" s="361"/>
      <c r="U26" s="361"/>
      <c r="V26" s="361"/>
    </row>
    <row r="27" spans="1:29" ht="21.95" customHeight="1" x14ac:dyDescent="0.35">
      <c r="A27" s="363" t="s">
        <v>83</v>
      </c>
      <c r="B27" s="181"/>
      <c r="C27" s="182"/>
      <c r="D27" s="183"/>
      <c r="E27" s="184"/>
      <c r="F27" s="190"/>
      <c r="G27" s="364" t="str">
        <f>IF(OR(E27="",F27=""),"",PID_KVLohnLookup($A$1,E27,F27,LOHNTABELLE!$H$4))</f>
        <v/>
      </c>
      <c r="H27" s="365" t="str">
        <f>IF(AND(ISNUMBER(D27),ISNUMBER(F27)),ROUNDDOWN(MIN(IF(OR(ISBLANK(I27),I27=""),EOMONTH(DATE(EINSTELLUNG!$C$35,$A$1,1),0),I27)-MAX(D27,DATE(EINSTELLUNG!$C$35,$A$1,1))+1)/DAY(EOMONTH(DATE(EINSTELLUNG!$C$35,$A$1,1),0))*F27,2),"")</f>
        <v/>
      </c>
      <c r="I27" s="186"/>
      <c r="J27" s="187"/>
      <c r="K27" s="364" t="str">
        <f t="shared" si="0"/>
        <v/>
      </c>
      <c r="L27" s="366"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188"/>
      <c r="N27" s="189"/>
      <c r="O27" s="195"/>
      <c r="P27" s="196"/>
      <c r="Q27" s="197"/>
      <c r="R27" s="198"/>
      <c r="S27" s="392" t="s">
        <v>84</v>
      </c>
      <c r="T27" s="392"/>
      <c r="U27" s="392"/>
      <c r="V27" s="392"/>
    </row>
    <row r="28" spans="1:29" ht="21.95" customHeight="1" x14ac:dyDescent="0.35">
      <c r="A28" s="363" t="s">
        <v>85</v>
      </c>
      <c r="B28" s="152"/>
      <c r="C28" s="153"/>
      <c r="D28" s="154"/>
      <c r="E28" s="155"/>
      <c r="F28" s="156"/>
      <c r="G28" s="364" t="str">
        <f>IF(OR(E28="",F28=""),"",PID_KVLohnLookup($A$1,E28,F28,LOHNTABELLE!$H$4))</f>
        <v/>
      </c>
      <c r="H28" s="365" t="str">
        <f>IF(AND(ISNUMBER(D28),ISNUMBER(F28)),ROUNDDOWN(MIN(IF(OR(ISBLANK(I28),I28=""),EOMONTH(DATE(EINSTELLUNG!$C$35,$A$1,1),0),I28)-MAX(D28,DATE(EINSTELLUNG!$C$35,$A$1,1))+1)/DAY(EOMONTH(DATE(EINSTELLUNG!$C$35,$A$1,1),0))*F28,2),"")</f>
        <v/>
      </c>
      <c r="I28" s="158"/>
      <c r="J28" s="165"/>
      <c r="K28" s="364" t="str">
        <f t="shared" si="0"/>
        <v/>
      </c>
      <c r="L28" s="366"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167"/>
      <c r="N28" s="168"/>
      <c r="O28" s="195"/>
      <c r="P28" s="196"/>
      <c r="Q28" s="197"/>
      <c r="R28" s="198"/>
      <c r="S28" s="361"/>
      <c r="T28" s="361"/>
      <c r="U28" s="361"/>
      <c r="V28" s="361"/>
    </row>
    <row r="29" spans="1:29" ht="21.95" customHeight="1" thickBot="1" x14ac:dyDescent="0.4">
      <c r="A29" s="363" t="s">
        <v>86</v>
      </c>
      <c r="B29" s="181"/>
      <c r="C29" s="182"/>
      <c r="D29" s="183"/>
      <c r="E29" s="184"/>
      <c r="F29" s="190"/>
      <c r="G29" s="364" t="str">
        <f>IF(OR(E29="",F29=""),"",PID_KVLohnLookup($A$1,E29,F29,LOHNTABELLE!$H$4))</f>
        <v/>
      </c>
      <c r="H29" s="365" t="str">
        <f>IF(AND(ISNUMBER(D29),ISNUMBER(F29)),ROUNDDOWN(MIN(IF(OR(ISBLANK(I29),I29=""),EOMONTH(DATE(EINSTELLUNG!$C$35,$A$1,1),0),I29)-MAX(D29,DATE(EINSTELLUNG!$C$35,$A$1,1))+1)/DAY(EOMONTH(DATE(EINSTELLUNG!$C$35,$A$1,1),0))*F29,2),"")</f>
        <v/>
      </c>
      <c r="I29" s="186"/>
      <c r="J29" s="187"/>
      <c r="K29" s="364" t="str">
        <f t="shared" si="0"/>
        <v/>
      </c>
      <c r="L29" s="366"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188"/>
      <c r="N29" s="189"/>
      <c r="O29" s="393" t="s">
        <v>87</v>
      </c>
      <c r="P29" s="394"/>
      <c r="Q29" s="395">
        <f>EINSTELLUNG!O9</f>
        <v>0</v>
      </c>
      <c r="R29" s="396"/>
      <c r="S29" s="361"/>
      <c r="T29" s="361"/>
      <c r="U29" s="361"/>
      <c r="V29" s="361"/>
    </row>
    <row r="30" spans="1:29" ht="21.95" customHeight="1" thickBot="1" x14ac:dyDescent="0.4">
      <c r="A30" s="363" t="s">
        <v>88</v>
      </c>
      <c r="B30" s="152"/>
      <c r="C30" s="153"/>
      <c r="D30" s="154"/>
      <c r="E30" s="155"/>
      <c r="F30" s="156"/>
      <c r="G30" s="364" t="str">
        <f>IF(OR(E30="",F30=""),"",PID_KVLohnLookup($A$1,E30,F30,LOHNTABELLE!$H$4))</f>
        <v/>
      </c>
      <c r="H30" s="365" t="str">
        <f>IF(AND(ISNUMBER(D30),ISNUMBER(F30)),ROUNDDOWN(MIN(IF(OR(ISBLANK(I30),I30=""),EOMONTH(DATE(EINSTELLUNG!$C$35,$A$1,1),0),I30)-MAX(D30,DATE(EINSTELLUNG!$C$35,$A$1,1))+1)/DAY(EOMONTH(DATE(EINSTELLUNG!$C$35,$A$1,1),0))*F30,2),"")</f>
        <v/>
      </c>
      <c r="I30" s="158"/>
      <c r="J30" s="165"/>
      <c r="K30" s="364" t="str">
        <f t="shared" si="0"/>
        <v/>
      </c>
      <c r="L30" s="366"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167"/>
      <c r="N30" s="168"/>
      <c r="O30" s="361"/>
      <c r="P30" s="361"/>
      <c r="Q30" s="361"/>
      <c r="R30" s="361"/>
      <c r="S30" s="361"/>
      <c r="T30" s="361"/>
      <c r="U30" s="361"/>
      <c r="V30" s="361"/>
      <c r="W30" s="397"/>
      <c r="X30" s="397"/>
      <c r="Y30" s="397"/>
      <c r="Z30" s="397"/>
      <c r="AA30" s="397"/>
      <c r="AB30" s="397"/>
      <c r="AC30" s="397"/>
    </row>
    <row r="31" spans="1:29" ht="21.95" customHeight="1" thickBot="1" x14ac:dyDescent="0.4">
      <c r="A31" s="363" t="s">
        <v>89</v>
      </c>
      <c r="B31" s="181"/>
      <c r="C31" s="182"/>
      <c r="D31" s="183"/>
      <c r="E31" s="184"/>
      <c r="F31" s="190"/>
      <c r="G31" s="364" t="str">
        <f>IF(OR(E31="",F31=""),"",PID_KVLohnLookup($A$1,E31,F31,LOHNTABELLE!$H$4))</f>
        <v/>
      </c>
      <c r="H31" s="365" t="str">
        <f>IF(AND(ISNUMBER(D31),ISNUMBER(F31)),ROUNDDOWN(MIN(IF(OR(ISBLANK(I31),I31=""),EOMONTH(DATE(EINSTELLUNG!$C$35,$A$1,1),0),I31)-MAX(D31,DATE(EINSTELLUNG!$C$35,$A$1,1))+1)/DAY(EOMONTH(DATE(EINSTELLUNG!$C$35,$A$1,1),0))*F31,2),"")</f>
        <v/>
      </c>
      <c r="I31" s="186"/>
      <c r="J31" s="187"/>
      <c r="K31" s="364" t="str">
        <f t="shared" si="0"/>
        <v/>
      </c>
      <c r="L31" s="366"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188"/>
      <c r="N31" s="189"/>
      <c r="O31" s="398" t="s">
        <v>321</v>
      </c>
      <c r="P31" s="399"/>
      <c r="Q31" s="400">
        <v>0</v>
      </c>
      <c r="R31" s="401"/>
      <c r="S31" s="361"/>
      <c r="T31" s="361"/>
      <c r="U31" s="361"/>
      <c r="V31" s="361"/>
    </row>
    <row r="32" spans="1:29" ht="21.95" customHeight="1" thickBot="1" x14ac:dyDescent="0.4">
      <c r="A32" s="363" t="s">
        <v>91</v>
      </c>
      <c r="B32" s="152"/>
      <c r="C32" s="153"/>
      <c r="D32" s="154"/>
      <c r="E32" s="155"/>
      <c r="F32" s="156"/>
      <c r="G32" s="364" t="str">
        <f>IF(OR(E32="",F32=""),"",PID_KVLohnLookup($A$1,E32,F32,LOHNTABELLE!$H$4))</f>
        <v/>
      </c>
      <c r="H32" s="365" t="str">
        <f>IF(AND(ISNUMBER(D32),ISNUMBER(F32)),ROUNDDOWN(MIN(IF(OR(ISBLANK(I32),I32=""),EOMONTH(DATE(EINSTELLUNG!$C$35,$A$1,1),0),I32)-MAX(D32,DATE(EINSTELLUNG!$C$35,$A$1,1))+1)/DAY(EOMONTH(DATE(EINSTELLUNG!$C$35,$A$1,1),0))*F32,2),"")</f>
        <v/>
      </c>
      <c r="I32" s="158"/>
      <c r="J32" s="165"/>
      <c r="K32" s="364" t="str">
        <f t="shared" si="0"/>
        <v/>
      </c>
      <c r="L32" s="366"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167"/>
      <c r="N32" s="168"/>
      <c r="O32" s="361"/>
      <c r="P32" s="361"/>
      <c r="Q32" s="361"/>
      <c r="R32" s="361"/>
      <c r="S32" s="361"/>
      <c r="T32" s="361"/>
      <c r="U32" s="361"/>
      <c r="V32" s="361"/>
    </row>
    <row r="33" spans="1:22" ht="21.95" customHeight="1" x14ac:dyDescent="0.35">
      <c r="A33" s="363" t="s">
        <v>92</v>
      </c>
      <c r="B33" s="181"/>
      <c r="C33" s="182"/>
      <c r="D33" s="183"/>
      <c r="E33" s="184"/>
      <c r="F33" s="190"/>
      <c r="G33" s="364" t="str">
        <f>IF(OR(E33="",F33=""),"",PID_KVLohnLookup($A$1,E33,F33,LOHNTABELLE!$H$4))</f>
        <v/>
      </c>
      <c r="H33" s="365" t="str">
        <f>IF(AND(ISNUMBER(D33),ISNUMBER(F33)),ROUNDDOWN(MIN(IF(OR(ISBLANK(I33),I33=""),EOMONTH(DATE(EINSTELLUNG!$C$35,$A$1,1),0),I33)-MAX(D33,DATE(EINSTELLUNG!$C$35,$A$1,1))+1)/DAY(EOMONTH(DATE(EINSTELLUNG!$C$35,$A$1,1),0))*F33,2),"")</f>
        <v/>
      </c>
      <c r="I33" s="186"/>
      <c r="J33" s="187"/>
      <c r="K33" s="364" t="str">
        <f t="shared" si="0"/>
        <v/>
      </c>
      <c r="L33" s="366"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188"/>
      <c r="N33" s="189"/>
      <c r="O33" s="402"/>
      <c r="P33" s="403"/>
      <c r="Q33" s="346" t="str">
        <f>EINSTELLUNG!B3</f>
        <v>Budget</v>
      </c>
      <c r="R33" s="346"/>
      <c r="S33" s="346" t="str">
        <f>EINSTELLUNG!B19</f>
        <v>Projection/Aktuell Zahlen</v>
      </c>
      <c r="T33" s="346"/>
      <c r="U33" s="346" t="s">
        <v>95</v>
      </c>
      <c r="V33" s="347"/>
    </row>
    <row r="34" spans="1:22" ht="21.95" customHeight="1" x14ac:dyDescent="0.35">
      <c r="A34" s="363" t="s">
        <v>96</v>
      </c>
      <c r="B34" s="152"/>
      <c r="C34" s="153"/>
      <c r="D34" s="154"/>
      <c r="E34" s="155"/>
      <c r="F34" s="156"/>
      <c r="G34" s="364" t="str">
        <f>IF(OR(E34="",F34=""),"",PID_KVLohnLookup($A$1,E34,F34,LOHNTABELLE!$H$4))</f>
        <v/>
      </c>
      <c r="H34" s="365" t="str">
        <f>IF(AND(ISNUMBER(D34),ISNUMBER(F34)),ROUNDDOWN(MIN(IF(OR(ISBLANK(I34),I34=""),EOMONTH(DATE(EINSTELLUNG!$C$35,$A$1,1),0),I34)-MAX(D34,DATE(EINSTELLUNG!$C$35,$A$1,1))+1)/DAY(EOMONTH(DATE(EINSTELLUNG!$C$35,$A$1,1),0))*F34,2),"")</f>
        <v/>
      </c>
      <c r="I34" s="158"/>
      <c r="J34" s="165"/>
      <c r="K34" s="364" t="str">
        <f t="shared" si="0"/>
        <v/>
      </c>
      <c r="L34" s="366"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167"/>
      <c r="N34" s="168"/>
      <c r="O34" s="404"/>
      <c r="P34" s="405"/>
      <c r="Q34" s="406"/>
      <c r="R34" s="406"/>
      <c r="S34" s="406"/>
      <c r="T34" s="406"/>
      <c r="U34" s="406"/>
      <c r="V34" s="407"/>
    </row>
    <row r="35" spans="1:22" ht="21.95" customHeight="1" x14ac:dyDescent="0.35">
      <c r="A35" s="363" t="s">
        <v>97</v>
      </c>
      <c r="B35" s="181"/>
      <c r="C35" s="182"/>
      <c r="D35" s="183"/>
      <c r="E35" s="184"/>
      <c r="F35" s="190"/>
      <c r="G35" s="364" t="str">
        <f>IF(OR(E35="",F35=""),"",PID_KVLohnLookup($A$1,E35,F35,LOHNTABELLE!$H$4))</f>
        <v/>
      </c>
      <c r="H35" s="365" t="str">
        <f>IF(AND(ISNUMBER(D35),ISNUMBER(F35)),ROUNDDOWN(MIN(IF(OR(ISBLANK(I35),I35=""),EOMONTH(DATE(EINSTELLUNG!$C$35,$A$1,1),0),I35)-MAX(D35,DATE(EINSTELLUNG!$C$35,$A$1,1))+1)/DAY(EOMONTH(DATE(EINSTELLUNG!$C$35,$A$1,1),0))*F35,2),"")</f>
        <v/>
      </c>
      <c r="I35" s="186"/>
      <c r="J35" s="187"/>
      <c r="K35" s="364" t="str">
        <f t="shared" ref="K35:K66" si="1">IF(OR(B35="",C35=""),"",IFERROR(IF(OR(MONTH(D35)=1,MONTH(D35)=3,MONTH(D35)=5,MONTH(D35)=7,MONTH(D35)=8,MONTH(D35)=10,MONTH(D35)=12),(G35/31)*J35,IF(OR(MONTH(D35)=4,MONTH(D35)=6,MONTH(D35)=9,MONTH(D35)=11),(G35/30)*J35,(G35/DAY(EOMONTH(D35,0)))*J35)),0))</f>
        <v/>
      </c>
      <c r="L35" s="366"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188"/>
      <c r="N35" s="189"/>
      <c r="O35" s="379" t="s">
        <v>98</v>
      </c>
      <c r="P35" s="380"/>
      <c r="Q35" s="408">
        <f>EINSTELLUNG!C9</f>
        <v>0</v>
      </c>
      <c r="R35" s="408"/>
      <c r="S35" s="408">
        <f>EINSTELLUNG!C25</f>
        <v>0</v>
      </c>
      <c r="T35" s="408"/>
      <c r="U35" s="408">
        <f>S35-Q35</f>
        <v>0</v>
      </c>
      <c r="V35" s="409"/>
    </row>
    <row r="36" spans="1:22" ht="21.95" customHeight="1" x14ac:dyDescent="0.35">
      <c r="A36" s="363" t="s">
        <v>99</v>
      </c>
      <c r="B36" s="152"/>
      <c r="C36" s="153"/>
      <c r="D36" s="154"/>
      <c r="E36" s="155"/>
      <c r="F36" s="156"/>
      <c r="G36" s="364" t="str">
        <f>IF(OR(E36="",F36=""),"",PID_KVLohnLookup($A$1,E36,F36,LOHNTABELLE!$H$4))</f>
        <v/>
      </c>
      <c r="H36" s="365" t="str">
        <f>IF(AND(ISNUMBER(D36),ISNUMBER(F36)),ROUNDDOWN(MIN(IF(OR(ISBLANK(I36),I36=""),EOMONTH(DATE(EINSTELLUNG!$C$35,$A$1,1),0),I36)-MAX(D36,DATE(EINSTELLUNG!$C$35,$A$1,1))+1)/DAY(EOMONTH(DATE(EINSTELLUNG!$C$35,$A$1,1),0))*F36,2),"")</f>
        <v/>
      </c>
      <c r="I36" s="158"/>
      <c r="J36" s="165"/>
      <c r="K36" s="364" t="str">
        <f t="shared" si="1"/>
        <v/>
      </c>
      <c r="L36" s="366"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167"/>
      <c r="N36" s="168"/>
      <c r="O36" s="379" t="s">
        <v>100</v>
      </c>
      <c r="P36" s="380"/>
      <c r="Q36" s="408">
        <f>EINSTELLUNG!D9</f>
        <v>0</v>
      </c>
      <c r="R36" s="408"/>
      <c r="S36" s="408">
        <f ca="1">SumMergedCells(Q17:R29)</f>
        <v>3868.38</v>
      </c>
      <c r="T36" s="408"/>
      <c r="U36" s="408">
        <f t="shared" ref="U36:U41" ca="1" si="2">S36-Q36</f>
        <v>3868.38</v>
      </c>
      <c r="V36" s="409"/>
    </row>
    <row r="37" spans="1:22" ht="21.95" customHeight="1" x14ac:dyDescent="0.35">
      <c r="A37" s="363" t="s">
        <v>101</v>
      </c>
      <c r="B37" s="181"/>
      <c r="C37" s="182"/>
      <c r="D37" s="183"/>
      <c r="E37" s="184"/>
      <c r="F37" s="190"/>
      <c r="G37" s="364" t="str">
        <f>IF(OR(E37="",F37=""),"",PID_KVLohnLookup($A$1,E37,F37,LOHNTABELLE!$H$4))</f>
        <v/>
      </c>
      <c r="H37" s="365" t="str">
        <f>IF(AND(ISNUMBER(D37),ISNUMBER(F37)),ROUNDDOWN(MIN(IF(OR(ISBLANK(I37),I37=""),EOMONTH(DATE(EINSTELLUNG!$C$35,$A$1,1),0),I37)-MAX(D37,DATE(EINSTELLUNG!$C$35,$A$1,1))+1)/DAY(EOMONTH(DATE(EINSTELLUNG!$C$35,$A$1,1),0))*F37,2),"")</f>
        <v/>
      </c>
      <c r="I37" s="186"/>
      <c r="J37" s="187"/>
      <c r="K37" s="364" t="str">
        <f t="shared" si="1"/>
        <v/>
      </c>
      <c r="L37" s="366"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188"/>
      <c r="N37" s="189"/>
      <c r="O37" s="379" t="s">
        <v>102</v>
      </c>
      <c r="P37" s="380"/>
      <c r="Q37" s="410">
        <f>IF(ISERROR(Q36/Q35), 0, Q36/Q35)</f>
        <v>0</v>
      </c>
      <c r="R37" s="410"/>
      <c r="S37" s="410">
        <f ca="1">IF(ISERROR(S36/S35), 0, S36/S35)</f>
        <v>0</v>
      </c>
      <c r="T37" s="410"/>
      <c r="U37" s="410">
        <f t="shared" ca="1" si="2"/>
        <v>0</v>
      </c>
      <c r="V37" s="411"/>
    </row>
    <row r="38" spans="1:22" ht="21.95" customHeight="1" x14ac:dyDescent="0.35">
      <c r="A38" s="363" t="s">
        <v>103</v>
      </c>
      <c r="B38" s="152"/>
      <c r="C38" s="153"/>
      <c r="D38" s="154"/>
      <c r="E38" s="155"/>
      <c r="F38" s="156"/>
      <c r="G38" s="364" t="str">
        <f>IF(OR(E38="",F38=""),"",PID_KVLohnLookup($A$1,E38,F38,LOHNTABELLE!$H$4))</f>
        <v/>
      </c>
      <c r="H38" s="365" t="str">
        <f>IF(AND(ISNUMBER(D38),ISNUMBER(F38)),ROUNDDOWN(MIN(IF(OR(ISBLANK(I38),I38=""),EOMONTH(DATE(EINSTELLUNG!$C$35,$A$1,1),0),I38)-MAX(D38,DATE(EINSTELLUNG!$C$35,$A$1,1))+1)/DAY(EOMONTH(DATE(EINSTELLUNG!$C$35,$A$1,1),0))*F38,2),"")</f>
        <v/>
      </c>
      <c r="I38" s="158"/>
      <c r="J38" s="165"/>
      <c r="K38" s="364" t="str">
        <f t="shared" si="1"/>
        <v/>
      </c>
      <c r="L38" s="366"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167"/>
      <c r="N38" s="168"/>
      <c r="O38" s="379" t="s">
        <v>104</v>
      </c>
      <c r="P38" s="380"/>
      <c r="Q38" s="381">
        <f>EINSTELLUNG!F9</f>
        <v>0</v>
      </c>
      <c r="R38" s="381"/>
      <c r="S38" s="381">
        <f>EINSTELLUNG!F25</f>
        <v>0</v>
      </c>
      <c r="T38" s="381"/>
      <c r="U38" s="381">
        <f t="shared" si="2"/>
        <v>0</v>
      </c>
      <c r="V38" s="382"/>
    </row>
    <row r="39" spans="1:22" ht="21.95" customHeight="1" x14ac:dyDescent="0.35">
      <c r="A39" s="363" t="s">
        <v>105</v>
      </c>
      <c r="B39" s="181"/>
      <c r="C39" s="182"/>
      <c r="D39" s="183"/>
      <c r="E39" s="184"/>
      <c r="F39" s="190"/>
      <c r="G39" s="364" t="str">
        <f>IF(OR(E39="",F39=""),"",PID_KVLohnLookup($A$1,E39,F39,LOHNTABELLE!$H$4))</f>
        <v/>
      </c>
      <c r="H39" s="365" t="str">
        <f>IF(AND(ISNUMBER(D39),ISNUMBER(F39)),ROUNDDOWN(MIN(IF(OR(ISBLANK(I39),I39=""),EOMONTH(DATE(EINSTELLUNG!$C$35,$A$1,1),0),I39)-MAX(D39,DATE(EINSTELLUNG!$C$35,$A$1,1))+1)/DAY(EOMONTH(DATE(EINSTELLUNG!$C$35,$A$1,1),0))*F39,2),"")</f>
        <v/>
      </c>
      <c r="I39" s="186"/>
      <c r="J39" s="187"/>
      <c r="K39" s="364" t="str">
        <f t="shared" si="1"/>
        <v/>
      </c>
      <c r="L39" s="366"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188"/>
      <c r="N39" s="189"/>
      <c r="O39" s="379" t="s">
        <v>106</v>
      </c>
      <c r="P39" s="380"/>
      <c r="Q39" s="408">
        <f>IF(Q38=0, 0, Q35/Q38)</f>
        <v>0</v>
      </c>
      <c r="R39" s="408"/>
      <c r="S39" s="408">
        <f>IF(S38=0, 0, S35/S38)</f>
        <v>0</v>
      </c>
      <c r="T39" s="408"/>
      <c r="U39" s="408">
        <f t="shared" si="2"/>
        <v>0</v>
      </c>
      <c r="V39" s="409"/>
    </row>
    <row r="40" spans="1:22" ht="21.95" customHeight="1" x14ac:dyDescent="0.35">
      <c r="A40" s="363" t="s">
        <v>107</v>
      </c>
      <c r="B40" s="152"/>
      <c r="C40" s="153"/>
      <c r="D40" s="154"/>
      <c r="E40" s="155"/>
      <c r="F40" s="156"/>
      <c r="G40" s="364" t="str">
        <f>IF(OR(E40="",F40=""),"",PID_KVLohnLookup($A$1,E40,F40,LOHNTABELLE!$H$4))</f>
        <v/>
      </c>
      <c r="H40" s="365" t="str">
        <f>IF(AND(ISNUMBER(D40),ISNUMBER(F40)),ROUNDDOWN(MIN(IF(OR(ISBLANK(I40),I40=""),EOMONTH(DATE(EINSTELLUNG!$C$35,$A$1,1),0),I40)-MAX(D40,DATE(EINSTELLUNG!$C$35,$A$1,1))+1)/DAY(EOMONTH(DATE(EINSTELLUNG!$C$35,$A$1,1),0))*F40,2),"")</f>
        <v/>
      </c>
      <c r="I40" s="158"/>
      <c r="J40" s="165"/>
      <c r="K40" s="364" t="str">
        <f t="shared" si="1"/>
        <v/>
      </c>
      <c r="L40" s="366"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167"/>
      <c r="N40" s="168"/>
      <c r="O40" s="379" t="s">
        <v>108</v>
      </c>
      <c r="P40" s="380"/>
      <c r="Q40" s="408">
        <f>IF(Q13=0, 0, Q35/Q13)</f>
        <v>0</v>
      </c>
      <c r="R40" s="408"/>
      <c r="S40" s="408">
        <f>IF(Q13=0, 0, S35/Q13)</f>
        <v>0</v>
      </c>
      <c r="T40" s="408"/>
      <c r="U40" s="408">
        <f t="shared" si="2"/>
        <v>0</v>
      </c>
      <c r="V40" s="409"/>
    </row>
    <row r="41" spans="1:22" ht="21.95" customHeight="1" x14ac:dyDescent="0.35">
      <c r="A41" s="363" t="s">
        <v>109</v>
      </c>
      <c r="B41" s="181"/>
      <c r="C41" s="182"/>
      <c r="D41" s="183"/>
      <c r="E41" s="184"/>
      <c r="F41" s="190"/>
      <c r="G41" s="364" t="str">
        <f>IF(OR(E41="",F41=""),"",PID_KVLohnLookup($A$1,E41,F41,LOHNTABELLE!$H$4))</f>
        <v/>
      </c>
      <c r="H41" s="365" t="str">
        <f>IF(AND(ISNUMBER(D41),ISNUMBER(F41)),ROUNDDOWN(MIN(IF(OR(ISBLANK(I41),I41=""),EOMONTH(DATE(EINSTELLUNG!$C$35,$A$1,1),0),I41)-MAX(D41,DATE(EINSTELLUNG!$C$35,$A$1,1))+1)/DAY(EOMONTH(DATE(EINSTELLUNG!$C$35,$A$1,1),0))*F41,2),"")</f>
        <v/>
      </c>
      <c r="I41" s="186"/>
      <c r="J41" s="187"/>
      <c r="K41" s="364" t="str">
        <f t="shared" si="1"/>
        <v/>
      </c>
      <c r="L41" s="366"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188"/>
      <c r="N41" s="189"/>
      <c r="O41" s="412" t="s">
        <v>110</v>
      </c>
      <c r="P41" s="413"/>
      <c r="Q41" s="414">
        <f>IF(Q13=0, 0, Q38/Q13)</f>
        <v>0</v>
      </c>
      <c r="R41" s="414"/>
      <c r="S41" s="414">
        <f>IF(Q13=0, 0, S38/Q13)</f>
        <v>0</v>
      </c>
      <c r="T41" s="414"/>
      <c r="U41" s="414">
        <f t="shared" si="2"/>
        <v>0</v>
      </c>
      <c r="V41" s="415"/>
    </row>
    <row r="42" spans="1:22" ht="21.95" customHeight="1" thickBot="1" x14ac:dyDescent="0.4">
      <c r="A42" s="363" t="s">
        <v>111</v>
      </c>
      <c r="B42" s="152"/>
      <c r="C42" s="153"/>
      <c r="D42" s="154"/>
      <c r="E42" s="155"/>
      <c r="F42" s="156"/>
      <c r="G42" s="364" t="str">
        <f>IF(OR(E42="",F42=""),"",PID_KVLohnLookup($A$1,E42,F42,LOHNTABELLE!$H$4))</f>
        <v/>
      </c>
      <c r="H42" s="365" t="str">
        <f>IF(AND(ISNUMBER(D42),ISNUMBER(F42)),ROUNDDOWN(MIN(IF(OR(ISBLANK(I42),I42=""),EOMONTH(DATE(EINSTELLUNG!$C$35,$A$1,1),0),I42)-MAX(D42,DATE(EINSTELLUNG!$C$35,$A$1,1))+1)/DAY(EOMONTH(DATE(EINSTELLUNG!$C$35,$A$1,1),0))*F42,2),"")</f>
        <v/>
      </c>
      <c r="I42" s="158"/>
      <c r="J42" s="165"/>
      <c r="K42" s="364" t="str">
        <f t="shared" si="1"/>
        <v/>
      </c>
      <c r="L42" s="366"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167"/>
      <c r="N42" s="169"/>
      <c r="O42" s="416" t="s">
        <v>112</v>
      </c>
      <c r="P42" s="394"/>
      <c r="Q42" s="417">
        <f>IFERROR(Q17/Q8, 0)</f>
        <v>11.925457796411617</v>
      </c>
      <c r="R42" s="418"/>
      <c r="S42" s="417"/>
      <c r="T42" s="417"/>
      <c r="U42" s="417"/>
      <c r="V42" s="396"/>
    </row>
    <row r="43" spans="1:22" ht="21.95" customHeight="1" x14ac:dyDescent="0.35">
      <c r="A43" s="363" t="s">
        <v>113</v>
      </c>
      <c r="B43" s="181"/>
      <c r="C43" s="182"/>
      <c r="D43" s="183"/>
      <c r="E43" s="184"/>
      <c r="F43" s="190"/>
      <c r="G43" s="364" t="str">
        <f>IF(OR(E43="",F43=""),"",PID_KVLohnLookup($A$1,E43,F43,LOHNTABELLE!$H$4))</f>
        <v/>
      </c>
      <c r="H43" s="365" t="str">
        <f>IF(AND(ISNUMBER(D43),ISNUMBER(F43)),ROUNDDOWN(MIN(IF(OR(ISBLANK(I43),I43=""),EOMONTH(DATE(EINSTELLUNG!$C$35,$A$1,1),0),I43)-MAX(D43,DATE(EINSTELLUNG!$C$35,$A$1,1))+1)/DAY(EOMONTH(DATE(EINSTELLUNG!$C$35,$A$1,1),0))*F43,2),"")</f>
        <v/>
      </c>
      <c r="I43" s="186"/>
      <c r="J43" s="187"/>
      <c r="K43" s="364" t="str">
        <f t="shared" si="1"/>
        <v/>
      </c>
      <c r="L43" s="366"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91"/>
      <c r="N43" s="189"/>
      <c r="O43" s="419"/>
      <c r="P43" s="419"/>
      <c r="Q43" s="419"/>
      <c r="R43" s="361"/>
      <c r="S43" s="361"/>
      <c r="T43" s="361"/>
      <c r="U43" s="361"/>
      <c r="V43" s="361"/>
    </row>
    <row r="44" spans="1:22" ht="21.95" customHeight="1" x14ac:dyDescent="0.35">
      <c r="A44" s="363" t="s">
        <v>114</v>
      </c>
      <c r="B44" s="152"/>
      <c r="C44" s="153"/>
      <c r="D44" s="154"/>
      <c r="E44" s="155"/>
      <c r="F44" s="156"/>
      <c r="G44" s="364" t="str">
        <f>IF(OR(E44="",F44=""),"",PID_KVLohnLookup($A$1,E44,F44,LOHNTABELLE!$H$4))</f>
        <v/>
      </c>
      <c r="H44" s="365" t="str">
        <f>IF(AND(ISNUMBER(D44),ISNUMBER(F44)),ROUNDDOWN(MIN(IF(OR(ISBLANK(I44),I44=""),EOMONTH(DATE(EINSTELLUNG!$C$35,$A$1,1),0),I44)-MAX(D44,DATE(EINSTELLUNG!$C$35,$A$1,1))+1)/DAY(EOMONTH(DATE(EINSTELLUNG!$C$35,$A$1,1),0))*F44,2),"")</f>
        <v/>
      </c>
      <c r="I44" s="158"/>
      <c r="J44" s="165"/>
      <c r="K44" s="364" t="str">
        <f t="shared" si="1"/>
        <v/>
      </c>
      <c r="L44" s="366"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70"/>
      <c r="N44" s="168"/>
      <c r="O44" s="420" t="s">
        <v>115</v>
      </c>
      <c r="P44" s="420"/>
      <c r="Q44" s="420"/>
      <c r="R44" s="420"/>
      <c r="S44" s="420"/>
      <c r="T44" s="420"/>
      <c r="U44" s="420"/>
      <c r="V44" s="420"/>
    </row>
    <row r="45" spans="1:22" ht="21.95" customHeight="1" x14ac:dyDescent="0.35">
      <c r="A45" s="363" t="s">
        <v>116</v>
      </c>
      <c r="B45" s="181"/>
      <c r="C45" s="182"/>
      <c r="D45" s="183"/>
      <c r="E45" s="184"/>
      <c r="F45" s="190"/>
      <c r="G45" s="364" t="str">
        <f>IF(OR(E45="",F45=""),"",PID_KVLohnLookup($A$1,E45,F45,LOHNTABELLE!$H$4))</f>
        <v/>
      </c>
      <c r="H45" s="365" t="str">
        <f>IF(AND(ISNUMBER(D45),ISNUMBER(F45)),ROUNDDOWN(MIN(IF(OR(ISBLANK(I45),I45=""),EOMONTH(DATE(EINSTELLUNG!$C$35,$A$1,1),0),I45)-MAX(D45,DATE(EINSTELLUNG!$C$35,$A$1,1))+1)/DAY(EOMONTH(DATE(EINSTELLUNG!$C$35,$A$1,1),0))*F45,2),"")</f>
        <v/>
      </c>
      <c r="I45" s="186"/>
      <c r="J45" s="187"/>
      <c r="K45" s="364" t="str">
        <f t="shared" si="1"/>
        <v/>
      </c>
      <c r="L45" s="366"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91"/>
      <c r="N45" s="189"/>
      <c r="O45" s="421"/>
      <c r="P45" s="421"/>
      <c r="Q45" s="421"/>
      <c r="R45" s="422"/>
      <c r="S45" s="422"/>
      <c r="T45" s="422"/>
      <c r="U45" s="422"/>
      <c r="V45" s="361"/>
    </row>
    <row r="46" spans="1:22" ht="21.95" customHeight="1" x14ac:dyDescent="0.35">
      <c r="A46" s="363" t="s">
        <v>117</v>
      </c>
      <c r="B46" s="152"/>
      <c r="C46" s="153"/>
      <c r="D46" s="154"/>
      <c r="E46" s="155"/>
      <c r="F46" s="156"/>
      <c r="G46" s="364" t="str">
        <f>IF(OR(E46="",F46=""),"",PID_KVLohnLookup($A$1,E46,F46,LOHNTABELLE!$H$4))</f>
        <v/>
      </c>
      <c r="H46" s="365" t="str">
        <f>IF(AND(ISNUMBER(D46),ISNUMBER(F46)),ROUNDDOWN(MIN(IF(OR(ISBLANK(I46),I46=""),EOMONTH(DATE(EINSTELLUNG!$C$35,$A$1,1),0),I46)-MAX(D46,DATE(EINSTELLUNG!$C$35,$A$1,1))+1)/DAY(EOMONTH(DATE(EINSTELLUNG!$C$35,$A$1,1),0))*F46,2),"")</f>
        <v/>
      </c>
      <c r="I46" s="158"/>
      <c r="J46" s="165"/>
      <c r="K46" s="364" t="str">
        <f t="shared" si="1"/>
        <v/>
      </c>
      <c r="L46" s="366"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70"/>
      <c r="N46" s="168"/>
      <c r="O46" s="361"/>
      <c r="P46" s="361"/>
      <c r="Q46" s="361"/>
      <c r="R46" s="361"/>
      <c r="S46" s="361"/>
      <c r="T46" s="361"/>
      <c r="U46" s="361"/>
      <c r="V46" s="361"/>
    </row>
    <row r="47" spans="1:22" ht="21.95" customHeight="1" x14ac:dyDescent="0.35">
      <c r="A47" s="363" t="s">
        <v>118</v>
      </c>
      <c r="B47" s="181"/>
      <c r="C47" s="182"/>
      <c r="D47" s="183"/>
      <c r="E47" s="184"/>
      <c r="F47" s="190"/>
      <c r="G47" s="364" t="str">
        <f>IF(OR(E47="",F47=""),"",PID_KVLohnLookup($A$1,E47,F47,LOHNTABELLE!$H$4))</f>
        <v/>
      </c>
      <c r="H47" s="365" t="str">
        <f>IF(AND(ISNUMBER(D47),ISNUMBER(F47)),ROUNDDOWN(MIN(IF(OR(ISBLANK(I47),I47=""),EOMONTH(DATE(EINSTELLUNG!$C$35,$A$1,1),0),I47)-MAX(D47,DATE(EINSTELLUNG!$C$35,$A$1,1))+1)/DAY(EOMONTH(DATE(EINSTELLUNG!$C$35,$A$1,1),0))*F47,2),"")</f>
        <v/>
      </c>
      <c r="I47" s="186"/>
      <c r="J47" s="187"/>
      <c r="K47" s="364" t="str">
        <f t="shared" si="1"/>
        <v/>
      </c>
      <c r="L47" s="366"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91"/>
      <c r="N47" s="189"/>
      <c r="O47" s="361"/>
      <c r="P47" s="361"/>
      <c r="Q47" s="361"/>
      <c r="R47" s="361"/>
      <c r="S47" s="361"/>
      <c r="T47" s="361"/>
      <c r="U47" s="361"/>
      <c r="V47" s="361"/>
    </row>
    <row r="48" spans="1:22" ht="21.95" customHeight="1" x14ac:dyDescent="0.35">
      <c r="A48" s="363" t="s">
        <v>119</v>
      </c>
      <c r="B48" s="152"/>
      <c r="C48" s="153"/>
      <c r="D48" s="158"/>
      <c r="E48" s="155"/>
      <c r="F48" s="156"/>
      <c r="G48" s="364" t="str">
        <f>IF(OR(E48="",F48=""),"",PID_KVLohnLookup($A$1,E48,F48,LOHNTABELLE!$H$4))</f>
        <v/>
      </c>
      <c r="H48" s="365" t="str">
        <f>IF(AND(ISNUMBER(D48),ISNUMBER(F48)),ROUNDDOWN(MIN(IF(OR(ISBLANK(I48),I48=""),EOMONTH(DATE(EINSTELLUNG!$C$35,$A$1,1),0),I48)-MAX(D48,DATE(EINSTELLUNG!$C$35,$A$1,1))+1)/DAY(EOMONTH(DATE(EINSTELLUNG!$C$35,$A$1,1),0))*F48,2),"")</f>
        <v/>
      </c>
      <c r="I48" s="158"/>
      <c r="J48" s="165"/>
      <c r="K48" s="364" t="str">
        <f t="shared" si="1"/>
        <v/>
      </c>
      <c r="L48" s="366"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70"/>
      <c r="N48" s="168"/>
      <c r="O48" s="361"/>
      <c r="P48" s="361"/>
      <c r="Q48" s="361"/>
      <c r="R48" s="361"/>
      <c r="S48" s="361"/>
      <c r="T48" s="361"/>
      <c r="U48" s="361"/>
      <c r="V48" s="361"/>
    </row>
    <row r="49" spans="1:22" ht="21.95" customHeight="1" x14ac:dyDescent="0.35">
      <c r="A49" s="363" t="s">
        <v>120</v>
      </c>
      <c r="B49" s="181"/>
      <c r="C49" s="182"/>
      <c r="D49" s="186"/>
      <c r="E49" s="184"/>
      <c r="F49" s="190"/>
      <c r="G49" s="364" t="str">
        <f>IF(OR(E49="",F49=""),"",PID_KVLohnLookup($A$1,E49,F49,LOHNTABELLE!$H$4))</f>
        <v/>
      </c>
      <c r="H49" s="365" t="str">
        <f>IF(AND(ISNUMBER(D49),ISNUMBER(F49)),ROUNDDOWN(MIN(IF(OR(ISBLANK(I49),I49=""),EOMONTH(DATE(EINSTELLUNG!$C$35,$A$1,1),0),I49)-MAX(D49,DATE(EINSTELLUNG!$C$35,$A$1,1))+1)/DAY(EOMONTH(DATE(EINSTELLUNG!$C$35,$A$1,1),0))*F49,2),"")</f>
        <v/>
      </c>
      <c r="I49" s="186"/>
      <c r="J49" s="187"/>
      <c r="K49" s="364" t="str">
        <f t="shared" si="1"/>
        <v/>
      </c>
      <c r="L49" s="366"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91"/>
      <c r="N49" s="189"/>
      <c r="O49" s="361"/>
      <c r="P49" s="361"/>
      <c r="Q49" s="361"/>
      <c r="R49" s="361"/>
      <c r="S49" s="361"/>
      <c r="T49" s="361"/>
      <c r="U49" s="361"/>
      <c r="V49" s="361"/>
    </row>
    <row r="50" spans="1:22" ht="21.95" customHeight="1" x14ac:dyDescent="0.35">
      <c r="A50" s="363" t="s">
        <v>121</v>
      </c>
      <c r="B50" s="152"/>
      <c r="C50" s="159"/>
      <c r="D50" s="158"/>
      <c r="E50" s="155"/>
      <c r="F50" s="156"/>
      <c r="G50" s="364" t="str">
        <f>IF(OR(E50="",F50=""),"",PID_KVLohnLookup($A$1,E50,F50,LOHNTABELLE!$H$4))</f>
        <v/>
      </c>
      <c r="H50" s="365" t="str">
        <f>IF(AND(ISNUMBER(D50),ISNUMBER(F50)),ROUNDDOWN(MIN(IF(OR(ISBLANK(I50),I50=""),EOMONTH(DATE(EINSTELLUNG!$C$35,$A$1,1),0),I50)-MAX(D50,DATE(EINSTELLUNG!$C$35,$A$1,1))+1)/DAY(EOMONTH(DATE(EINSTELLUNG!$C$35,$A$1,1),0))*F50,2),"")</f>
        <v/>
      </c>
      <c r="I50" s="158"/>
      <c r="J50" s="165"/>
      <c r="K50" s="364" t="str">
        <f t="shared" si="1"/>
        <v/>
      </c>
      <c r="L50" s="366"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70"/>
      <c r="N50" s="168"/>
      <c r="O50" s="361"/>
      <c r="P50" s="361"/>
      <c r="Q50" s="361"/>
      <c r="R50" s="361"/>
      <c r="S50" s="361"/>
      <c r="T50" s="361"/>
      <c r="U50" s="361"/>
      <c r="V50" s="361"/>
    </row>
    <row r="51" spans="1:22" ht="21.95" customHeight="1" x14ac:dyDescent="0.35">
      <c r="A51" s="363" t="s">
        <v>122</v>
      </c>
      <c r="B51" s="181"/>
      <c r="C51" s="182"/>
      <c r="D51" s="186"/>
      <c r="E51" s="184"/>
      <c r="F51" s="190"/>
      <c r="G51" s="364" t="str">
        <f>IF(OR(E51="",F51=""),"",PID_KVLohnLookup($A$1,E51,F51,LOHNTABELLE!$H$4))</f>
        <v/>
      </c>
      <c r="H51" s="365" t="str">
        <f>IF(AND(ISNUMBER(D51),ISNUMBER(F51)),ROUNDDOWN(MIN(IF(OR(ISBLANK(I51),I51=""),EOMONTH(DATE(EINSTELLUNG!$C$35,$A$1,1),0),I51)-MAX(D51,DATE(EINSTELLUNG!$C$35,$A$1,1))+1)/DAY(EOMONTH(DATE(EINSTELLUNG!$C$35,$A$1,1),0))*F51,2),"")</f>
        <v/>
      </c>
      <c r="I51" s="186"/>
      <c r="J51" s="187"/>
      <c r="K51" s="364" t="str">
        <f t="shared" si="1"/>
        <v/>
      </c>
      <c r="L51" s="366"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188"/>
      <c r="N51" s="192"/>
    </row>
    <row r="52" spans="1:22" ht="21.95" customHeight="1" x14ac:dyDescent="0.35">
      <c r="A52" s="363" t="s">
        <v>123</v>
      </c>
      <c r="B52" s="152"/>
      <c r="C52" s="153"/>
      <c r="D52" s="158"/>
      <c r="E52" s="155"/>
      <c r="F52" s="156"/>
      <c r="G52" s="364" t="str">
        <f>IF(OR(E52="",F52=""),"",PID_KVLohnLookup($A$1,E52,F52,LOHNTABELLE!$H$4))</f>
        <v/>
      </c>
      <c r="H52" s="365" t="str">
        <f>IF(AND(ISNUMBER(D52),ISNUMBER(F52)),ROUNDDOWN(MIN(IF(OR(ISBLANK(I52),I52=""),EOMONTH(DATE(EINSTELLUNG!$C$35,$A$1,1),0),I52)-MAX(D52,DATE(EINSTELLUNG!$C$35,$A$1,1))+1)/DAY(EOMONTH(DATE(EINSTELLUNG!$C$35,$A$1,1),0))*F52,2),"")</f>
        <v/>
      </c>
      <c r="I52" s="158"/>
      <c r="J52" s="165"/>
      <c r="K52" s="364" t="str">
        <f t="shared" si="1"/>
        <v/>
      </c>
      <c r="L52" s="366"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167"/>
      <c r="N52" s="168"/>
    </row>
    <row r="53" spans="1:22" ht="21.95" customHeight="1" x14ac:dyDescent="0.35">
      <c r="A53" s="363" t="s">
        <v>124</v>
      </c>
      <c r="B53" s="181"/>
      <c r="C53" s="182"/>
      <c r="D53" s="186"/>
      <c r="E53" s="184"/>
      <c r="F53" s="190"/>
      <c r="G53" s="364" t="str">
        <f>IF(OR(E53="",F53=""),"",PID_KVLohnLookup($A$1,E53,F53,LOHNTABELLE!$H$4))</f>
        <v/>
      </c>
      <c r="H53" s="365" t="str">
        <f>IF(AND(ISNUMBER(D53),ISNUMBER(F53)),ROUNDDOWN(MIN(IF(OR(ISBLANK(I53),I53=""),EOMONTH(DATE(EINSTELLUNG!$C$35,$A$1,1),0),I53)-MAX(D53,DATE(EINSTELLUNG!$C$35,$A$1,1))+1)/DAY(EOMONTH(DATE(EINSTELLUNG!$C$35,$A$1,1),0))*F53,2),"")</f>
        <v/>
      </c>
      <c r="I53" s="186"/>
      <c r="J53" s="187"/>
      <c r="K53" s="364" t="str">
        <f t="shared" si="1"/>
        <v/>
      </c>
      <c r="L53" s="366"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188"/>
      <c r="N53" s="189"/>
    </row>
    <row r="54" spans="1:22" ht="21.95" customHeight="1" x14ac:dyDescent="0.35">
      <c r="A54" s="363" t="s">
        <v>125</v>
      </c>
      <c r="B54" s="152"/>
      <c r="C54" s="153"/>
      <c r="D54" s="158"/>
      <c r="E54" s="155"/>
      <c r="F54" s="156"/>
      <c r="G54" s="364" t="str">
        <f>IF(OR(E54="",F54=""),"",PID_KVLohnLookup($A$1,E54,F54,LOHNTABELLE!$H$4))</f>
        <v/>
      </c>
      <c r="H54" s="365" t="str">
        <f>IF(AND(ISNUMBER(D54),ISNUMBER(F54)),ROUNDDOWN(MIN(IF(OR(ISBLANK(I54),I54=""),EOMONTH(DATE(EINSTELLUNG!$C$35,$A$1,1),0),I54)-MAX(D54,DATE(EINSTELLUNG!$C$35,$A$1,1))+1)/DAY(EOMONTH(DATE(EINSTELLUNG!$C$35,$A$1,1),0))*F54,2),"")</f>
        <v/>
      </c>
      <c r="I54" s="158"/>
      <c r="J54" s="165"/>
      <c r="K54" s="364" t="str">
        <f t="shared" si="1"/>
        <v/>
      </c>
      <c r="L54" s="366"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167"/>
      <c r="N54" s="168"/>
    </row>
    <row r="55" spans="1:22" ht="21.95" customHeight="1" x14ac:dyDescent="0.35">
      <c r="A55" s="363" t="s">
        <v>126</v>
      </c>
      <c r="B55" s="181"/>
      <c r="C55" s="182"/>
      <c r="D55" s="186"/>
      <c r="E55" s="184"/>
      <c r="F55" s="190"/>
      <c r="G55" s="364" t="str">
        <f>IF(OR(E55="",F55=""),"",PID_KVLohnLookup($A$1,E55,F55,LOHNTABELLE!$H$4))</f>
        <v/>
      </c>
      <c r="H55" s="365" t="str">
        <f>IF(AND(ISNUMBER(D55),ISNUMBER(F55)),ROUNDDOWN(MIN(IF(OR(ISBLANK(I55),I55=""),EOMONTH(DATE(EINSTELLUNG!$C$35,$A$1,1),0),I55)-MAX(D55,DATE(EINSTELLUNG!$C$35,$A$1,1))+1)/DAY(EOMONTH(DATE(EINSTELLUNG!$C$35,$A$1,1),0))*F55,2),"")</f>
        <v/>
      </c>
      <c r="I55" s="186"/>
      <c r="J55" s="187"/>
      <c r="K55" s="364" t="str">
        <f t="shared" si="1"/>
        <v/>
      </c>
      <c r="L55" s="366"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188"/>
      <c r="N55" s="189"/>
    </row>
    <row r="56" spans="1:22" ht="21.95" customHeight="1" x14ac:dyDescent="0.35">
      <c r="A56" s="363" t="s">
        <v>127</v>
      </c>
      <c r="B56" s="152"/>
      <c r="C56" s="153"/>
      <c r="D56" s="158"/>
      <c r="E56" s="155"/>
      <c r="F56" s="156"/>
      <c r="G56" s="364" t="str">
        <f>IF(OR(E56="",F56=""),"",PID_KVLohnLookup($A$1,E56,F56,LOHNTABELLE!$H$4))</f>
        <v/>
      </c>
      <c r="H56" s="365" t="str">
        <f>IF(AND(ISNUMBER(D56),ISNUMBER(F56)),ROUNDDOWN(MIN(IF(OR(ISBLANK(I56),I56=""),EOMONTH(DATE(EINSTELLUNG!$C$35,$A$1,1),0),I56)-MAX(D56,DATE(EINSTELLUNG!$C$35,$A$1,1))+1)/DAY(EOMONTH(DATE(EINSTELLUNG!$C$35,$A$1,1),0))*F56,2),"")</f>
        <v/>
      </c>
      <c r="I56" s="158"/>
      <c r="J56" s="165"/>
      <c r="K56" s="364" t="str">
        <f t="shared" si="1"/>
        <v/>
      </c>
      <c r="L56" s="366"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167"/>
      <c r="N56" s="168"/>
    </row>
    <row r="57" spans="1:22" ht="21.95" customHeight="1" x14ac:dyDescent="0.35">
      <c r="A57" s="363" t="s">
        <v>128</v>
      </c>
      <c r="B57" s="181"/>
      <c r="C57" s="182"/>
      <c r="D57" s="186"/>
      <c r="E57" s="184"/>
      <c r="F57" s="190"/>
      <c r="G57" s="364" t="str">
        <f>IF(OR(E57="",F57=""),"",PID_KVLohnLookup($A$1,E57,F57,LOHNTABELLE!$H$4))</f>
        <v/>
      </c>
      <c r="H57" s="365" t="str">
        <f>IF(AND(ISNUMBER(D57),ISNUMBER(F57)),ROUNDDOWN(MIN(IF(OR(ISBLANK(I57),I57=""),EOMONTH(DATE(EINSTELLUNG!$C$35,$A$1,1),0),I57)-MAX(D57,DATE(EINSTELLUNG!$C$35,$A$1,1))+1)/DAY(EOMONTH(DATE(EINSTELLUNG!$C$35,$A$1,1),0))*F57,2),"")</f>
        <v/>
      </c>
      <c r="I57" s="186"/>
      <c r="J57" s="187"/>
      <c r="K57" s="364" t="str">
        <f t="shared" si="1"/>
        <v/>
      </c>
      <c r="L57" s="366"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188"/>
      <c r="N57" s="189"/>
    </row>
    <row r="58" spans="1:22" ht="21.95" customHeight="1" x14ac:dyDescent="0.35">
      <c r="A58" s="363" t="s">
        <v>129</v>
      </c>
      <c r="B58" s="152"/>
      <c r="C58" s="153"/>
      <c r="D58" s="158"/>
      <c r="E58" s="155"/>
      <c r="F58" s="156"/>
      <c r="G58" s="364" t="str">
        <f>IF(OR(E58="",F58=""),"",PID_KVLohnLookup($A$1,E58,F58,LOHNTABELLE!$H$4))</f>
        <v/>
      </c>
      <c r="H58" s="365" t="str">
        <f>IF(AND(ISNUMBER(D58),ISNUMBER(F58)),ROUNDDOWN(MIN(IF(OR(ISBLANK(I58),I58=""),EOMONTH(DATE(EINSTELLUNG!$C$35,$A$1,1),0),I58)-MAX(D58,DATE(EINSTELLUNG!$C$35,$A$1,1))+1)/DAY(EOMONTH(DATE(EINSTELLUNG!$C$35,$A$1,1),0))*F58,2),"")</f>
        <v/>
      </c>
      <c r="I58" s="158"/>
      <c r="J58" s="165"/>
      <c r="K58" s="364" t="str">
        <f t="shared" si="1"/>
        <v/>
      </c>
      <c r="L58" s="366"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167"/>
      <c r="N58" s="168"/>
    </row>
    <row r="59" spans="1:22" ht="21.95" customHeight="1" x14ac:dyDescent="0.35">
      <c r="A59" s="363" t="s">
        <v>130</v>
      </c>
      <c r="B59" s="181"/>
      <c r="C59" s="182"/>
      <c r="D59" s="186"/>
      <c r="E59" s="184"/>
      <c r="F59" s="190"/>
      <c r="G59" s="364" t="str">
        <f>IF(OR(E59="",F59=""),"",PID_KVLohnLookup($A$1,E59,F59,LOHNTABELLE!$H$4))</f>
        <v/>
      </c>
      <c r="H59" s="365" t="str">
        <f>IF(AND(ISNUMBER(D59),ISNUMBER(F59)),ROUNDDOWN(MIN(IF(OR(ISBLANK(I59),I59=""),EOMONTH(DATE(EINSTELLUNG!$C$35,$A$1,1),0),I59)-MAX(D59,DATE(EINSTELLUNG!$C$35,$A$1,1))+1)/DAY(EOMONTH(DATE(EINSTELLUNG!$C$35,$A$1,1),0))*F59,2),"")</f>
        <v/>
      </c>
      <c r="I59" s="186"/>
      <c r="J59" s="187"/>
      <c r="K59" s="364" t="str">
        <f t="shared" si="1"/>
        <v/>
      </c>
      <c r="L59" s="366"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188"/>
      <c r="N59" s="189"/>
    </row>
    <row r="60" spans="1:22" ht="21.95" customHeight="1" x14ac:dyDescent="0.35">
      <c r="A60" s="363" t="s">
        <v>131</v>
      </c>
      <c r="B60" s="152"/>
      <c r="C60" s="153"/>
      <c r="D60" s="158"/>
      <c r="E60" s="155"/>
      <c r="F60" s="156"/>
      <c r="G60" s="364" t="str">
        <f>IF(OR(E60="",F60=""),"",PID_KVLohnLookup($A$1,E60,F60,LOHNTABELLE!$H$4))</f>
        <v/>
      </c>
      <c r="H60" s="365" t="str">
        <f>IF(AND(ISNUMBER(D60),ISNUMBER(F60)),ROUNDDOWN(MIN(IF(OR(ISBLANK(I60),I60=""),EOMONTH(DATE(EINSTELLUNG!$C$35,$A$1,1),0),I60)-MAX(D60,DATE(EINSTELLUNG!$C$35,$A$1,1))+1)/DAY(EOMONTH(DATE(EINSTELLUNG!$C$35,$A$1,1),0))*F60,2),"")</f>
        <v/>
      </c>
      <c r="I60" s="158"/>
      <c r="J60" s="165"/>
      <c r="K60" s="364" t="str">
        <f t="shared" si="1"/>
        <v/>
      </c>
      <c r="L60" s="366"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167"/>
      <c r="N60" s="168"/>
    </row>
    <row r="61" spans="1:22" ht="21.95" customHeight="1" x14ac:dyDescent="0.35">
      <c r="A61" s="363" t="s">
        <v>132</v>
      </c>
      <c r="B61" s="181"/>
      <c r="C61" s="182"/>
      <c r="D61" s="186"/>
      <c r="E61" s="184"/>
      <c r="F61" s="190"/>
      <c r="G61" s="364" t="str">
        <f>IF(OR(E61="",F61=""),"",PID_KVLohnLookup($A$1,E61,F61,LOHNTABELLE!$H$4))</f>
        <v/>
      </c>
      <c r="H61" s="365" t="str">
        <f>IF(AND(ISNUMBER(D61),ISNUMBER(F61)),ROUNDDOWN(MIN(IF(OR(ISBLANK(I61),I61=""),EOMONTH(DATE(EINSTELLUNG!$C$35,$A$1,1),0),I61)-MAX(D61,DATE(EINSTELLUNG!$C$35,$A$1,1))+1)/DAY(EOMONTH(DATE(EINSTELLUNG!$C$35,$A$1,1),0))*F61,2),"")</f>
        <v/>
      </c>
      <c r="I61" s="186"/>
      <c r="J61" s="187"/>
      <c r="K61" s="364" t="str">
        <f t="shared" si="1"/>
        <v/>
      </c>
      <c r="L61" s="366"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88"/>
      <c r="N61" s="189"/>
    </row>
    <row r="62" spans="1:22" ht="21.95" customHeight="1" x14ac:dyDescent="0.35">
      <c r="A62" s="363" t="s">
        <v>133</v>
      </c>
      <c r="B62" s="152"/>
      <c r="C62" s="153"/>
      <c r="D62" s="158"/>
      <c r="E62" s="155"/>
      <c r="F62" s="156"/>
      <c r="G62" s="364" t="str">
        <f>IF(OR(E62="",F62=""),"",PID_KVLohnLookup($A$1,E62,F62,LOHNTABELLE!$H$4))</f>
        <v/>
      </c>
      <c r="H62" s="365" t="str">
        <f>IF(AND(ISNUMBER(D62),ISNUMBER(F62)),ROUNDDOWN(MIN(IF(OR(ISBLANK(I62),I62=""),EOMONTH(DATE(EINSTELLUNG!$C$35,$A$1,1),0),I62)-MAX(D62,DATE(EINSTELLUNG!$C$35,$A$1,1))+1)/DAY(EOMONTH(DATE(EINSTELLUNG!$C$35,$A$1,1),0))*F62,2),"")</f>
        <v/>
      </c>
      <c r="I62" s="158"/>
      <c r="J62" s="165"/>
      <c r="K62" s="364" t="str">
        <f t="shared" si="1"/>
        <v/>
      </c>
      <c r="L62" s="366"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167"/>
      <c r="N62" s="168"/>
    </row>
    <row r="63" spans="1:22" ht="21.95" customHeight="1" x14ac:dyDescent="0.35">
      <c r="A63" s="363" t="s">
        <v>134</v>
      </c>
      <c r="B63" s="181"/>
      <c r="C63" s="182"/>
      <c r="D63" s="186"/>
      <c r="E63" s="184"/>
      <c r="F63" s="190"/>
      <c r="G63" s="364" t="str">
        <f>IF(OR(E63="",F63=""),"",PID_KVLohnLookup($A$1,E63,F63,LOHNTABELLE!$H$4))</f>
        <v/>
      </c>
      <c r="H63" s="365" t="str">
        <f>IF(AND(ISNUMBER(D63),ISNUMBER(F63)),ROUNDDOWN(MIN(IF(OR(ISBLANK(I63),I63=""),EOMONTH(DATE(EINSTELLUNG!$C$35,$A$1,1),0),I63)-MAX(D63,DATE(EINSTELLUNG!$C$35,$A$1,1))+1)/DAY(EOMONTH(DATE(EINSTELLUNG!$C$35,$A$1,1),0))*F63,2),"")</f>
        <v/>
      </c>
      <c r="I63" s="186"/>
      <c r="J63" s="187"/>
      <c r="K63" s="364" t="str">
        <f t="shared" si="1"/>
        <v/>
      </c>
      <c r="L63" s="366"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88"/>
      <c r="N63" s="189"/>
    </row>
    <row r="64" spans="1:22" ht="21.95" customHeight="1" x14ac:dyDescent="0.35">
      <c r="A64" s="363" t="s">
        <v>135</v>
      </c>
      <c r="B64" s="152"/>
      <c r="C64" s="153"/>
      <c r="D64" s="158"/>
      <c r="E64" s="155"/>
      <c r="F64" s="156"/>
      <c r="G64" s="364" t="str">
        <f>IF(OR(E64="",F64=""),"",PID_KVLohnLookup($A$1,E64,F64,LOHNTABELLE!$H$4))</f>
        <v/>
      </c>
      <c r="H64" s="365" t="str">
        <f>IF(AND(ISNUMBER(D64),ISNUMBER(F64)),ROUNDDOWN(MIN(IF(OR(ISBLANK(I64),I64=""),EOMONTH(DATE(EINSTELLUNG!$C$35,$A$1,1),0),I64)-MAX(D64,DATE(EINSTELLUNG!$C$35,$A$1,1))+1)/DAY(EOMONTH(DATE(EINSTELLUNG!$C$35,$A$1,1),0))*F64,2),"")</f>
        <v/>
      </c>
      <c r="I64" s="158"/>
      <c r="J64" s="165"/>
      <c r="K64" s="364" t="str">
        <f t="shared" si="1"/>
        <v/>
      </c>
      <c r="L64" s="366"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167"/>
      <c r="N64" s="168"/>
    </row>
    <row r="65" spans="1:14" ht="21.95" customHeight="1" x14ac:dyDescent="0.35">
      <c r="A65" s="363" t="s">
        <v>136</v>
      </c>
      <c r="B65" s="181"/>
      <c r="C65" s="182"/>
      <c r="D65" s="186"/>
      <c r="E65" s="184"/>
      <c r="F65" s="190"/>
      <c r="G65" s="364" t="str">
        <f>IF(OR(E65="",F65=""),"",PID_KVLohnLookup($A$1,E65,F65,LOHNTABELLE!$H$4))</f>
        <v/>
      </c>
      <c r="H65" s="365" t="str">
        <f>IF(AND(ISNUMBER(D65),ISNUMBER(F65)),ROUNDDOWN(MIN(IF(OR(ISBLANK(I65),I65=""),EOMONTH(DATE(EINSTELLUNG!$C$35,$A$1,1),0),I65)-MAX(D65,DATE(EINSTELLUNG!$C$35,$A$1,1))+1)/DAY(EOMONTH(DATE(EINSTELLUNG!$C$35,$A$1,1),0))*F65,2),"")</f>
        <v/>
      </c>
      <c r="I65" s="186"/>
      <c r="J65" s="187"/>
      <c r="K65" s="364" t="str">
        <f t="shared" si="1"/>
        <v/>
      </c>
      <c r="L65" s="366"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88"/>
      <c r="N65" s="189"/>
    </row>
    <row r="66" spans="1:14" ht="21.95" customHeight="1" x14ac:dyDescent="0.35">
      <c r="A66" s="363" t="s">
        <v>137</v>
      </c>
      <c r="B66" s="152"/>
      <c r="C66" s="153"/>
      <c r="D66" s="158"/>
      <c r="E66" s="155"/>
      <c r="F66" s="156"/>
      <c r="G66" s="364" t="str">
        <f>IF(OR(E66="",F66=""),"",PID_KVLohnLookup($A$1,E66,F66,LOHNTABELLE!$H$4))</f>
        <v/>
      </c>
      <c r="H66" s="365" t="str">
        <f>IF(AND(ISNUMBER(D66),ISNUMBER(F66)),ROUNDDOWN(MIN(IF(OR(ISBLANK(I66),I66=""),EOMONTH(DATE(EINSTELLUNG!$C$35,$A$1,1),0),I66)-MAX(D66,DATE(EINSTELLUNG!$C$35,$A$1,1))+1)/DAY(EOMONTH(DATE(EINSTELLUNG!$C$35,$A$1,1),0))*F66,2),"")</f>
        <v/>
      </c>
      <c r="I66" s="158"/>
      <c r="J66" s="165"/>
      <c r="K66" s="364" t="str">
        <f t="shared" si="1"/>
        <v/>
      </c>
      <c r="L66" s="366"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167"/>
      <c r="N66" s="168"/>
    </row>
    <row r="67" spans="1:14" ht="21.95" customHeight="1" x14ac:dyDescent="0.35">
      <c r="A67" s="363" t="s">
        <v>138</v>
      </c>
      <c r="B67" s="181"/>
      <c r="C67" s="182"/>
      <c r="D67" s="186"/>
      <c r="E67" s="184"/>
      <c r="F67" s="190"/>
      <c r="G67" s="364" t="str">
        <f>IF(OR(E67="",F67=""),"",PID_KVLohnLookup($A$1,E67,F67,LOHNTABELLE!$H$4))</f>
        <v/>
      </c>
      <c r="H67" s="365" t="str">
        <f>IF(AND(ISNUMBER(D67),ISNUMBER(F67)),ROUNDDOWN(MIN(IF(OR(ISBLANK(I67),I67=""),EOMONTH(DATE(EINSTELLUNG!$C$35,$A$1,1),0),I67)-MAX(D67,DATE(EINSTELLUNG!$C$35,$A$1,1))+1)/DAY(EOMONTH(DATE(EINSTELLUNG!$C$35,$A$1,1),0))*F67,2),"")</f>
        <v/>
      </c>
      <c r="I67" s="186"/>
      <c r="J67" s="187"/>
      <c r="K67" s="364" t="str">
        <f t="shared" ref="K67:K98" si="3">IF(OR(B67="",C67=""),"",IFERROR(IF(OR(MONTH(D67)=1,MONTH(D67)=3,MONTH(D67)=5,MONTH(D67)=7,MONTH(D67)=8,MONTH(D67)=10,MONTH(D67)=12),(G67/31)*J67,IF(OR(MONTH(D67)=4,MONTH(D67)=6,MONTH(D67)=9,MONTH(D67)=11),(G67/30)*J67,(G67/DAY(EOMONTH(D67,0)))*J67)),0))</f>
        <v/>
      </c>
      <c r="L67" s="366"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88"/>
      <c r="N67" s="189"/>
    </row>
    <row r="68" spans="1:14" ht="21.95" customHeight="1" x14ac:dyDescent="0.35">
      <c r="A68" s="363" t="s">
        <v>139</v>
      </c>
      <c r="B68" s="152"/>
      <c r="C68" s="153"/>
      <c r="D68" s="158"/>
      <c r="E68" s="155"/>
      <c r="F68" s="156"/>
      <c r="G68" s="364" t="str">
        <f>IF(OR(E68="",F68=""),"",PID_KVLohnLookup($A$1,E68,F68,LOHNTABELLE!$H$4))</f>
        <v/>
      </c>
      <c r="H68" s="365" t="str">
        <f>IF(AND(ISNUMBER(D68),ISNUMBER(F68)),ROUNDDOWN(MIN(IF(OR(ISBLANK(I68),I68=""),EOMONTH(DATE(EINSTELLUNG!$C$35,$A$1,1),0),I68)-MAX(D68,DATE(EINSTELLUNG!$C$35,$A$1,1))+1)/DAY(EOMONTH(DATE(EINSTELLUNG!$C$35,$A$1,1),0))*F68,2),"")</f>
        <v/>
      </c>
      <c r="I68" s="158"/>
      <c r="J68" s="165"/>
      <c r="K68" s="364" t="str">
        <f t="shared" si="3"/>
        <v/>
      </c>
      <c r="L68" s="366"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167"/>
      <c r="N68" s="168"/>
    </row>
    <row r="69" spans="1:14" ht="21.95" customHeight="1" x14ac:dyDescent="0.35">
      <c r="A69" s="363" t="s">
        <v>140</v>
      </c>
      <c r="B69" s="181"/>
      <c r="C69" s="182"/>
      <c r="D69" s="186"/>
      <c r="E69" s="184"/>
      <c r="F69" s="190"/>
      <c r="G69" s="364" t="str">
        <f>IF(OR(E69="",F69=""),"",PID_KVLohnLookup($A$1,E69,F69,LOHNTABELLE!$H$4))</f>
        <v/>
      </c>
      <c r="H69" s="365" t="str">
        <f>IF(AND(ISNUMBER(D69),ISNUMBER(F69)),ROUNDDOWN(MIN(IF(OR(ISBLANK(I69),I69=""),EOMONTH(DATE(EINSTELLUNG!$C$35,$A$1,1),0),I69)-MAX(D69,DATE(EINSTELLUNG!$C$35,$A$1,1))+1)/DAY(EOMONTH(DATE(EINSTELLUNG!$C$35,$A$1,1),0))*F69,2),"")</f>
        <v/>
      </c>
      <c r="I69" s="186"/>
      <c r="J69" s="187"/>
      <c r="K69" s="364" t="str">
        <f t="shared" si="3"/>
        <v/>
      </c>
      <c r="L69" s="366"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88"/>
      <c r="N69" s="189"/>
    </row>
    <row r="70" spans="1:14" ht="21.95" customHeight="1" x14ac:dyDescent="0.35">
      <c r="A70" s="363" t="s">
        <v>141</v>
      </c>
      <c r="B70" s="152"/>
      <c r="C70" s="153"/>
      <c r="D70" s="158"/>
      <c r="E70" s="155"/>
      <c r="F70" s="156"/>
      <c r="G70" s="364" t="str">
        <f>IF(OR(E70="",F70=""),"",PID_KVLohnLookup($A$1,E70,F70,LOHNTABELLE!$H$4))</f>
        <v/>
      </c>
      <c r="H70" s="365" t="str">
        <f>IF(AND(ISNUMBER(D70),ISNUMBER(F70)),ROUNDDOWN(MIN(IF(OR(ISBLANK(I70),I70=""),EOMONTH(DATE(EINSTELLUNG!$C$35,$A$1,1),0),I70)-MAX(D70,DATE(EINSTELLUNG!$C$35,$A$1,1))+1)/DAY(EOMONTH(DATE(EINSTELLUNG!$C$35,$A$1,1),0))*F70,2),"")</f>
        <v/>
      </c>
      <c r="I70" s="158"/>
      <c r="J70" s="165"/>
      <c r="K70" s="364" t="str">
        <f t="shared" si="3"/>
        <v/>
      </c>
      <c r="L70" s="366"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167"/>
      <c r="N70" s="168"/>
    </row>
    <row r="71" spans="1:14" ht="21.95" customHeight="1" x14ac:dyDescent="0.35">
      <c r="A71" s="363" t="s">
        <v>142</v>
      </c>
      <c r="B71" s="181"/>
      <c r="C71" s="182"/>
      <c r="D71" s="186"/>
      <c r="E71" s="184"/>
      <c r="F71" s="190"/>
      <c r="G71" s="364" t="str">
        <f>IF(OR(E71="",F71=""),"",PID_KVLohnLookup($A$1,E71,F71,LOHNTABELLE!$H$4))</f>
        <v/>
      </c>
      <c r="H71" s="365" t="str">
        <f>IF(AND(ISNUMBER(D71),ISNUMBER(F71)),ROUNDDOWN(MIN(IF(OR(ISBLANK(I71),I71=""),EOMONTH(DATE(EINSTELLUNG!$C$35,$A$1,1),0),I71)-MAX(D71,DATE(EINSTELLUNG!$C$35,$A$1,1))+1)/DAY(EOMONTH(DATE(EINSTELLUNG!$C$35,$A$1,1),0))*F71,2),"")</f>
        <v/>
      </c>
      <c r="I71" s="186"/>
      <c r="J71" s="187"/>
      <c r="K71" s="364" t="str">
        <f t="shared" si="3"/>
        <v/>
      </c>
      <c r="L71" s="366"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88"/>
      <c r="N71" s="189"/>
    </row>
    <row r="72" spans="1:14" ht="21.95" customHeight="1" x14ac:dyDescent="0.35">
      <c r="A72" s="363" t="s">
        <v>143</v>
      </c>
      <c r="B72" s="152"/>
      <c r="C72" s="153"/>
      <c r="D72" s="158"/>
      <c r="E72" s="155"/>
      <c r="F72" s="156"/>
      <c r="G72" s="364" t="str">
        <f>IF(OR(E72="",F72=""),"",PID_KVLohnLookup($A$1,E72,F72,LOHNTABELLE!$H$4))</f>
        <v/>
      </c>
      <c r="H72" s="365" t="str">
        <f>IF(AND(ISNUMBER(D72),ISNUMBER(F72)),ROUNDDOWN(MIN(IF(OR(ISBLANK(I72),I72=""),EOMONTH(DATE(EINSTELLUNG!$C$35,$A$1,1),0),I72)-MAX(D72,DATE(EINSTELLUNG!$C$35,$A$1,1))+1)/DAY(EOMONTH(DATE(EINSTELLUNG!$C$35,$A$1,1),0))*F72,2),"")</f>
        <v/>
      </c>
      <c r="I72" s="158"/>
      <c r="J72" s="165"/>
      <c r="K72" s="364" t="str">
        <f t="shared" si="3"/>
        <v/>
      </c>
      <c r="L72" s="366"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167"/>
      <c r="N72" s="168"/>
    </row>
    <row r="73" spans="1:14" ht="21.95" customHeight="1" x14ac:dyDescent="0.35">
      <c r="A73" s="363" t="s">
        <v>144</v>
      </c>
      <c r="B73" s="181"/>
      <c r="C73" s="182"/>
      <c r="D73" s="186"/>
      <c r="E73" s="184"/>
      <c r="F73" s="190"/>
      <c r="G73" s="364" t="str">
        <f>IF(OR(E73="",F73=""),"",PID_KVLohnLookup($A$1,E73,F73,LOHNTABELLE!$H$4))</f>
        <v/>
      </c>
      <c r="H73" s="365" t="str">
        <f>IF(AND(ISNUMBER(D73),ISNUMBER(F73)),ROUNDDOWN(MIN(IF(OR(ISBLANK(I73),I73=""),EOMONTH(DATE(EINSTELLUNG!$C$35,$A$1,1),0),I73)-MAX(D73,DATE(EINSTELLUNG!$C$35,$A$1,1))+1)/DAY(EOMONTH(DATE(EINSTELLUNG!$C$35,$A$1,1),0))*F73,2),"")</f>
        <v/>
      </c>
      <c r="I73" s="186"/>
      <c r="J73" s="187"/>
      <c r="K73" s="364" t="str">
        <f t="shared" si="3"/>
        <v/>
      </c>
      <c r="L73" s="366"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88"/>
      <c r="N73" s="189"/>
    </row>
    <row r="74" spans="1:14" ht="21.95" customHeight="1" x14ac:dyDescent="0.35">
      <c r="A74" s="363" t="s">
        <v>145</v>
      </c>
      <c r="B74" s="152"/>
      <c r="C74" s="153"/>
      <c r="D74" s="158"/>
      <c r="E74" s="155"/>
      <c r="F74" s="156"/>
      <c r="G74" s="364" t="str">
        <f>IF(OR(E74="",F74=""),"",PID_KVLohnLookup($A$1,E74,F74,LOHNTABELLE!$H$4))</f>
        <v/>
      </c>
      <c r="H74" s="365" t="str">
        <f>IF(AND(ISNUMBER(D74),ISNUMBER(F74)),ROUNDDOWN(MIN(IF(OR(ISBLANK(I74),I74=""),EOMONTH(DATE(EINSTELLUNG!$C$35,$A$1,1),0),I74)-MAX(D74,DATE(EINSTELLUNG!$C$35,$A$1,1))+1)/DAY(EOMONTH(DATE(EINSTELLUNG!$C$35,$A$1,1),0))*F74,2),"")</f>
        <v/>
      </c>
      <c r="I74" s="158"/>
      <c r="J74" s="165"/>
      <c r="K74" s="364" t="str">
        <f t="shared" si="3"/>
        <v/>
      </c>
      <c r="L74" s="366"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167"/>
      <c r="N74" s="168"/>
    </row>
    <row r="75" spans="1:14" ht="21.95" customHeight="1" x14ac:dyDescent="0.35">
      <c r="A75" s="363" t="s">
        <v>146</v>
      </c>
      <c r="B75" s="181"/>
      <c r="C75" s="182"/>
      <c r="D75" s="186"/>
      <c r="E75" s="184"/>
      <c r="F75" s="190"/>
      <c r="G75" s="364" t="str">
        <f>IF(OR(E75="",F75=""),"",PID_KVLohnLookup($A$1,E75,F75,LOHNTABELLE!$H$4))</f>
        <v/>
      </c>
      <c r="H75" s="365" t="str">
        <f>IF(AND(ISNUMBER(D75),ISNUMBER(F75)),ROUNDDOWN(MIN(IF(OR(ISBLANK(I75),I75=""),EOMONTH(DATE(EINSTELLUNG!$C$35,$A$1,1),0),I75)-MAX(D75,DATE(EINSTELLUNG!$C$35,$A$1,1))+1)/DAY(EOMONTH(DATE(EINSTELLUNG!$C$35,$A$1,1),0))*F75,2),"")</f>
        <v/>
      </c>
      <c r="I75" s="186"/>
      <c r="J75" s="187"/>
      <c r="K75" s="364" t="str">
        <f t="shared" si="3"/>
        <v/>
      </c>
      <c r="L75" s="366"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88"/>
      <c r="N75" s="189"/>
    </row>
    <row r="76" spans="1:14" ht="21.95" customHeight="1" x14ac:dyDescent="0.35">
      <c r="A76" s="363" t="s">
        <v>147</v>
      </c>
      <c r="B76" s="152"/>
      <c r="C76" s="153"/>
      <c r="D76" s="158"/>
      <c r="E76" s="155"/>
      <c r="F76" s="156"/>
      <c r="G76" s="364" t="str">
        <f>IF(OR(E76="",F76=""),"",PID_KVLohnLookup($A$1,E76,F76,LOHNTABELLE!$H$4))</f>
        <v/>
      </c>
      <c r="H76" s="365" t="str">
        <f>IF(AND(ISNUMBER(D76),ISNUMBER(F76)),ROUNDDOWN(MIN(IF(OR(ISBLANK(I76),I76=""),EOMONTH(DATE(EINSTELLUNG!$C$35,$A$1,1),0),I76)-MAX(D76,DATE(EINSTELLUNG!$C$35,$A$1,1))+1)/DAY(EOMONTH(DATE(EINSTELLUNG!$C$35,$A$1,1),0))*F76,2),"")</f>
        <v/>
      </c>
      <c r="I76" s="158"/>
      <c r="J76" s="165"/>
      <c r="K76" s="364" t="str">
        <f t="shared" si="3"/>
        <v/>
      </c>
      <c r="L76" s="366"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167"/>
      <c r="N76" s="168"/>
    </row>
    <row r="77" spans="1:14" ht="21.95" customHeight="1" x14ac:dyDescent="0.35">
      <c r="A77" s="363" t="s">
        <v>148</v>
      </c>
      <c r="B77" s="181"/>
      <c r="C77" s="182"/>
      <c r="D77" s="186"/>
      <c r="E77" s="184"/>
      <c r="F77" s="190"/>
      <c r="G77" s="364" t="str">
        <f>IF(OR(E77="",F77=""),"",PID_KVLohnLookup($A$1,E77,F77,LOHNTABELLE!$H$4))</f>
        <v/>
      </c>
      <c r="H77" s="365" t="str">
        <f>IF(AND(ISNUMBER(D77),ISNUMBER(F77)),ROUNDDOWN(MIN(IF(OR(ISBLANK(I77),I77=""),EOMONTH(DATE(EINSTELLUNG!$C$35,$A$1,1),0),I77)-MAX(D77,DATE(EINSTELLUNG!$C$35,$A$1,1))+1)/DAY(EOMONTH(DATE(EINSTELLUNG!$C$35,$A$1,1),0))*F77,2),"")</f>
        <v/>
      </c>
      <c r="I77" s="186"/>
      <c r="J77" s="187"/>
      <c r="K77" s="364" t="str">
        <f t="shared" si="3"/>
        <v/>
      </c>
      <c r="L77" s="366"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88"/>
      <c r="N77" s="189"/>
    </row>
    <row r="78" spans="1:14" ht="21.95" customHeight="1" x14ac:dyDescent="0.35">
      <c r="A78" s="363" t="s">
        <v>149</v>
      </c>
      <c r="B78" s="152"/>
      <c r="C78" s="153"/>
      <c r="D78" s="158"/>
      <c r="E78" s="155"/>
      <c r="F78" s="156"/>
      <c r="G78" s="364" t="str">
        <f>IF(OR(E78="",F78=""),"",PID_KVLohnLookup($A$1,E78,F78,LOHNTABELLE!$H$4))</f>
        <v/>
      </c>
      <c r="H78" s="365" t="str">
        <f>IF(AND(ISNUMBER(D78),ISNUMBER(F78)),ROUNDDOWN(MIN(IF(OR(ISBLANK(I78),I78=""),EOMONTH(DATE(EINSTELLUNG!$C$35,$A$1,1),0),I78)-MAX(D78,DATE(EINSTELLUNG!$C$35,$A$1,1))+1)/DAY(EOMONTH(DATE(EINSTELLUNG!$C$35,$A$1,1),0))*F78,2),"")</f>
        <v/>
      </c>
      <c r="I78" s="158"/>
      <c r="J78" s="165"/>
      <c r="K78" s="364" t="str">
        <f t="shared" si="3"/>
        <v/>
      </c>
      <c r="L78" s="366"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167"/>
      <c r="N78" s="168"/>
    </row>
    <row r="79" spans="1:14" ht="21.95" customHeight="1" x14ac:dyDescent="0.35">
      <c r="A79" s="363" t="s">
        <v>150</v>
      </c>
      <c r="B79" s="181"/>
      <c r="C79" s="182"/>
      <c r="D79" s="186"/>
      <c r="E79" s="184"/>
      <c r="F79" s="190"/>
      <c r="G79" s="364" t="str">
        <f>IF(OR(E79="",F79=""),"",PID_KVLohnLookup($A$1,E79,F79,LOHNTABELLE!$H$4))</f>
        <v/>
      </c>
      <c r="H79" s="365" t="str">
        <f>IF(AND(ISNUMBER(D79),ISNUMBER(F79)),ROUNDDOWN(MIN(IF(OR(ISBLANK(I79),I79=""),EOMONTH(DATE(EINSTELLUNG!$C$35,$A$1,1),0),I79)-MAX(D79,DATE(EINSTELLUNG!$C$35,$A$1,1))+1)/DAY(EOMONTH(DATE(EINSTELLUNG!$C$35,$A$1,1),0))*F79,2),"")</f>
        <v/>
      </c>
      <c r="I79" s="186"/>
      <c r="J79" s="187"/>
      <c r="K79" s="364" t="str">
        <f t="shared" si="3"/>
        <v/>
      </c>
      <c r="L79" s="366"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88"/>
      <c r="N79" s="189"/>
    </row>
    <row r="80" spans="1:14" ht="21.95" customHeight="1" x14ac:dyDescent="0.35">
      <c r="A80" s="363" t="s">
        <v>151</v>
      </c>
      <c r="B80" s="152"/>
      <c r="C80" s="153"/>
      <c r="D80" s="158"/>
      <c r="E80" s="155"/>
      <c r="F80" s="156"/>
      <c r="G80" s="364" t="str">
        <f>IF(OR(E80="",F80=""),"",PID_KVLohnLookup($A$1,E80,F80,LOHNTABELLE!$H$4))</f>
        <v/>
      </c>
      <c r="H80" s="365" t="str">
        <f>IF(AND(ISNUMBER(D80),ISNUMBER(F80)),ROUNDDOWN(MIN(IF(OR(ISBLANK(I80),I80=""),EOMONTH(DATE(EINSTELLUNG!$C$35,$A$1,1),0),I80)-MAX(D80,DATE(EINSTELLUNG!$C$35,$A$1,1))+1)/DAY(EOMONTH(DATE(EINSTELLUNG!$C$35,$A$1,1),0))*F80,2),"")</f>
        <v/>
      </c>
      <c r="I80" s="158"/>
      <c r="J80" s="165"/>
      <c r="K80" s="364" t="str">
        <f t="shared" si="3"/>
        <v/>
      </c>
      <c r="L80" s="366"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167"/>
      <c r="N80" s="168"/>
    </row>
    <row r="81" spans="1:14" ht="21.95" customHeight="1" x14ac:dyDescent="0.35">
      <c r="A81" s="363" t="s">
        <v>152</v>
      </c>
      <c r="B81" s="181"/>
      <c r="C81" s="182"/>
      <c r="D81" s="186"/>
      <c r="E81" s="184"/>
      <c r="F81" s="190"/>
      <c r="G81" s="364" t="str">
        <f>IF(OR(E81="",F81=""),"",PID_KVLohnLookup($A$1,E81,F81,LOHNTABELLE!$H$4))</f>
        <v/>
      </c>
      <c r="H81" s="365" t="str">
        <f>IF(AND(ISNUMBER(D81),ISNUMBER(F81)),ROUNDDOWN(MIN(IF(OR(ISBLANK(I81),I81=""),EOMONTH(DATE(EINSTELLUNG!$C$35,$A$1,1),0),I81)-MAX(D81,DATE(EINSTELLUNG!$C$35,$A$1,1))+1)/DAY(EOMONTH(DATE(EINSTELLUNG!$C$35,$A$1,1),0))*F81,2),"")</f>
        <v/>
      </c>
      <c r="I81" s="186"/>
      <c r="J81" s="187"/>
      <c r="K81" s="364" t="str">
        <f t="shared" si="3"/>
        <v/>
      </c>
      <c r="L81" s="366"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88"/>
      <c r="N81" s="189"/>
    </row>
    <row r="82" spans="1:14" ht="21.95" customHeight="1" thickBot="1" x14ac:dyDescent="0.4">
      <c r="A82" s="423" t="s">
        <v>153</v>
      </c>
      <c r="B82" s="160"/>
      <c r="C82" s="161"/>
      <c r="D82" s="162"/>
      <c r="E82" s="163"/>
      <c r="F82" s="164"/>
      <c r="G82" s="424" t="str">
        <f>IF(OR(E82="",F82=""),"",PID_KVLohnLookup($A$1,E82,F82,LOHNTABELLE!$H$4))</f>
        <v/>
      </c>
      <c r="H82" s="425" t="str">
        <f>IF(AND(ISNUMBER(D82),ISNUMBER(F82)),ROUNDDOWN(MIN(IF(OR(ISBLANK(I82),I82=""),EOMONTH(DATE(EINSTELLUNG!$C$35,$A$1,1),0),I82)-MAX(D82,DATE(EINSTELLUNG!$C$35,$A$1,1))+1)/DAY(EOMONTH(DATE(EINSTELLUNG!$C$35,$A$1,1),0))*F82,2),"")</f>
        <v/>
      </c>
      <c r="I82" s="162"/>
      <c r="J82" s="166"/>
      <c r="K82" s="424" t="str">
        <f t="shared" si="3"/>
        <v/>
      </c>
      <c r="L82" s="42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71"/>
      <c r="N82" s="172"/>
    </row>
    <row r="100" spans="26:26" ht="15.95" customHeight="1" x14ac:dyDescent="0.3">
      <c r="Z100" s="343"/>
    </row>
  </sheetData>
  <sheetProtection algorithmName="SHA-512" hashValue="Ohh0PN4y67YLEOx5+FOfW2phWAS+NoDoS+2/0lJY+ykyUkRODKZhwPCNkPLc965CBItrWcK1bKQjKhlIwO7GJQ==" saltValue="M5xMSGQPCtVVARmgRrFpBQ=="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D0168C0-936B-44E3-9C7E-53F030244B52}">
          <x14:formula1>
            <xm:f>KV_DROPDOWN_HELPER!$AJY$1:$AJY$12</xm:f>
          </x14:formula1>
          <xm:sqref>E3:E82</xm:sqref>
        </x14:dataValidation>
        <x14:dataValidation type="list" allowBlank="1" showInputMessage="1" showErrorMessage="1" xr:uid="{2B1F733A-734D-40F1-8550-D6E31D7EAC58}">
          <x14:formula1>
            <xm:f>KV_DROPDOWN_HELPER!$IG$1:$IG$13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tabSelected="1" zoomScaleNormal="100" workbookViewId="0">
      <pane ySplit="2" topLeftCell="A3" activePane="bottomLeft" state="frozen"/>
      <selection activeCell="T24" sqref="T24"/>
      <selection pane="bottomLeft" sqref="A1:A2"/>
    </sheetView>
  </sheetViews>
  <sheetFormatPr baseColWidth="10" defaultColWidth="9.140625" defaultRowHeight="15.95" customHeight="1" x14ac:dyDescent="0.3"/>
  <cols>
    <col min="1" max="1" width="4.42578125" style="427" customWidth="1"/>
    <col min="2" max="2" width="9.140625" style="427" customWidth="1"/>
    <col min="3" max="3" width="35.5703125" style="263" customWidth="1"/>
    <col min="4" max="4" width="13.5703125" style="263" customWidth="1"/>
    <col min="5" max="5" width="9.5703125" style="263" customWidth="1"/>
    <col min="6" max="6" width="10.5703125" style="263" customWidth="1"/>
    <col min="7" max="7" width="13.5703125" style="263" customWidth="1"/>
    <col min="8" max="8" width="11.5703125" style="263" customWidth="1"/>
    <col min="9" max="10" width="13.5703125" style="263" customWidth="1"/>
    <col min="11" max="11" width="14.5703125" style="263" customWidth="1"/>
    <col min="12" max="12" width="14.5703125" style="389" customWidth="1"/>
    <col min="13" max="13" width="17.85546875" style="263" customWidth="1"/>
    <col min="14" max="14" width="34.5703125" style="263" customWidth="1"/>
    <col min="15" max="15" width="12.5703125" style="263" customWidth="1"/>
    <col min="16" max="16" width="16.5703125" style="263" customWidth="1"/>
    <col min="17" max="17" width="14.5703125" style="263" customWidth="1"/>
    <col min="18" max="18" width="13.5703125" style="263" customWidth="1"/>
    <col min="19" max="19" width="9.5703125" style="263" customWidth="1"/>
    <col min="20" max="20" width="10.5703125" style="263" customWidth="1"/>
    <col min="21" max="21" width="7.5703125" style="263" customWidth="1"/>
    <col min="22" max="27" width="9.140625" style="263"/>
    <col min="28" max="28" width="10.5703125" style="263" bestFit="1" customWidth="1"/>
    <col min="29" max="16384" width="9.140625" style="263"/>
  </cols>
  <sheetData>
    <row r="1" spans="1:28" ht="18" customHeight="1" x14ac:dyDescent="0.3">
      <c r="A1" s="344">
        <v>5</v>
      </c>
      <c r="B1" s="345" t="s">
        <v>179</v>
      </c>
      <c r="C1" s="346" t="s">
        <v>39</v>
      </c>
      <c r="D1" s="346" t="s">
        <v>180</v>
      </c>
      <c r="E1" s="346" t="s">
        <v>0</v>
      </c>
      <c r="F1" s="346" t="s">
        <v>40</v>
      </c>
      <c r="G1" s="346" t="s">
        <v>41</v>
      </c>
      <c r="H1" s="346" t="s">
        <v>42</v>
      </c>
      <c r="I1" s="346" t="s">
        <v>181</v>
      </c>
      <c r="J1" s="346" t="s">
        <v>43</v>
      </c>
      <c r="K1" s="346" t="s">
        <v>44</v>
      </c>
      <c r="L1" s="346" t="s">
        <v>45</v>
      </c>
      <c r="M1" s="346" t="s">
        <v>46</v>
      </c>
      <c r="N1" s="347" t="s">
        <v>182</v>
      </c>
      <c r="AB1" s="348">
        <f>DATE(EINSTELLUNG!$C$35,$A$1,1)</f>
        <v>46143</v>
      </c>
    </row>
    <row r="2" spans="1:28" ht="18" customHeight="1" thickBot="1" x14ac:dyDescent="0.35">
      <c r="A2" s="349"/>
      <c r="B2" s="350"/>
      <c r="C2" s="351"/>
      <c r="D2" s="351"/>
      <c r="E2" s="351"/>
      <c r="F2" s="351"/>
      <c r="G2" s="351"/>
      <c r="H2" s="351"/>
      <c r="I2" s="351"/>
      <c r="J2" s="351"/>
      <c r="K2" s="351"/>
      <c r="L2" s="351"/>
      <c r="M2" s="351"/>
      <c r="N2" s="352"/>
      <c r="O2" s="353"/>
      <c r="P2" s="353"/>
      <c r="Q2" s="353"/>
      <c r="S2" s="354" t="s">
        <v>291</v>
      </c>
      <c r="T2" s="354"/>
      <c r="U2" s="354"/>
      <c r="V2" s="354"/>
      <c r="AB2" s="348">
        <f>EOMONTH(DATE(EINSTELLUNG!$C$35,$A$1,1),0)</f>
        <v>46173</v>
      </c>
    </row>
    <row r="3" spans="1:28" ht="21.95" customHeight="1" x14ac:dyDescent="0.35">
      <c r="A3" s="355" t="s">
        <v>292</v>
      </c>
      <c r="B3" s="173">
        <v>21867</v>
      </c>
      <c r="C3" s="151" t="s">
        <v>385</v>
      </c>
      <c r="D3" s="174">
        <v>46023</v>
      </c>
      <c r="E3" s="175" t="s">
        <v>2</v>
      </c>
      <c r="F3" s="176">
        <v>173</v>
      </c>
      <c r="G3" s="356">
        <f>IF(OR(E3="",F3=""),"",PID_KVLohnLookup($A$1,E3,F3,LOHNTABELLE!$H$4))</f>
        <v>2100</v>
      </c>
      <c r="H3" s="357">
        <f>IF(AND(ISNUMBER(D3),ISNUMBER(F3)),ROUNDDOWN(MIN(IF(OR(ISBLANK(I3),I3=""),EOMONTH(DATE(EINSTELLUNG!$C$35,$A$1,1),0),I3)-MAX(D3,DATE(EINSTELLUNG!$C$35,$A$1,1))+1)/DAY(EOMONTH(DATE(EINSTELLUNG!$C$35,$A$1,1),0))*F3,2),"")</f>
        <v>173</v>
      </c>
      <c r="I3" s="177"/>
      <c r="J3" s="178"/>
      <c r="K3" s="356">
        <f t="shared" ref="K3:K34" si="0">IF(OR(B3="",C3=""),"",IFERROR(IF(OR(MONTH(D3)=1,MONTH(D3)=3,MONTH(D3)=5,MONTH(D3)=7,MONTH(D3)=8,MONTH(D3)=10,MONTH(D3)=12),(G3/31)*J3,IF(OR(MONTH(D3)=4,MONTH(D3)=6,MONTH(D3)=9,MONTH(D3)=11),(G3/30)*J3,(G3/DAY(EOMONTH(D3,0)))*J3)),0))</f>
        <v>0</v>
      </c>
      <c r="L3" s="35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2100</v>
      </c>
      <c r="M3" s="179"/>
      <c r="N3" s="180"/>
      <c r="O3" s="359" t="s">
        <v>47</v>
      </c>
      <c r="P3" s="359" t="s">
        <v>48</v>
      </c>
      <c r="Q3" s="359" t="s">
        <v>49</v>
      </c>
      <c r="R3" s="360" t="s">
        <v>50</v>
      </c>
      <c r="S3" s="361"/>
      <c r="T3" s="361"/>
      <c r="U3" s="361"/>
      <c r="V3" s="361"/>
      <c r="AB3" s="362"/>
    </row>
    <row r="4" spans="1:28" ht="21.95" customHeight="1" x14ac:dyDescent="0.35">
      <c r="A4" s="363" t="s">
        <v>51</v>
      </c>
      <c r="B4" s="152">
        <v>221340</v>
      </c>
      <c r="C4" s="153" t="s">
        <v>333</v>
      </c>
      <c r="D4" s="154">
        <v>32994</v>
      </c>
      <c r="E4" s="155" t="s">
        <v>2</v>
      </c>
      <c r="F4" s="156">
        <v>151.38</v>
      </c>
      <c r="G4" s="364">
        <f>IF(OR(E4="",F4=""),"",PID_KVLohnLookup($A$1,E4,F4,LOHNTABELLE!$H$4))</f>
        <v>1768.38</v>
      </c>
      <c r="H4" s="365">
        <f>IF(AND(ISNUMBER(D4),ISNUMBER(F4)),ROUNDDOWN(MIN(IF(OR(ISBLANK(I4),I4=""),EOMONTH(DATE(EINSTELLUNG!$C$35,$A$1,1),0),I4)-MAX(D4,DATE(EINSTELLUNG!$C$35,$A$1,1))+1)/DAY(EOMONTH(DATE(EINSTELLUNG!$C$35,$A$1,1),0))*F4,2),"")</f>
        <v>151.38</v>
      </c>
      <c r="I4" s="158"/>
      <c r="J4" s="165"/>
      <c r="K4" s="364">
        <f t="shared" si="0"/>
        <v>0</v>
      </c>
      <c r="L4" s="366">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1768.38</v>
      </c>
      <c r="M4" s="167"/>
      <c r="N4" s="168"/>
      <c r="O4" s="367"/>
      <c r="P4" s="367"/>
      <c r="Q4" s="367"/>
      <c r="R4" s="368"/>
      <c r="S4" s="361"/>
      <c r="T4" s="361"/>
      <c r="U4" s="361"/>
      <c r="V4" s="361"/>
    </row>
    <row r="5" spans="1:28" ht="21.95" customHeight="1" x14ac:dyDescent="0.35">
      <c r="A5" s="363" t="s">
        <v>52</v>
      </c>
      <c r="B5" s="181"/>
      <c r="C5" s="182"/>
      <c r="D5" s="183"/>
      <c r="E5" s="184"/>
      <c r="F5" s="185"/>
      <c r="G5" s="364" t="str">
        <f>IF(OR(E5="",F5=""),"",PID_KVLohnLookup($A$1,E5,F5,LOHNTABELLE!$H$4))</f>
        <v/>
      </c>
      <c r="H5" s="365" t="str">
        <f>IF(AND(ISNUMBER(D5),ISNUMBER(F5)),ROUNDDOWN(MIN(IF(OR(ISBLANK(I5),I5=""),EOMONTH(DATE(EINSTELLUNG!$C$35,$A$1,1),0),I5)-MAX(D5,DATE(EINSTELLUNG!$C$35,$A$1,1))+1)/DAY(EOMONTH(DATE(EINSTELLUNG!$C$35,$A$1,1),0))*F5,2),"")</f>
        <v/>
      </c>
      <c r="I5" s="186"/>
      <c r="J5" s="187"/>
      <c r="K5" s="364" t="str">
        <f t="shared" si="0"/>
        <v/>
      </c>
      <c r="L5" s="366"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188"/>
      <c r="N5" s="189"/>
      <c r="O5" s="369" cm="1">
        <f t="array" ref="O5">SUMPRODUCT((F3:F82/4.310808)/5*2.08)</f>
        <v>31.303198843465079</v>
      </c>
      <c r="P5" s="370">
        <f>EINSTELLUNG!I10</f>
        <v>0</v>
      </c>
      <c r="Q5" s="370">
        <f>P5-O5</f>
        <v>-31.303198843465079</v>
      </c>
      <c r="R5" s="371">
        <f>IFERROR(Q5*Q42, 0)</f>
        <v>-373.30497670042377</v>
      </c>
      <c r="S5" s="361"/>
      <c r="T5" s="361"/>
      <c r="U5" s="361"/>
      <c r="V5" s="361"/>
    </row>
    <row r="6" spans="1:28" ht="21.95" customHeight="1" x14ac:dyDescent="0.35">
      <c r="A6" s="363" t="s">
        <v>53</v>
      </c>
      <c r="B6" s="152"/>
      <c r="C6" s="153"/>
      <c r="D6" s="154"/>
      <c r="E6" s="155"/>
      <c r="F6" s="156"/>
      <c r="G6" s="364" t="str">
        <f>IF(OR(E6="",F6=""),"",PID_KVLohnLookup($A$1,E6,F6,LOHNTABELLE!$H$4))</f>
        <v/>
      </c>
      <c r="H6" s="365" t="str">
        <f>IF(AND(ISNUMBER(D6),ISNUMBER(F6)),ROUNDDOWN(MIN(IF(OR(ISBLANK(I6),I6=""),EOMONTH(DATE(EINSTELLUNG!$C$35,$A$1,1),0),I6)-MAX(D6,DATE(EINSTELLUNG!$C$35,$A$1,1))+1)/DAY(EOMONTH(DATE(EINSTELLUNG!$C$35,$A$1,1),0))*F6,2),"")</f>
        <v/>
      </c>
      <c r="I6" s="158"/>
      <c r="J6" s="165"/>
      <c r="K6" s="364" t="str">
        <f t="shared" si="0"/>
        <v/>
      </c>
      <c r="L6" s="366"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167"/>
      <c r="N6" s="168"/>
      <c r="O6" s="372" t="str">
        <f>IF(Q5&lt;0, "Schlecht! Zu wenig Urlaub abgebaut.", IF(Q5&gt;0, "Gut! Mehr Urlaub abgebaut als aufgebaut.", ""))</f>
        <v>Schlecht! Zu wenig Urlaub abgebaut.</v>
      </c>
      <c r="P6" s="373"/>
      <c r="Q6" s="373"/>
      <c r="R6" s="374"/>
      <c r="S6" s="361"/>
      <c r="T6" s="361"/>
      <c r="U6" s="361"/>
      <c r="V6" s="361"/>
    </row>
    <row r="7" spans="1:28" ht="21.95" customHeight="1" thickBot="1" x14ac:dyDescent="0.4">
      <c r="A7" s="363" t="s">
        <v>54</v>
      </c>
      <c r="B7" s="181"/>
      <c r="C7" s="182"/>
      <c r="D7" s="183"/>
      <c r="E7" s="184"/>
      <c r="F7" s="190"/>
      <c r="G7" s="364" t="str">
        <f>IF(OR(E7="",F7=""),"",PID_KVLohnLookup($A$1,E7,F7,LOHNTABELLE!$H$4))</f>
        <v/>
      </c>
      <c r="H7" s="365" t="str">
        <f>IF(AND(ISNUMBER(D7),ISNUMBER(F7)),ROUNDDOWN(MIN(IF(OR(ISBLANK(I7),I7=""),EOMONTH(DATE(EINSTELLUNG!$C$35,$A$1,1),0),I7)-MAX(D7,DATE(EINSTELLUNG!$C$35,$A$1,1))+1)/DAY(EOMONTH(DATE(EINSTELLUNG!$C$35,$A$1,1),0))*F7,2),"")</f>
        <v/>
      </c>
      <c r="I7" s="186"/>
      <c r="J7" s="187"/>
      <c r="K7" s="364" t="str">
        <f t="shared" si="0"/>
        <v/>
      </c>
      <c r="L7" s="366"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188"/>
      <c r="N7" s="189"/>
      <c r="O7" s="361"/>
      <c r="P7" s="361"/>
      <c r="Q7" s="361"/>
      <c r="R7" s="361"/>
      <c r="S7" s="361"/>
      <c r="T7" s="361"/>
      <c r="U7" s="361"/>
      <c r="V7" s="361"/>
    </row>
    <row r="8" spans="1:28" ht="21.95" customHeight="1" x14ac:dyDescent="0.35">
      <c r="A8" s="363" t="s">
        <v>55</v>
      </c>
      <c r="B8" s="152"/>
      <c r="C8" s="153"/>
      <c r="D8" s="154"/>
      <c r="E8" s="155"/>
      <c r="F8" s="156"/>
      <c r="G8" s="364" t="str">
        <f>IF(OR(E8="",F8=""),"",PID_KVLohnLookup($A$1,E8,F8,LOHNTABELLE!$H$4))</f>
        <v/>
      </c>
      <c r="H8" s="365" t="str">
        <f>IF(AND(ISNUMBER(D8),ISNUMBER(F8)),ROUNDDOWN(MIN(IF(OR(ISBLANK(I8),I8=""),EOMONTH(DATE(EINSTELLUNG!$C$35,$A$1,1),0),I8)-MAX(D8,DATE(EINSTELLUNG!$C$35,$A$1,1))+1)/DAY(EOMONTH(DATE(EINSTELLUNG!$C$35,$A$1,1),0))*F8,2),"")</f>
        <v/>
      </c>
      <c r="I8" s="158"/>
      <c r="J8" s="165"/>
      <c r="K8" s="364" t="str">
        <f t="shared" si="0"/>
        <v/>
      </c>
      <c r="L8" s="366"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167"/>
      <c r="N8" s="168"/>
      <c r="O8" s="375" t="s">
        <v>56</v>
      </c>
      <c r="P8" s="376"/>
      <c r="Q8" s="377">
        <f>SUM(H3:H82)</f>
        <v>324.38</v>
      </c>
      <c r="R8" s="378"/>
      <c r="S8" s="361"/>
      <c r="T8" s="361"/>
      <c r="U8" s="361"/>
      <c r="V8" s="361"/>
    </row>
    <row r="9" spans="1:28" ht="21.95" customHeight="1" x14ac:dyDescent="0.35">
      <c r="A9" s="363" t="s">
        <v>57</v>
      </c>
      <c r="B9" s="181"/>
      <c r="C9" s="182"/>
      <c r="D9" s="183"/>
      <c r="E9" s="184"/>
      <c r="F9" s="190"/>
      <c r="G9" s="364" t="str">
        <f>IF(OR(E9="",F9=""),"",PID_KVLohnLookup($A$1,E9,F9,LOHNTABELLE!$H$4))</f>
        <v/>
      </c>
      <c r="H9" s="365" t="str">
        <f>IF(AND(ISNUMBER(D9),ISNUMBER(F9)),ROUNDDOWN(MIN(IF(OR(ISBLANK(I9),I9=""),EOMONTH(DATE(EINSTELLUNG!$C$35,$A$1,1),0),I9)-MAX(D9,DATE(EINSTELLUNG!$C$35,$A$1,1))+1)/DAY(EOMONTH(DATE(EINSTELLUNG!$C$35,$A$1,1),0))*F9,2),"")</f>
        <v/>
      </c>
      <c r="I9" s="186"/>
      <c r="J9" s="187"/>
      <c r="K9" s="364" t="str">
        <f t="shared" si="0"/>
        <v/>
      </c>
      <c r="L9" s="366"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188"/>
      <c r="N9" s="189"/>
      <c r="O9" s="379" t="s">
        <v>58</v>
      </c>
      <c r="P9" s="380"/>
      <c r="Q9" s="381">
        <f>EINSTELLUNG!L26</f>
        <v>0</v>
      </c>
      <c r="R9" s="382"/>
      <c r="S9" s="383">
        <f>IFERROR(Q9/Q8, 0)</f>
        <v>0</v>
      </c>
      <c r="T9" s="361"/>
      <c r="U9" s="361"/>
      <c r="V9" s="361"/>
    </row>
    <row r="10" spans="1:28" ht="21.95" customHeight="1" x14ac:dyDescent="0.35">
      <c r="A10" s="363" t="s">
        <v>59</v>
      </c>
      <c r="B10" s="152"/>
      <c r="C10" s="153"/>
      <c r="D10" s="154"/>
      <c r="E10" s="155"/>
      <c r="F10" s="156"/>
      <c r="G10" s="364" t="str">
        <f>IF(OR(E10="",F10=""),"",PID_KVLohnLookup($A$1,E10,F10,LOHNTABELLE!$H$4))</f>
        <v/>
      </c>
      <c r="H10" s="365" t="str">
        <f>IF(AND(ISNUMBER(D10),ISNUMBER(F10)),ROUNDDOWN(MIN(IF(OR(ISBLANK(I10),I10=""),EOMONTH(DATE(EINSTELLUNG!$C$35,$A$1,1),0),I10)-MAX(D10,DATE(EINSTELLUNG!$C$35,$A$1,1))+1)/DAY(EOMONTH(DATE(EINSTELLUNG!$C$35,$A$1,1),0))*F10,2),"")</f>
        <v/>
      </c>
      <c r="I10" s="158"/>
      <c r="J10" s="165"/>
      <c r="K10" s="364" t="str">
        <f t="shared" si="0"/>
        <v/>
      </c>
      <c r="L10" s="366"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167"/>
      <c r="N10" s="168"/>
      <c r="O10" s="379" t="s">
        <v>60</v>
      </c>
      <c r="P10" s="380"/>
      <c r="Q10" s="381">
        <f>EINSTELLUNG!I26</f>
        <v>0</v>
      </c>
      <c r="R10" s="382"/>
      <c r="S10" s="361"/>
      <c r="T10" s="361"/>
      <c r="U10" s="361"/>
      <c r="V10" s="361"/>
    </row>
    <row r="11" spans="1:28" ht="21.95" customHeight="1" x14ac:dyDescent="0.35">
      <c r="A11" s="363" t="s">
        <v>61</v>
      </c>
      <c r="B11" s="181"/>
      <c r="C11" s="182"/>
      <c r="D11" s="183"/>
      <c r="E11" s="184"/>
      <c r="F11" s="190"/>
      <c r="G11" s="364" t="str">
        <f>IF(OR(E11="",F11=""),"",PID_KVLohnLookup($A$1,E11,F11,LOHNTABELLE!$H$4))</f>
        <v/>
      </c>
      <c r="H11" s="365" t="str">
        <f>IF(AND(ISNUMBER(D11),ISNUMBER(F11)),ROUNDDOWN(MIN(IF(OR(ISBLANK(I11),I11=""),EOMONTH(DATE(EINSTELLUNG!$C$35,$A$1,1),0),I11)-MAX(D11,DATE(EINSTELLUNG!$C$35,$A$1,1))+1)/DAY(EOMONTH(DATE(EINSTELLUNG!$C$35,$A$1,1),0))*F11,2),"")</f>
        <v/>
      </c>
      <c r="I11" s="186"/>
      <c r="J11" s="187"/>
      <c r="K11" s="364" t="str">
        <f t="shared" si="0"/>
        <v/>
      </c>
      <c r="L11" s="366"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188"/>
      <c r="N11" s="189"/>
      <c r="O11" s="379" t="s">
        <v>62</v>
      </c>
      <c r="P11" s="380"/>
      <c r="Q11" s="381">
        <f>P5</f>
        <v>0</v>
      </c>
      <c r="R11" s="382"/>
      <c r="S11" s="361"/>
      <c r="T11" s="361"/>
      <c r="U11" s="361"/>
      <c r="V11" s="361"/>
    </row>
    <row r="12" spans="1:28" ht="21.95" customHeight="1" x14ac:dyDescent="0.35">
      <c r="A12" s="363" t="s">
        <v>63</v>
      </c>
      <c r="B12" s="152"/>
      <c r="C12" s="153"/>
      <c r="D12" s="154"/>
      <c r="E12" s="155"/>
      <c r="F12" s="156"/>
      <c r="G12" s="364" t="str">
        <f>IF(OR(E12="",F12=""),"",PID_KVLohnLookup($A$1,E12,F12,LOHNTABELLE!$H$4))</f>
        <v/>
      </c>
      <c r="H12" s="365" t="str">
        <f>IF(AND(ISNUMBER(D12),ISNUMBER(F12)),ROUNDDOWN(MIN(IF(OR(ISBLANK(I12),I12=""),EOMONTH(DATE(EINSTELLUNG!$C$35,$A$1,1),0),I12)-MAX(D12,DATE(EINSTELLUNG!$C$35,$A$1,1))+1)/DAY(EOMONTH(DATE(EINSTELLUNG!$C$35,$A$1,1),0))*F12,2),"")</f>
        <v/>
      </c>
      <c r="I12" s="158"/>
      <c r="J12" s="165"/>
      <c r="K12" s="364" t="str">
        <f t="shared" si="0"/>
        <v/>
      </c>
      <c r="L12" s="366"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167"/>
      <c r="N12" s="168"/>
      <c r="O12" s="379" t="s">
        <v>66</v>
      </c>
      <c r="P12" s="380"/>
      <c r="Q12" s="381">
        <f>Q8-Q9-Q10-Q11</f>
        <v>324.38</v>
      </c>
      <c r="R12" s="382"/>
      <c r="S12" s="361"/>
      <c r="T12" s="361"/>
      <c r="U12" s="361"/>
      <c r="V12" s="361"/>
    </row>
    <row r="13" spans="1:28" ht="21.95" customHeight="1" x14ac:dyDescent="0.35">
      <c r="A13" s="363" t="s">
        <v>65</v>
      </c>
      <c r="B13" s="181"/>
      <c r="C13" s="182"/>
      <c r="D13" s="183"/>
      <c r="E13" s="184"/>
      <c r="F13" s="190"/>
      <c r="G13" s="364" t="str">
        <f>IF(OR(E13="",F13=""),"",PID_KVLohnLookup($A$1,E13,F13,LOHNTABELLE!$H$4))</f>
        <v/>
      </c>
      <c r="H13" s="365" t="str">
        <f>IF(AND(ISNUMBER(D13),ISNUMBER(F13)),ROUNDDOWN(MIN(IF(OR(ISBLANK(I13),I13=""),EOMONTH(DATE(EINSTELLUNG!$C$35,$A$1,1),0),I13)-MAX(D13,DATE(EINSTELLUNG!$C$35,$A$1,1))+1)/DAY(EOMONTH(DATE(EINSTELLUNG!$C$35,$A$1,1),0))*F13,2),"")</f>
        <v/>
      </c>
      <c r="I13" s="186"/>
      <c r="J13" s="187"/>
      <c r="K13" s="364" t="str">
        <f t="shared" si="0"/>
        <v/>
      </c>
      <c r="L13" s="366"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188"/>
      <c r="N13" s="189"/>
      <c r="O13" s="379" t="s">
        <v>68</v>
      </c>
      <c r="P13" s="380"/>
      <c r="Q13" s="381">
        <f>EINSTELLUNG!L10</f>
        <v>0</v>
      </c>
      <c r="R13" s="382"/>
      <c r="S13" s="361"/>
      <c r="T13" s="361"/>
      <c r="U13" s="361"/>
      <c r="V13" s="361"/>
    </row>
    <row r="14" spans="1:28" ht="21.95" customHeight="1" x14ac:dyDescent="0.35">
      <c r="A14" s="363" t="s">
        <v>67</v>
      </c>
      <c r="B14" s="152"/>
      <c r="C14" s="153"/>
      <c r="D14" s="154"/>
      <c r="E14" s="155"/>
      <c r="F14" s="156"/>
      <c r="G14" s="364" t="str">
        <f>IF(OR(E14="",F14=""),"",PID_KVLohnLookup($A$1,E14,F14,LOHNTABELLE!$H$4))</f>
        <v/>
      </c>
      <c r="H14" s="365" t="str">
        <f>IF(AND(ISNUMBER(D14),ISNUMBER(F14)),ROUNDDOWN(MIN(IF(OR(ISBLANK(I14),I14=""),EOMONTH(DATE(EINSTELLUNG!$C$35,$A$1,1),0),I14)-MAX(D14,DATE(EINSTELLUNG!$C$35,$A$1,1))+1)/DAY(EOMONTH(DATE(EINSTELLUNG!$C$35,$A$1,1),0))*F14,2),"")</f>
        <v/>
      </c>
      <c r="I14" s="158"/>
      <c r="J14" s="165"/>
      <c r="K14" s="364" t="str">
        <f t="shared" si="0"/>
        <v/>
      </c>
      <c r="L14" s="366"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167"/>
      <c r="N14" s="168"/>
      <c r="O14" s="379" t="s">
        <v>70</v>
      </c>
      <c r="P14" s="380"/>
      <c r="Q14" s="381">
        <f>Q12-Q13</f>
        <v>324.38</v>
      </c>
      <c r="R14" s="382"/>
      <c r="S14" s="361"/>
      <c r="T14" s="361"/>
      <c r="U14" s="361"/>
      <c r="V14" s="361"/>
    </row>
    <row r="15" spans="1:28" ht="21.95" customHeight="1" x14ac:dyDescent="0.35">
      <c r="A15" s="363" t="s">
        <v>69</v>
      </c>
      <c r="B15" s="181"/>
      <c r="C15" s="182"/>
      <c r="D15" s="186"/>
      <c r="E15" s="184"/>
      <c r="F15" s="190"/>
      <c r="G15" s="364" t="str">
        <f>IF(OR(E15="",F15=""),"",PID_KVLohnLookup($A$1,E15,F15,LOHNTABELLE!$H$4))</f>
        <v/>
      </c>
      <c r="H15" s="365" t="str">
        <f>IF(AND(ISNUMBER(D15),ISNUMBER(F15)),ROUNDDOWN(MIN(IF(OR(ISBLANK(I15),I15=""),EOMONTH(DATE(EINSTELLUNG!$C$35,$A$1,1),0),I15)-MAX(D15,DATE(EINSTELLUNG!$C$35,$A$1,1))+1)/DAY(EOMONTH(DATE(EINSTELLUNG!$C$35,$A$1,1),0))*F15,2),"")</f>
        <v/>
      </c>
      <c r="I15" s="186"/>
      <c r="J15" s="187"/>
      <c r="K15" s="364" t="str">
        <f t="shared" si="0"/>
        <v/>
      </c>
      <c r="L15" s="366"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188"/>
      <c r="N15" s="189"/>
      <c r="O15" s="455" t="str">
        <f>IF(Q14&lt;0, "Schlecht! Zu wenig Stunden für Dienstplan.", IF(Q14&gt;0, "Du hast mehr als genug Stunden für Dienstplan.", ""))</f>
        <v>Du hast mehr als genug Stunden für Dienstplan.</v>
      </c>
      <c r="P15" s="456"/>
      <c r="Q15" s="456"/>
      <c r="R15" s="457"/>
      <c r="S15" s="384"/>
      <c r="T15" s="384"/>
      <c r="U15" s="384"/>
      <c r="V15" s="361"/>
    </row>
    <row r="16" spans="1:28" ht="21.95" customHeight="1" thickBot="1" x14ac:dyDescent="0.4">
      <c r="A16" s="363" t="s">
        <v>71</v>
      </c>
      <c r="B16" s="152"/>
      <c r="C16" s="153"/>
      <c r="D16" s="154"/>
      <c r="E16" s="155"/>
      <c r="F16" s="156"/>
      <c r="G16" s="364" t="str">
        <f>IF(OR(E16="",F16=""),"",PID_KVLohnLookup($A$1,E16,F16,LOHNTABELLE!$H$4))</f>
        <v/>
      </c>
      <c r="H16" s="365" t="str">
        <f>IF(AND(ISNUMBER(D16),ISNUMBER(F16)),ROUNDDOWN(MIN(IF(OR(ISBLANK(I16),I16=""),EOMONTH(DATE(EINSTELLUNG!$C$35,$A$1,1),0),I16)-MAX(D16,DATE(EINSTELLUNG!$C$35,$A$1,1))+1)/DAY(EOMONTH(DATE(EINSTELLUNG!$C$35,$A$1,1),0))*F16,2),"")</f>
        <v/>
      </c>
      <c r="I16" s="158"/>
      <c r="J16" s="165"/>
      <c r="K16" s="364" t="str">
        <f t="shared" si="0"/>
        <v/>
      </c>
      <c r="L16" s="366"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167"/>
      <c r="N16" s="168"/>
      <c r="O16" s="458"/>
      <c r="P16" s="459"/>
      <c r="Q16" s="459"/>
      <c r="R16" s="460"/>
      <c r="S16" s="388"/>
      <c r="T16" s="388"/>
      <c r="U16" s="388"/>
      <c r="V16" s="388"/>
      <c r="W16" s="389"/>
    </row>
    <row r="17" spans="1:29" ht="21.95" customHeight="1" x14ac:dyDescent="0.35">
      <c r="A17" s="363" t="s">
        <v>72</v>
      </c>
      <c r="B17" s="181"/>
      <c r="C17" s="182"/>
      <c r="D17" s="186"/>
      <c r="E17" s="184"/>
      <c r="F17" s="190"/>
      <c r="G17" s="364" t="str">
        <f>IF(OR(E17="",F17=""),"",PID_KVLohnLookup($A$1,E17,F17,LOHNTABELLE!$H$4))</f>
        <v/>
      </c>
      <c r="H17" s="365" t="str">
        <f>IF(AND(ISNUMBER(D17),ISNUMBER(F17)),ROUNDDOWN(MIN(IF(OR(ISBLANK(I17),I17=""),EOMONTH(DATE(EINSTELLUNG!$C$35,$A$1,1),0),I17)-MAX(D17,DATE(EINSTELLUNG!$C$35,$A$1,1))+1)/DAY(EOMONTH(DATE(EINSTELLUNG!$C$35,$A$1,1),0))*F17,2),"")</f>
        <v/>
      </c>
      <c r="I17" s="186"/>
      <c r="J17" s="187"/>
      <c r="K17" s="364" t="str">
        <f t="shared" si="0"/>
        <v/>
      </c>
      <c r="L17" s="366"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188"/>
      <c r="N17" s="189"/>
      <c r="O17" s="375" t="s">
        <v>73</v>
      </c>
      <c r="P17" s="376"/>
      <c r="Q17" s="390">
        <f>SUM(L3:L82)</f>
        <v>3868.38</v>
      </c>
      <c r="R17" s="391"/>
      <c r="S17" s="361"/>
      <c r="T17" s="361"/>
      <c r="U17" s="361"/>
      <c r="V17" s="361"/>
      <c r="W17" s="389"/>
    </row>
    <row r="18" spans="1:29" ht="21.95" customHeight="1" x14ac:dyDescent="0.35">
      <c r="A18" s="363" t="s">
        <v>74</v>
      </c>
      <c r="B18" s="152"/>
      <c r="C18" s="153"/>
      <c r="D18" s="158"/>
      <c r="E18" s="155"/>
      <c r="F18" s="156"/>
      <c r="G18" s="364" t="str">
        <f>IF(OR(E18="",F18=""),"",PID_KVLohnLookup($A$1,E18,F18,LOHNTABELLE!$H$4))</f>
        <v/>
      </c>
      <c r="H18" s="365" t="str">
        <f>IF(AND(ISNUMBER(D18),ISNUMBER(F18)),ROUNDDOWN(MIN(IF(OR(ISBLANK(I18),I18=""),EOMONTH(DATE(EINSTELLUNG!$C$35,$A$1,1),0),I18)-MAX(D18,DATE(EINSTELLUNG!$C$35,$A$1,1))+1)/DAY(EOMONTH(DATE(EINSTELLUNG!$C$35,$A$1,1),0))*F18,2),"")</f>
        <v/>
      </c>
      <c r="I18" s="158"/>
      <c r="J18" s="165"/>
      <c r="K18" s="364" t="str">
        <f t="shared" si="0"/>
        <v/>
      </c>
      <c r="L18" s="366"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167"/>
      <c r="N18" s="168"/>
      <c r="O18" s="472"/>
      <c r="P18" s="196"/>
      <c r="Q18" s="197"/>
      <c r="R18" s="198"/>
      <c r="S18" s="361"/>
      <c r="T18" s="361"/>
      <c r="U18" s="361"/>
      <c r="V18" s="361"/>
    </row>
    <row r="19" spans="1:29" ht="21.95" customHeight="1" x14ac:dyDescent="0.35">
      <c r="A19" s="363" t="s">
        <v>75</v>
      </c>
      <c r="B19" s="181"/>
      <c r="C19" s="182"/>
      <c r="D19" s="186"/>
      <c r="E19" s="184"/>
      <c r="F19" s="190"/>
      <c r="G19" s="364" t="str">
        <f>IF(OR(E19="",F19=""),"",PID_KVLohnLookup($A$1,E19,F19,LOHNTABELLE!$H$4))</f>
        <v/>
      </c>
      <c r="H19" s="365" t="str">
        <f>IF(AND(ISNUMBER(D19),ISNUMBER(F19)),ROUNDDOWN(MIN(IF(OR(ISBLANK(I19),I19=""),EOMONTH(DATE(EINSTELLUNG!$C$35,$A$1,1),0),I19)-MAX(D19,DATE(EINSTELLUNG!$C$35,$A$1,1))+1)/DAY(EOMONTH(DATE(EINSTELLUNG!$C$35,$A$1,1),0))*F19,2),"")</f>
        <v/>
      </c>
      <c r="I19" s="186"/>
      <c r="J19" s="187"/>
      <c r="K19" s="364" t="str">
        <f t="shared" si="0"/>
        <v/>
      </c>
      <c r="L19" s="366"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188"/>
      <c r="N19" s="189"/>
      <c r="O19" s="472"/>
      <c r="P19" s="196"/>
      <c r="Q19" s="197"/>
      <c r="R19" s="198"/>
      <c r="S19" s="361"/>
      <c r="T19" s="361"/>
      <c r="U19" s="361"/>
      <c r="V19" s="361"/>
    </row>
    <row r="20" spans="1:29" ht="21.95" customHeight="1" x14ac:dyDescent="0.35">
      <c r="A20" s="363" t="s">
        <v>76</v>
      </c>
      <c r="B20" s="152"/>
      <c r="C20" s="153"/>
      <c r="D20" s="154"/>
      <c r="E20" s="155"/>
      <c r="F20" s="156"/>
      <c r="G20" s="364" t="str">
        <f>IF(OR(E20="",F20=""),"",PID_KVLohnLookup($A$1,E20,F20,LOHNTABELLE!$H$4))</f>
        <v/>
      </c>
      <c r="H20" s="365" t="str">
        <f>IF(AND(ISNUMBER(D20),ISNUMBER(F20)),ROUNDDOWN(MIN(IF(OR(ISBLANK(I20),I20=""),EOMONTH(DATE(EINSTELLUNG!$C$35,$A$1,1),0),I20)-MAX(D20,DATE(EINSTELLUNG!$C$35,$A$1,1))+1)/DAY(EOMONTH(DATE(EINSTELLUNG!$C$35,$A$1,1),0))*F20,2),"")</f>
        <v/>
      </c>
      <c r="I20" s="158"/>
      <c r="J20" s="165"/>
      <c r="K20" s="364" t="str">
        <f t="shared" si="0"/>
        <v/>
      </c>
      <c r="L20" s="366"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167"/>
      <c r="N20" s="168"/>
      <c r="O20" s="472"/>
      <c r="P20" s="196"/>
      <c r="Q20" s="197"/>
      <c r="R20" s="198"/>
      <c r="S20" s="361"/>
      <c r="T20" s="361"/>
      <c r="U20" s="361"/>
      <c r="V20" s="361"/>
    </row>
    <row r="21" spans="1:29" ht="21.95" customHeight="1" x14ac:dyDescent="0.35">
      <c r="A21" s="363" t="s">
        <v>77</v>
      </c>
      <c r="B21" s="181"/>
      <c r="C21" s="182"/>
      <c r="D21" s="186"/>
      <c r="E21" s="184"/>
      <c r="F21" s="190"/>
      <c r="G21" s="364" t="str">
        <f>IF(OR(E21="",F21=""),"",PID_KVLohnLookup($A$1,E21,F21,LOHNTABELLE!$H$4))</f>
        <v/>
      </c>
      <c r="H21" s="365" t="str">
        <f>IF(AND(ISNUMBER(D21),ISNUMBER(F21)),ROUNDDOWN(MIN(IF(OR(ISBLANK(I21),I21=""),EOMONTH(DATE(EINSTELLUNG!$C$35,$A$1,1),0),I21)-MAX(D21,DATE(EINSTELLUNG!$C$35,$A$1,1))+1)/DAY(EOMONTH(DATE(EINSTELLUNG!$C$35,$A$1,1),0))*F21,2),"")</f>
        <v/>
      </c>
      <c r="I21" s="186"/>
      <c r="J21" s="187"/>
      <c r="K21" s="364" t="str">
        <f t="shared" si="0"/>
        <v/>
      </c>
      <c r="L21" s="366"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188"/>
      <c r="N21" s="189"/>
      <c r="O21" s="472"/>
      <c r="P21" s="196"/>
      <c r="Q21" s="197"/>
      <c r="R21" s="198"/>
      <c r="S21" s="361"/>
      <c r="T21" s="361"/>
      <c r="U21" s="361"/>
      <c r="V21" s="361"/>
    </row>
    <row r="22" spans="1:29" ht="21.95" customHeight="1" x14ac:dyDescent="0.35">
      <c r="A22" s="363" t="s">
        <v>78</v>
      </c>
      <c r="B22" s="152"/>
      <c r="C22" s="153"/>
      <c r="D22" s="154"/>
      <c r="E22" s="155"/>
      <c r="F22" s="156"/>
      <c r="G22" s="364" t="str">
        <f>IF(OR(E22="",F22=""),"",PID_KVLohnLookup($A$1,E22,F22,LOHNTABELLE!$H$4))</f>
        <v/>
      </c>
      <c r="H22" s="365" t="str">
        <f>IF(AND(ISNUMBER(D22),ISNUMBER(F22)),ROUNDDOWN(MIN(IF(OR(ISBLANK(I22),I22=""),EOMONTH(DATE(EINSTELLUNG!$C$35,$A$1,1),0),I22)-MAX(D22,DATE(EINSTELLUNG!$C$35,$A$1,1))+1)/DAY(EOMONTH(DATE(EINSTELLUNG!$C$35,$A$1,1),0))*F22,2),"")</f>
        <v/>
      </c>
      <c r="I22" s="158"/>
      <c r="J22" s="165"/>
      <c r="K22" s="364" t="str">
        <f t="shared" si="0"/>
        <v/>
      </c>
      <c r="L22" s="366"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167"/>
      <c r="N22" s="168"/>
      <c r="O22" s="472"/>
      <c r="P22" s="196"/>
      <c r="Q22" s="197"/>
      <c r="R22" s="198"/>
      <c r="S22" s="361"/>
      <c r="T22" s="361"/>
      <c r="U22" s="361"/>
      <c r="V22" s="361"/>
    </row>
    <row r="23" spans="1:29" ht="21.95" customHeight="1" x14ac:dyDescent="0.35">
      <c r="A23" s="363" t="s">
        <v>79</v>
      </c>
      <c r="B23" s="181"/>
      <c r="C23" s="182"/>
      <c r="D23" s="183"/>
      <c r="E23" s="184"/>
      <c r="F23" s="190"/>
      <c r="G23" s="364" t="str">
        <f>IF(OR(E23="",F23=""),"",PID_KVLohnLookup($A$1,E23,F23,LOHNTABELLE!$H$4))</f>
        <v/>
      </c>
      <c r="H23" s="365" t="str">
        <f>IF(AND(ISNUMBER(D23),ISNUMBER(F23)),ROUNDDOWN(MIN(IF(OR(ISBLANK(I23),I23=""),EOMONTH(DATE(EINSTELLUNG!$C$35,$A$1,1),0),I23)-MAX(D23,DATE(EINSTELLUNG!$C$35,$A$1,1))+1)/DAY(EOMONTH(DATE(EINSTELLUNG!$C$35,$A$1,1),0))*F23,2),"")</f>
        <v/>
      </c>
      <c r="I23" s="186"/>
      <c r="J23" s="187"/>
      <c r="K23" s="364" t="str">
        <f t="shared" si="0"/>
        <v/>
      </c>
      <c r="L23" s="366"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188"/>
      <c r="N23" s="189"/>
      <c r="O23" s="472"/>
      <c r="P23" s="196"/>
      <c r="Q23" s="197"/>
      <c r="R23" s="198"/>
      <c r="S23" s="361"/>
      <c r="T23" s="361"/>
      <c r="U23" s="361"/>
      <c r="V23" s="361"/>
      <c r="W23" s="389"/>
    </row>
    <row r="24" spans="1:29" ht="21.95" customHeight="1" x14ac:dyDescent="0.35">
      <c r="A24" s="363" t="s">
        <v>80</v>
      </c>
      <c r="B24" s="152"/>
      <c r="C24" s="153"/>
      <c r="D24" s="154"/>
      <c r="E24" s="155"/>
      <c r="F24" s="156"/>
      <c r="G24" s="364" t="str">
        <f>IF(OR(E24="",F24=""),"",PID_KVLohnLookup($A$1,E24,F24,LOHNTABELLE!$H$4))</f>
        <v/>
      </c>
      <c r="H24" s="365" t="str">
        <f>IF(AND(ISNUMBER(D24),ISNUMBER(F24)),ROUNDDOWN(MIN(IF(OR(ISBLANK(I24),I24=""),EOMONTH(DATE(EINSTELLUNG!$C$35,$A$1,1),0),I24)-MAX(D24,DATE(EINSTELLUNG!$C$35,$A$1,1))+1)/DAY(EOMONTH(DATE(EINSTELLUNG!$C$35,$A$1,1),0))*F24,2),"")</f>
        <v/>
      </c>
      <c r="I24" s="158"/>
      <c r="J24" s="165"/>
      <c r="K24" s="364" t="str">
        <f t="shared" si="0"/>
        <v/>
      </c>
      <c r="L24" s="366"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167"/>
      <c r="N24" s="168"/>
      <c r="O24" s="472"/>
      <c r="P24" s="196"/>
      <c r="Q24" s="197"/>
      <c r="R24" s="198"/>
      <c r="S24" s="361"/>
      <c r="T24" s="361"/>
      <c r="U24" s="361"/>
      <c r="V24" s="361"/>
      <c r="W24" s="389"/>
    </row>
    <row r="25" spans="1:29" ht="21.95" customHeight="1" x14ac:dyDescent="0.35">
      <c r="A25" s="363" t="s">
        <v>81</v>
      </c>
      <c r="B25" s="181"/>
      <c r="C25" s="182"/>
      <c r="D25" s="183"/>
      <c r="E25" s="184"/>
      <c r="F25" s="190"/>
      <c r="G25" s="364" t="str">
        <f>IF(OR(E25="",F25=""),"",PID_KVLohnLookup($A$1,E25,F25,LOHNTABELLE!$H$4))</f>
        <v/>
      </c>
      <c r="H25" s="365" t="str">
        <f>IF(AND(ISNUMBER(D25),ISNUMBER(F25)),ROUNDDOWN(MIN(IF(OR(ISBLANK(I25),I25=""),EOMONTH(DATE(EINSTELLUNG!$C$35,$A$1,1),0),I25)-MAX(D25,DATE(EINSTELLUNG!$C$35,$A$1,1))+1)/DAY(EOMONTH(DATE(EINSTELLUNG!$C$35,$A$1,1),0))*F25,2),"")</f>
        <v/>
      </c>
      <c r="I25" s="186"/>
      <c r="J25" s="187"/>
      <c r="K25" s="364" t="str">
        <f t="shared" si="0"/>
        <v/>
      </c>
      <c r="L25" s="366"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188"/>
      <c r="N25" s="189"/>
      <c r="O25" s="472"/>
      <c r="P25" s="196"/>
      <c r="Q25" s="197"/>
      <c r="R25" s="198"/>
      <c r="S25" s="361"/>
      <c r="T25" s="361"/>
      <c r="U25" s="361"/>
      <c r="V25" s="361"/>
    </row>
    <row r="26" spans="1:29" ht="21.95" customHeight="1" x14ac:dyDescent="0.35">
      <c r="A26" s="363" t="s">
        <v>82</v>
      </c>
      <c r="B26" s="152"/>
      <c r="C26" s="153"/>
      <c r="D26" s="154"/>
      <c r="E26" s="155"/>
      <c r="F26" s="156"/>
      <c r="G26" s="364" t="str">
        <f>IF(OR(E26="",F26=""),"",PID_KVLohnLookup($A$1,E26,F26,LOHNTABELLE!$H$4))</f>
        <v/>
      </c>
      <c r="H26" s="365" t="str">
        <f>IF(AND(ISNUMBER(D26),ISNUMBER(F26)),ROUNDDOWN(MIN(IF(OR(ISBLANK(I26),I26=""),EOMONTH(DATE(EINSTELLUNG!$C$35,$A$1,1),0),I26)-MAX(D26,DATE(EINSTELLUNG!$C$35,$A$1,1))+1)/DAY(EOMONTH(DATE(EINSTELLUNG!$C$35,$A$1,1),0))*F26,2),"")</f>
        <v/>
      </c>
      <c r="I26" s="158"/>
      <c r="J26" s="165"/>
      <c r="K26" s="364" t="str">
        <f t="shared" si="0"/>
        <v/>
      </c>
      <c r="L26" s="366"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167"/>
      <c r="N26" s="168"/>
      <c r="O26" s="195"/>
      <c r="P26" s="196"/>
      <c r="Q26" s="197"/>
      <c r="R26" s="198"/>
      <c r="S26" s="361"/>
      <c r="T26" s="361"/>
      <c r="U26" s="361"/>
      <c r="V26" s="361"/>
    </row>
    <row r="27" spans="1:29" ht="21.95" customHeight="1" x14ac:dyDescent="0.35">
      <c r="A27" s="363" t="s">
        <v>83</v>
      </c>
      <c r="B27" s="181"/>
      <c r="C27" s="182"/>
      <c r="D27" s="183"/>
      <c r="E27" s="184"/>
      <c r="F27" s="190"/>
      <c r="G27" s="364" t="str">
        <f>IF(OR(E27="",F27=""),"",PID_KVLohnLookup($A$1,E27,F27,LOHNTABELLE!$H$4))</f>
        <v/>
      </c>
      <c r="H27" s="365" t="str">
        <f>IF(AND(ISNUMBER(D27),ISNUMBER(F27)),ROUNDDOWN(MIN(IF(OR(ISBLANK(I27),I27=""),EOMONTH(DATE(EINSTELLUNG!$C$35,$A$1,1),0),I27)-MAX(D27,DATE(EINSTELLUNG!$C$35,$A$1,1))+1)/DAY(EOMONTH(DATE(EINSTELLUNG!$C$35,$A$1,1),0))*F27,2),"")</f>
        <v/>
      </c>
      <c r="I27" s="186"/>
      <c r="J27" s="187"/>
      <c r="K27" s="364" t="str">
        <f t="shared" si="0"/>
        <v/>
      </c>
      <c r="L27" s="366"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188"/>
      <c r="N27" s="189"/>
      <c r="O27" s="195"/>
      <c r="P27" s="196"/>
      <c r="Q27" s="197"/>
      <c r="R27" s="198"/>
      <c r="S27" s="392" t="s">
        <v>84</v>
      </c>
      <c r="T27" s="392"/>
      <c r="U27" s="392"/>
      <c r="V27" s="392"/>
    </row>
    <row r="28" spans="1:29" ht="21.95" customHeight="1" x14ac:dyDescent="0.35">
      <c r="A28" s="363" t="s">
        <v>85</v>
      </c>
      <c r="B28" s="152"/>
      <c r="C28" s="153"/>
      <c r="D28" s="154"/>
      <c r="E28" s="155"/>
      <c r="F28" s="156"/>
      <c r="G28" s="364" t="str">
        <f>IF(OR(E28="",F28=""),"",PID_KVLohnLookup($A$1,E28,F28,LOHNTABELLE!$H$4))</f>
        <v/>
      </c>
      <c r="H28" s="365" t="str">
        <f>IF(AND(ISNUMBER(D28),ISNUMBER(F28)),ROUNDDOWN(MIN(IF(OR(ISBLANK(I28),I28=""),EOMONTH(DATE(EINSTELLUNG!$C$35,$A$1,1),0),I28)-MAX(D28,DATE(EINSTELLUNG!$C$35,$A$1,1))+1)/DAY(EOMONTH(DATE(EINSTELLUNG!$C$35,$A$1,1),0))*F28,2),"")</f>
        <v/>
      </c>
      <c r="I28" s="158"/>
      <c r="J28" s="165"/>
      <c r="K28" s="364" t="str">
        <f t="shared" si="0"/>
        <v/>
      </c>
      <c r="L28" s="366"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167"/>
      <c r="N28" s="168"/>
      <c r="O28" s="195"/>
      <c r="P28" s="196"/>
      <c r="Q28" s="197"/>
      <c r="R28" s="198"/>
      <c r="S28" s="361"/>
      <c r="T28" s="361"/>
      <c r="U28" s="361"/>
      <c r="V28" s="361"/>
    </row>
    <row r="29" spans="1:29" ht="21.95" customHeight="1" thickBot="1" x14ac:dyDescent="0.4">
      <c r="A29" s="363" t="s">
        <v>86</v>
      </c>
      <c r="B29" s="181"/>
      <c r="C29" s="182"/>
      <c r="D29" s="183"/>
      <c r="E29" s="184"/>
      <c r="F29" s="190"/>
      <c r="G29" s="364" t="str">
        <f>IF(OR(E29="",F29=""),"",PID_KVLohnLookup($A$1,E29,F29,LOHNTABELLE!$H$4))</f>
        <v/>
      </c>
      <c r="H29" s="365" t="str">
        <f>IF(AND(ISNUMBER(D29),ISNUMBER(F29)),ROUNDDOWN(MIN(IF(OR(ISBLANK(I29),I29=""),EOMONTH(DATE(EINSTELLUNG!$C$35,$A$1,1),0),I29)-MAX(D29,DATE(EINSTELLUNG!$C$35,$A$1,1))+1)/DAY(EOMONTH(DATE(EINSTELLUNG!$C$35,$A$1,1),0))*F29,2),"")</f>
        <v/>
      </c>
      <c r="I29" s="186"/>
      <c r="J29" s="187"/>
      <c r="K29" s="364" t="str">
        <f t="shared" si="0"/>
        <v/>
      </c>
      <c r="L29" s="366"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188"/>
      <c r="N29" s="189"/>
      <c r="O29" s="393" t="s">
        <v>87</v>
      </c>
      <c r="P29" s="394"/>
      <c r="Q29" s="395">
        <f>EINSTELLUNG!O10</f>
        <v>0</v>
      </c>
      <c r="R29" s="396"/>
      <c r="S29" s="361"/>
      <c r="T29" s="361"/>
      <c r="U29" s="361"/>
      <c r="V29" s="361"/>
    </row>
    <row r="30" spans="1:29" ht="21.95" customHeight="1" thickBot="1" x14ac:dyDescent="0.4">
      <c r="A30" s="363" t="s">
        <v>88</v>
      </c>
      <c r="B30" s="152"/>
      <c r="C30" s="153"/>
      <c r="D30" s="154"/>
      <c r="E30" s="155"/>
      <c r="F30" s="156"/>
      <c r="G30" s="364" t="str">
        <f>IF(OR(E30="",F30=""),"",PID_KVLohnLookup($A$1,E30,F30,LOHNTABELLE!$H$4))</f>
        <v/>
      </c>
      <c r="H30" s="365" t="str">
        <f>IF(AND(ISNUMBER(D30),ISNUMBER(F30)),ROUNDDOWN(MIN(IF(OR(ISBLANK(I30),I30=""),EOMONTH(DATE(EINSTELLUNG!$C$35,$A$1,1),0),I30)-MAX(D30,DATE(EINSTELLUNG!$C$35,$A$1,1))+1)/DAY(EOMONTH(DATE(EINSTELLUNG!$C$35,$A$1,1),0))*F30,2),"")</f>
        <v/>
      </c>
      <c r="I30" s="158"/>
      <c r="J30" s="165"/>
      <c r="K30" s="364" t="str">
        <f t="shared" si="0"/>
        <v/>
      </c>
      <c r="L30" s="366"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167"/>
      <c r="N30" s="168"/>
      <c r="O30" s="361"/>
      <c r="P30" s="361"/>
      <c r="Q30" s="361"/>
      <c r="R30" s="361"/>
      <c r="S30" s="361"/>
      <c r="T30" s="361"/>
      <c r="U30" s="361"/>
      <c r="V30" s="361"/>
      <c r="W30" s="397"/>
      <c r="X30" s="397"/>
      <c r="Y30" s="397"/>
      <c r="Z30" s="397"/>
      <c r="AA30" s="397"/>
      <c r="AB30" s="397"/>
      <c r="AC30" s="397"/>
    </row>
    <row r="31" spans="1:29" ht="18" customHeight="1" thickBot="1" x14ac:dyDescent="0.4">
      <c r="A31" s="363" t="s">
        <v>89</v>
      </c>
      <c r="B31" s="181"/>
      <c r="C31" s="182"/>
      <c r="D31" s="183"/>
      <c r="E31" s="184"/>
      <c r="F31" s="190"/>
      <c r="G31" s="364" t="str">
        <f>IF(OR(E31="",F31=""),"",PID_KVLohnLookup($A$1,E31,F31,LOHNTABELLE!$H$4))</f>
        <v/>
      </c>
      <c r="H31" s="365" t="str">
        <f>IF(AND(ISNUMBER(D31),ISNUMBER(F31)),ROUNDDOWN(MIN(IF(OR(ISBLANK(I31),I31=""),EOMONTH(DATE(EINSTELLUNG!$C$35,$A$1,1),0),I31)-MAX(D31,DATE(EINSTELLUNG!$C$35,$A$1,1))+1)/DAY(EOMONTH(DATE(EINSTELLUNG!$C$35,$A$1,1),0))*F31,2),"")</f>
        <v/>
      </c>
      <c r="I31" s="186"/>
      <c r="J31" s="187"/>
      <c r="K31" s="364" t="str">
        <f t="shared" si="0"/>
        <v/>
      </c>
      <c r="L31" s="366"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188"/>
      <c r="N31" s="189"/>
      <c r="O31" s="398" t="s">
        <v>321</v>
      </c>
      <c r="P31" s="399"/>
      <c r="Q31" s="400">
        <v>0</v>
      </c>
      <c r="R31" s="401"/>
      <c r="S31" s="361"/>
      <c r="T31" s="361"/>
      <c r="U31" s="361"/>
      <c r="V31" s="361"/>
    </row>
    <row r="32" spans="1:29" ht="21.95" customHeight="1" thickBot="1" x14ac:dyDescent="0.4">
      <c r="A32" s="363" t="s">
        <v>91</v>
      </c>
      <c r="B32" s="152"/>
      <c r="C32" s="153"/>
      <c r="D32" s="154"/>
      <c r="E32" s="155"/>
      <c r="F32" s="156"/>
      <c r="G32" s="364" t="str">
        <f>IF(OR(E32="",F32=""),"",PID_KVLohnLookup($A$1,E32,F32,LOHNTABELLE!$H$4))</f>
        <v/>
      </c>
      <c r="H32" s="365" t="str">
        <f>IF(AND(ISNUMBER(D32),ISNUMBER(F32)),ROUNDDOWN(MIN(IF(OR(ISBLANK(I32),I32=""),EOMONTH(DATE(EINSTELLUNG!$C$35,$A$1,1),0),I32)-MAX(D32,DATE(EINSTELLUNG!$C$35,$A$1,1))+1)/DAY(EOMONTH(DATE(EINSTELLUNG!$C$35,$A$1,1),0))*F32,2),"")</f>
        <v/>
      </c>
      <c r="I32" s="158"/>
      <c r="J32" s="165"/>
      <c r="K32" s="364" t="str">
        <f t="shared" si="0"/>
        <v/>
      </c>
      <c r="L32" s="366"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167"/>
      <c r="N32" s="168"/>
      <c r="O32" s="361"/>
      <c r="P32" s="361"/>
      <c r="Q32" s="361"/>
      <c r="R32" s="361"/>
      <c r="S32" s="361"/>
      <c r="T32" s="361"/>
      <c r="U32" s="361"/>
      <c r="V32" s="361"/>
    </row>
    <row r="33" spans="1:22" ht="21.95" customHeight="1" x14ac:dyDescent="0.35">
      <c r="A33" s="363" t="s">
        <v>92</v>
      </c>
      <c r="B33" s="181"/>
      <c r="C33" s="182"/>
      <c r="D33" s="183"/>
      <c r="E33" s="184"/>
      <c r="F33" s="190"/>
      <c r="G33" s="364" t="str">
        <f>IF(OR(E33="",F33=""),"",PID_KVLohnLookup($A$1,E33,F33,LOHNTABELLE!$H$4))</f>
        <v/>
      </c>
      <c r="H33" s="365" t="str">
        <f>IF(AND(ISNUMBER(D33),ISNUMBER(F33)),ROUNDDOWN(MIN(IF(OR(ISBLANK(I33),I33=""),EOMONTH(DATE(EINSTELLUNG!$C$35,$A$1,1),0),I33)-MAX(D33,DATE(EINSTELLUNG!$C$35,$A$1,1))+1)/DAY(EOMONTH(DATE(EINSTELLUNG!$C$35,$A$1,1),0))*F33,2),"")</f>
        <v/>
      </c>
      <c r="I33" s="186"/>
      <c r="J33" s="187"/>
      <c r="K33" s="364" t="str">
        <f t="shared" si="0"/>
        <v/>
      </c>
      <c r="L33" s="366"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188"/>
      <c r="N33" s="189"/>
      <c r="O33" s="402"/>
      <c r="P33" s="403"/>
      <c r="Q33" s="346" t="str">
        <f>EINSTELLUNG!B3</f>
        <v>Budget</v>
      </c>
      <c r="R33" s="346"/>
      <c r="S33" s="346" t="str">
        <f>EINSTELLUNG!B19</f>
        <v>Projection/Aktuell Zahlen</v>
      </c>
      <c r="T33" s="346"/>
      <c r="U33" s="346" t="s">
        <v>95</v>
      </c>
      <c r="V33" s="347"/>
    </row>
    <row r="34" spans="1:22" ht="21.95" customHeight="1" x14ac:dyDescent="0.35">
      <c r="A34" s="363" t="s">
        <v>96</v>
      </c>
      <c r="B34" s="152"/>
      <c r="C34" s="153"/>
      <c r="D34" s="154"/>
      <c r="E34" s="155"/>
      <c r="F34" s="156"/>
      <c r="G34" s="364" t="str">
        <f>IF(OR(E34="",F34=""),"",PID_KVLohnLookup($A$1,E34,F34,LOHNTABELLE!$H$4))</f>
        <v/>
      </c>
      <c r="H34" s="365" t="str">
        <f>IF(AND(ISNUMBER(D34),ISNUMBER(F34)),ROUNDDOWN(MIN(IF(OR(ISBLANK(I34),I34=""),EOMONTH(DATE(EINSTELLUNG!$C$35,$A$1,1),0),I34)-MAX(D34,DATE(EINSTELLUNG!$C$35,$A$1,1))+1)/DAY(EOMONTH(DATE(EINSTELLUNG!$C$35,$A$1,1),0))*F34,2),"")</f>
        <v/>
      </c>
      <c r="I34" s="158"/>
      <c r="J34" s="165"/>
      <c r="K34" s="364" t="str">
        <f t="shared" si="0"/>
        <v/>
      </c>
      <c r="L34" s="366"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167"/>
      <c r="N34" s="168"/>
      <c r="O34" s="404"/>
      <c r="P34" s="405"/>
      <c r="Q34" s="406"/>
      <c r="R34" s="406"/>
      <c r="S34" s="406"/>
      <c r="T34" s="406"/>
      <c r="U34" s="406"/>
      <c r="V34" s="407"/>
    </row>
    <row r="35" spans="1:22" ht="21.95" customHeight="1" x14ac:dyDescent="0.35">
      <c r="A35" s="363" t="s">
        <v>97</v>
      </c>
      <c r="B35" s="181"/>
      <c r="C35" s="182"/>
      <c r="D35" s="183"/>
      <c r="E35" s="184"/>
      <c r="F35" s="190"/>
      <c r="G35" s="364" t="str">
        <f>IF(OR(E35="",F35=""),"",PID_KVLohnLookup($A$1,E35,F35,LOHNTABELLE!$H$4))</f>
        <v/>
      </c>
      <c r="H35" s="365" t="str">
        <f>IF(AND(ISNUMBER(D35),ISNUMBER(F35)),ROUNDDOWN(MIN(IF(OR(ISBLANK(I35),I35=""),EOMONTH(DATE(EINSTELLUNG!$C$35,$A$1,1),0),I35)-MAX(D35,DATE(EINSTELLUNG!$C$35,$A$1,1))+1)/DAY(EOMONTH(DATE(EINSTELLUNG!$C$35,$A$1,1),0))*F35,2),"")</f>
        <v/>
      </c>
      <c r="I35" s="186"/>
      <c r="J35" s="187"/>
      <c r="K35" s="364" t="str">
        <f t="shared" ref="K35:K66" si="1">IF(OR(B35="",C35=""),"",IFERROR(IF(OR(MONTH(D35)=1,MONTH(D35)=3,MONTH(D35)=5,MONTH(D35)=7,MONTH(D35)=8,MONTH(D35)=10,MONTH(D35)=12),(G35/31)*J35,IF(OR(MONTH(D35)=4,MONTH(D35)=6,MONTH(D35)=9,MONTH(D35)=11),(G35/30)*J35,(G35/DAY(EOMONTH(D35,0)))*J35)),0))</f>
        <v/>
      </c>
      <c r="L35" s="366"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188"/>
      <c r="N35" s="189"/>
      <c r="O35" s="379" t="s">
        <v>98</v>
      </c>
      <c r="P35" s="380"/>
      <c r="Q35" s="408">
        <f>EINSTELLUNG!C10</f>
        <v>0</v>
      </c>
      <c r="R35" s="408"/>
      <c r="S35" s="408">
        <f>EINSTELLUNG!C26</f>
        <v>0</v>
      </c>
      <c r="T35" s="408"/>
      <c r="U35" s="408">
        <f>S35-Q35</f>
        <v>0</v>
      </c>
      <c r="V35" s="409"/>
    </row>
    <row r="36" spans="1:22" ht="21.95" customHeight="1" x14ac:dyDescent="0.35">
      <c r="A36" s="363" t="s">
        <v>99</v>
      </c>
      <c r="B36" s="152"/>
      <c r="C36" s="153"/>
      <c r="D36" s="154"/>
      <c r="E36" s="155"/>
      <c r="F36" s="156"/>
      <c r="G36" s="364" t="str">
        <f>IF(OR(E36="",F36=""),"",PID_KVLohnLookup($A$1,E36,F36,LOHNTABELLE!$H$4))</f>
        <v/>
      </c>
      <c r="H36" s="365" t="str">
        <f>IF(AND(ISNUMBER(D36),ISNUMBER(F36)),ROUNDDOWN(MIN(IF(OR(ISBLANK(I36),I36=""),EOMONTH(DATE(EINSTELLUNG!$C$35,$A$1,1),0),I36)-MAX(D36,DATE(EINSTELLUNG!$C$35,$A$1,1))+1)/DAY(EOMONTH(DATE(EINSTELLUNG!$C$35,$A$1,1),0))*F36,2),"")</f>
        <v/>
      </c>
      <c r="I36" s="158"/>
      <c r="J36" s="165"/>
      <c r="K36" s="364" t="str">
        <f t="shared" si="1"/>
        <v/>
      </c>
      <c r="L36" s="366"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167"/>
      <c r="N36" s="168"/>
      <c r="O36" s="379" t="s">
        <v>100</v>
      </c>
      <c r="P36" s="380"/>
      <c r="Q36" s="408">
        <f>EINSTELLUNG!D10</f>
        <v>0</v>
      </c>
      <c r="R36" s="408"/>
      <c r="S36" s="408">
        <f ca="1">SumMergedCells(Q17:R29)</f>
        <v>3868.38</v>
      </c>
      <c r="T36" s="408"/>
      <c r="U36" s="408">
        <f t="shared" ref="U36:U41" ca="1" si="2">S36-Q36</f>
        <v>3868.38</v>
      </c>
      <c r="V36" s="409"/>
    </row>
    <row r="37" spans="1:22" ht="21.95" customHeight="1" x14ac:dyDescent="0.35">
      <c r="A37" s="363" t="s">
        <v>101</v>
      </c>
      <c r="B37" s="181"/>
      <c r="C37" s="182"/>
      <c r="D37" s="183"/>
      <c r="E37" s="184"/>
      <c r="F37" s="190"/>
      <c r="G37" s="364" t="str">
        <f>IF(OR(E37="",F37=""),"",PID_KVLohnLookup($A$1,E37,F37,LOHNTABELLE!$H$4))</f>
        <v/>
      </c>
      <c r="H37" s="365" t="str">
        <f>IF(AND(ISNUMBER(D37),ISNUMBER(F37)),ROUNDDOWN(MIN(IF(OR(ISBLANK(I37),I37=""),EOMONTH(DATE(EINSTELLUNG!$C$35,$A$1,1),0),I37)-MAX(D37,DATE(EINSTELLUNG!$C$35,$A$1,1))+1)/DAY(EOMONTH(DATE(EINSTELLUNG!$C$35,$A$1,1),0))*F37,2),"")</f>
        <v/>
      </c>
      <c r="I37" s="186"/>
      <c r="J37" s="187"/>
      <c r="K37" s="364" t="str">
        <f t="shared" si="1"/>
        <v/>
      </c>
      <c r="L37" s="366"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188"/>
      <c r="N37" s="189"/>
      <c r="O37" s="379" t="s">
        <v>102</v>
      </c>
      <c r="P37" s="380"/>
      <c r="Q37" s="410">
        <f>IF(ISERROR(Q36/Q35), 0, Q36/Q35)</f>
        <v>0</v>
      </c>
      <c r="R37" s="410"/>
      <c r="S37" s="410">
        <f ca="1">IF(ISERROR(S36/S35), 0, S36/S35)</f>
        <v>0</v>
      </c>
      <c r="T37" s="410"/>
      <c r="U37" s="410">
        <f t="shared" ca="1" si="2"/>
        <v>0</v>
      </c>
      <c r="V37" s="411"/>
    </row>
    <row r="38" spans="1:22" ht="21.95" customHeight="1" x14ac:dyDescent="0.35">
      <c r="A38" s="363" t="s">
        <v>103</v>
      </c>
      <c r="B38" s="152"/>
      <c r="C38" s="153"/>
      <c r="D38" s="154"/>
      <c r="E38" s="155"/>
      <c r="F38" s="156"/>
      <c r="G38" s="364" t="str">
        <f>IF(OR(E38="",F38=""),"",PID_KVLohnLookup($A$1,E38,F38,LOHNTABELLE!$H$4))</f>
        <v/>
      </c>
      <c r="H38" s="365" t="str">
        <f>IF(AND(ISNUMBER(D38),ISNUMBER(F38)),ROUNDDOWN(MIN(IF(OR(ISBLANK(I38),I38=""),EOMONTH(DATE(EINSTELLUNG!$C$35,$A$1,1),0),I38)-MAX(D38,DATE(EINSTELLUNG!$C$35,$A$1,1))+1)/DAY(EOMONTH(DATE(EINSTELLUNG!$C$35,$A$1,1),0))*F38,2),"")</f>
        <v/>
      </c>
      <c r="I38" s="158"/>
      <c r="J38" s="165"/>
      <c r="K38" s="364" t="str">
        <f t="shared" si="1"/>
        <v/>
      </c>
      <c r="L38" s="366"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167"/>
      <c r="N38" s="168"/>
      <c r="O38" s="379" t="s">
        <v>104</v>
      </c>
      <c r="P38" s="380"/>
      <c r="Q38" s="381">
        <f>EINSTELLUNG!F10</f>
        <v>0</v>
      </c>
      <c r="R38" s="381"/>
      <c r="S38" s="381">
        <f>EINSTELLUNG!F26</f>
        <v>0</v>
      </c>
      <c r="T38" s="381"/>
      <c r="U38" s="381">
        <f t="shared" si="2"/>
        <v>0</v>
      </c>
      <c r="V38" s="382"/>
    </row>
    <row r="39" spans="1:22" ht="21.95" customHeight="1" x14ac:dyDescent="0.35">
      <c r="A39" s="363" t="s">
        <v>105</v>
      </c>
      <c r="B39" s="181"/>
      <c r="C39" s="182"/>
      <c r="D39" s="183"/>
      <c r="E39" s="184"/>
      <c r="F39" s="190"/>
      <c r="G39" s="364" t="str">
        <f>IF(OR(E39="",F39=""),"",PID_KVLohnLookup($A$1,E39,F39,LOHNTABELLE!$H$4))</f>
        <v/>
      </c>
      <c r="H39" s="365" t="str">
        <f>IF(AND(ISNUMBER(D39),ISNUMBER(F39)),ROUNDDOWN(MIN(IF(OR(ISBLANK(I39),I39=""),EOMONTH(DATE(EINSTELLUNG!$C$35,$A$1,1),0),I39)-MAX(D39,DATE(EINSTELLUNG!$C$35,$A$1,1))+1)/DAY(EOMONTH(DATE(EINSTELLUNG!$C$35,$A$1,1),0))*F39,2),"")</f>
        <v/>
      </c>
      <c r="I39" s="186"/>
      <c r="J39" s="187"/>
      <c r="K39" s="364" t="str">
        <f t="shared" si="1"/>
        <v/>
      </c>
      <c r="L39" s="366"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188"/>
      <c r="N39" s="189"/>
      <c r="O39" s="379" t="s">
        <v>106</v>
      </c>
      <c r="P39" s="380"/>
      <c r="Q39" s="408">
        <f>IF(Q38=0, 0, Q35/Q38)</f>
        <v>0</v>
      </c>
      <c r="R39" s="408"/>
      <c r="S39" s="408">
        <f>IF(S38=0, 0, S35/S38)</f>
        <v>0</v>
      </c>
      <c r="T39" s="408"/>
      <c r="U39" s="408">
        <f t="shared" si="2"/>
        <v>0</v>
      </c>
      <c r="V39" s="409"/>
    </row>
    <row r="40" spans="1:22" ht="21.95" customHeight="1" x14ac:dyDescent="0.35">
      <c r="A40" s="363" t="s">
        <v>107</v>
      </c>
      <c r="B40" s="152"/>
      <c r="C40" s="153"/>
      <c r="D40" s="154"/>
      <c r="E40" s="155"/>
      <c r="F40" s="156"/>
      <c r="G40" s="364" t="str">
        <f>IF(OR(E40="",F40=""),"",PID_KVLohnLookup($A$1,E40,F40,LOHNTABELLE!$H$4))</f>
        <v/>
      </c>
      <c r="H40" s="365" t="str">
        <f>IF(AND(ISNUMBER(D40),ISNUMBER(F40)),ROUNDDOWN(MIN(IF(OR(ISBLANK(I40),I40=""),EOMONTH(DATE(EINSTELLUNG!$C$35,$A$1,1),0),I40)-MAX(D40,DATE(EINSTELLUNG!$C$35,$A$1,1))+1)/DAY(EOMONTH(DATE(EINSTELLUNG!$C$35,$A$1,1),0))*F40,2),"")</f>
        <v/>
      </c>
      <c r="I40" s="158"/>
      <c r="J40" s="165"/>
      <c r="K40" s="364" t="str">
        <f t="shared" si="1"/>
        <v/>
      </c>
      <c r="L40" s="366"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167"/>
      <c r="N40" s="168"/>
      <c r="O40" s="379" t="s">
        <v>108</v>
      </c>
      <c r="P40" s="380"/>
      <c r="Q40" s="408">
        <f>IF(Q12=0, 0, Q35/Q12)</f>
        <v>0</v>
      </c>
      <c r="R40" s="408"/>
      <c r="S40" s="408">
        <f>IF(Q12=0, 0, S35/Q12)</f>
        <v>0</v>
      </c>
      <c r="T40" s="408"/>
      <c r="U40" s="408">
        <f t="shared" si="2"/>
        <v>0</v>
      </c>
      <c r="V40" s="409"/>
    </row>
    <row r="41" spans="1:22" ht="18" customHeight="1" x14ac:dyDescent="0.35">
      <c r="A41" s="363" t="s">
        <v>109</v>
      </c>
      <c r="B41" s="181"/>
      <c r="C41" s="182"/>
      <c r="D41" s="183"/>
      <c r="E41" s="184"/>
      <c r="F41" s="190"/>
      <c r="G41" s="364" t="str">
        <f>IF(OR(E41="",F41=""),"",PID_KVLohnLookup($A$1,E41,F41,LOHNTABELLE!$H$4))</f>
        <v/>
      </c>
      <c r="H41" s="365" t="str">
        <f>IF(AND(ISNUMBER(D41),ISNUMBER(F41)),ROUNDDOWN(MIN(IF(OR(ISBLANK(I41),I41=""),EOMONTH(DATE(EINSTELLUNG!$C$35,$A$1,1),0),I41)-MAX(D41,DATE(EINSTELLUNG!$C$35,$A$1,1))+1)/DAY(EOMONTH(DATE(EINSTELLUNG!$C$35,$A$1,1),0))*F41,2),"")</f>
        <v/>
      </c>
      <c r="I41" s="186"/>
      <c r="J41" s="187"/>
      <c r="K41" s="364" t="str">
        <f t="shared" si="1"/>
        <v/>
      </c>
      <c r="L41" s="366"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188"/>
      <c r="N41" s="189"/>
      <c r="O41" s="412" t="s">
        <v>110</v>
      </c>
      <c r="P41" s="413"/>
      <c r="Q41" s="414">
        <f>IF(Q12=0, 0, Q38/Q12)</f>
        <v>0</v>
      </c>
      <c r="R41" s="414"/>
      <c r="S41" s="414">
        <f>IF(Q12=0, 0, S38/Q12)</f>
        <v>0</v>
      </c>
      <c r="T41" s="414"/>
      <c r="U41" s="414">
        <f t="shared" si="2"/>
        <v>0</v>
      </c>
      <c r="V41" s="415"/>
    </row>
    <row r="42" spans="1:22" ht="21.95" customHeight="1" thickBot="1" x14ac:dyDescent="0.4">
      <c r="A42" s="363" t="s">
        <v>111</v>
      </c>
      <c r="B42" s="152"/>
      <c r="C42" s="153"/>
      <c r="D42" s="154"/>
      <c r="E42" s="155"/>
      <c r="F42" s="156"/>
      <c r="G42" s="364" t="str">
        <f>IF(OR(E42="",F42=""),"",PID_KVLohnLookup($A$1,E42,F42,LOHNTABELLE!$H$4))</f>
        <v/>
      </c>
      <c r="H42" s="365" t="str">
        <f>IF(AND(ISNUMBER(D42),ISNUMBER(F42)),ROUNDDOWN(MIN(IF(OR(ISBLANK(I42),I42=""),EOMONTH(DATE(EINSTELLUNG!$C$35,$A$1,1),0),I42)-MAX(D42,DATE(EINSTELLUNG!$C$35,$A$1,1))+1)/DAY(EOMONTH(DATE(EINSTELLUNG!$C$35,$A$1,1),0))*F42,2),"")</f>
        <v/>
      </c>
      <c r="I42" s="158"/>
      <c r="J42" s="165"/>
      <c r="K42" s="364" t="str">
        <f t="shared" si="1"/>
        <v/>
      </c>
      <c r="L42" s="366"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167"/>
      <c r="N42" s="169"/>
      <c r="O42" s="416" t="s">
        <v>112</v>
      </c>
      <c r="P42" s="394"/>
      <c r="Q42" s="417">
        <f>IFERROR(Q17/Q8, 0)</f>
        <v>11.925457796411617</v>
      </c>
      <c r="R42" s="418"/>
      <c r="S42" s="417"/>
      <c r="T42" s="417"/>
      <c r="U42" s="417"/>
      <c r="V42" s="396"/>
    </row>
    <row r="43" spans="1:22" ht="21.95" customHeight="1" x14ac:dyDescent="0.35">
      <c r="A43" s="363" t="s">
        <v>113</v>
      </c>
      <c r="B43" s="181"/>
      <c r="C43" s="182"/>
      <c r="D43" s="183"/>
      <c r="E43" s="184"/>
      <c r="F43" s="190"/>
      <c r="G43" s="364" t="str">
        <f>IF(OR(E43="",F43=""),"",PID_KVLohnLookup($A$1,E43,F43,LOHNTABELLE!$H$4))</f>
        <v/>
      </c>
      <c r="H43" s="365" t="str">
        <f>IF(AND(ISNUMBER(D43),ISNUMBER(F43)),ROUNDDOWN(MIN(IF(OR(ISBLANK(I43),I43=""),EOMONTH(DATE(EINSTELLUNG!$C$35,$A$1,1),0),I43)-MAX(D43,DATE(EINSTELLUNG!$C$35,$A$1,1))+1)/DAY(EOMONTH(DATE(EINSTELLUNG!$C$35,$A$1,1),0))*F43,2),"")</f>
        <v/>
      </c>
      <c r="I43" s="186"/>
      <c r="J43" s="187"/>
      <c r="K43" s="364" t="str">
        <f t="shared" si="1"/>
        <v/>
      </c>
      <c r="L43" s="366"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91"/>
      <c r="N43" s="189"/>
      <c r="O43" s="419"/>
      <c r="P43" s="419"/>
      <c r="Q43" s="419"/>
      <c r="R43" s="361"/>
      <c r="S43" s="361"/>
      <c r="T43" s="361"/>
      <c r="U43" s="361"/>
      <c r="V43" s="361"/>
    </row>
    <row r="44" spans="1:22" ht="21.95" customHeight="1" x14ac:dyDescent="0.35">
      <c r="A44" s="363" t="s">
        <v>114</v>
      </c>
      <c r="B44" s="152"/>
      <c r="C44" s="153"/>
      <c r="D44" s="154"/>
      <c r="E44" s="155"/>
      <c r="F44" s="156"/>
      <c r="G44" s="364" t="str">
        <f>IF(OR(E44="",F44=""),"",PID_KVLohnLookup($A$1,E44,F44,LOHNTABELLE!$H$4))</f>
        <v/>
      </c>
      <c r="H44" s="365" t="str">
        <f>IF(AND(ISNUMBER(D44),ISNUMBER(F44)),ROUNDDOWN(MIN(IF(OR(ISBLANK(I44),I44=""),EOMONTH(DATE(EINSTELLUNG!$C$35,$A$1,1),0),I44)-MAX(D44,DATE(EINSTELLUNG!$C$35,$A$1,1))+1)/DAY(EOMONTH(DATE(EINSTELLUNG!$C$35,$A$1,1),0))*F44,2),"")</f>
        <v/>
      </c>
      <c r="I44" s="158"/>
      <c r="J44" s="165"/>
      <c r="K44" s="364" t="str">
        <f t="shared" si="1"/>
        <v/>
      </c>
      <c r="L44" s="366"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70"/>
      <c r="N44" s="168"/>
      <c r="O44" s="420" t="s">
        <v>115</v>
      </c>
      <c r="P44" s="420"/>
      <c r="Q44" s="420"/>
      <c r="R44" s="420"/>
      <c r="S44" s="420"/>
      <c r="T44" s="420"/>
      <c r="U44" s="420"/>
      <c r="V44" s="420"/>
    </row>
    <row r="45" spans="1:22" ht="21.95" customHeight="1" x14ac:dyDescent="0.35">
      <c r="A45" s="363" t="s">
        <v>116</v>
      </c>
      <c r="B45" s="181"/>
      <c r="C45" s="182"/>
      <c r="D45" s="183"/>
      <c r="E45" s="184"/>
      <c r="F45" s="190"/>
      <c r="G45" s="364" t="str">
        <f>IF(OR(E45="",F45=""),"",PID_KVLohnLookup($A$1,E45,F45,LOHNTABELLE!$H$4))</f>
        <v/>
      </c>
      <c r="H45" s="365" t="str">
        <f>IF(AND(ISNUMBER(D45),ISNUMBER(F45)),ROUNDDOWN(MIN(IF(OR(ISBLANK(I45),I45=""),EOMONTH(DATE(EINSTELLUNG!$C$35,$A$1,1),0),I45)-MAX(D45,DATE(EINSTELLUNG!$C$35,$A$1,1))+1)/DAY(EOMONTH(DATE(EINSTELLUNG!$C$35,$A$1,1),0))*F45,2),"")</f>
        <v/>
      </c>
      <c r="I45" s="186"/>
      <c r="J45" s="187"/>
      <c r="K45" s="364" t="str">
        <f t="shared" si="1"/>
        <v/>
      </c>
      <c r="L45" s="366"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91"/>
      <c r="N45" s="189"/>
      <c r="O45" s="421"/>
      <c r="P45" s="421"/>
      <c r="Q45" s="421"/>
      <c r="R45" s="422"/>
      <c r="S45" s="422"/>
      <c r="T45" s="422"/>
      <c r="U45" s="422"/>
      <c r="V45" s="361"/>
    </row>
    <row r="46" spans="1:22" ht="21.95" customHeight="1" x14ac:dyDescent="0.35">
      <c r="A46" s="363" t="s">
        <v>117</v>
      </c>
      <c r="B46" s="152"/>
      <c r="C46" s="153"/>
      <c r="D46" s="154"/>
      <c r="E46" s="155"/>
      <c r="F46" s="156"/>
      <c r="G46" s="364" t="str">
        <f>IF(OR(E46="",F46=""),"",PID_KVLohnLookup($A$1,E46,F46,LOHNTABELLE!$H$4))</f>
        <v/>
      </c>
      <c r="H46" s="365" t="str">
        <f>IF(AND(ISNUMBER(D46),ISNUMBER(F46)),ROUNDDOWN(MIN(IF(OR(ISBLANK(I46),I46=""),EOMONTH(DATE(EINSTELLUNG!$C$35,$A$1,1),0),I46)-MAX(D46,DATE(EINSTELLUNG!$C$35,$A$1,1))+1)/DAY(EOMONTH(DATE(EINSTELLUNG!$C$35,$A$1,1),0))*F46,2),"")</f>
        <v/>
      </c>
      <c r="I46" s="158"/>
      <c r="J46" s="165"/>
      <c r="K46" s="364" t="str">
        <f t="shared" si="1"/>
        <v/>
      </c>
      <c r="L46" s="366"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70"/>
      <c r="N46" s="168"/>
      <c r="O46" s="361"/>
      <c r="P46" s="361"/>
      <c r="Q46" s="361"/>
      <c r="R46" s="361"/>
      <c r="S46" s="361"/>
      <c r="T46" s="361"/>
      <c r="U46" s="361"/>
      <c r="V46" s="361"/>
    </row>
    <row r="47" spans="1:22" ht="21.95" customHeight="1" x14ac:dyDescent="0.35">
      <c r="A47" s="363" t="s">
        <v>118</v>
      </c>
      <c r="B47" s="181"/>
      <c r="C47" s="182"/>
      <c r="D47" s="183"/>
      <c r="E47" s="184"/>
      <c r="F47" s="190"/>
      <c r="G47" s="364" t="str">
        <f>IF(OR(E47="",F47=""),"",PID_KVLohnLookup($A$1,E47,F47,LOHNTABELLE!$H$4))</f>
        <v/>
      </c>
      <c r="H47" s="365" t="str">
        <f>IF(AND(ISNUMBER(D47),ISNUMBER(F47)),ROUNDDOWN(MIN(IF(OR(ISBLANK(I47),I47=""),EOMONTH(DATE(EINSTELLUNG!$C$35,$A$1,1),0),I47)-MAX(D47,DATE(EINSTELLUNG!$C$35,$A$1,1))+1)/DAY(EOMONTH(DATE(EINSTELLUNG!$C$35,$A$1,1),0))*F47,2),"")</f>
        <v/>
      </c>
      <c r="I47" s="186"/>
      <c r="J47" s="187"/>
      <c r="K47" s="364" t="str">
        <f t="shared" si="1"/>
        <v/>
      </c>
      <c r="L47" s="366"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91"/>
      <c r="N47" s="189"/>
      <c r="O47" s="361"/>
      <c r="P47" s="361"/>
      <c r="Q47" s="361"/>
      <c r="R47" s="361"/>
      <c r="S47" s="361"/>
      <c r="T47" s="361"/>
      <c r="U47" s="361"/>
      <c r="V47" s="361"/>
    </row>
    <row r="48" spans="1:22" ht="21.95" customHeight="1" x14ac:dyDescent="0.35">
      <c r="A48" s="363" t="s">
        <v>119</v>
      </c>
      <c r="B48" s="152"/>
      <c r="C48" s="153"/>
      <c r="D48" s="154"/>
      <c r="E48" s="155"/>
      <c r="F48" s="156"/>
      <c r="G48" s="364" t="str">
        <f>IF(OR(E48="",F48=""),"",PID_KVLohnLookup($A$1,E48,F48,LOHNTABELLE!$H$4))</f>
        <v/>
      </c>
      <c r="H48" s="365" t="str">
        <f>IF(AND(ISNUMBER(D48),ISNUMBER(F48)),ROUNDDOWN(MIN(IF(OR(ISBLANK(I48),I48=""),EOMONTH(DATE(EINSTELLUNG!$C$35,$A$1,1),0),I48)-MAX(D48,DATE(EINSTELLUNG!$C$35,$A$1,1))+1)/DAY(EOMONTH(DATE(EINSTELLUNG!$C$35,$A$1,1),0))*F48,2),"")</f>
        <v/>
      </c>
      <c r="I48" s="158"/>
      <c r="J48" s="165"/>
      <c r="K48" s="364" t="str">
        <f t="shared" si="1"/>
        <v/>
      </c>
      <c r="L48" s="366"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70"/>
      <c r="N48" s="168"/>
      <c r="O48" s="361"/>
      <c r="P48" s="361"/>
      <c r="Q48" s="361"/>
      <c r="R48" s="361"/>
      <c r="S48" s="361"/>
      <c r="T48" s="361"/>
      <c r="U48" s="361"/>
      <c r="V48" s="361"/>
    </row>
    <row r="49" spans="1:22" ht="21.95" customHeight="1" x14ac:dyDescent="0.35">
      <c r="A49" s="363" t="s">
        <v>120</v>
      </c>
      <c r="B49" s="181"/>
      <c r="C49" s="182"/>
      <c r="D49" s="183"/>
      <c r="E49" s="184"/>
      <c r="F49" s="190"/>
      <c r="G49" s="364" t="str">
        <f>IF(OR(E49="",F49=""),"",PID_KVLohnLookup($A$1,E49,F49,LOHNTABELLE!$H$4))</f>
        <v/>
      </c>
      <c r="H49" s="365" t="str">
        <f>IF(AND(ISNUMBER(D49),ISNUMBER(F49)),ROUNDDOWN(MIN(IF(OR(ISBLANK(I49),I49=""),EOMONTH(DATE(EINSTELLUNG!$C$35,$A$1,1),0),I49)-MAX(D49,DATE(EINSTELLUNG!$C$35,$A$1,1))+1)/DAY(EOMONTH(DATE(EINSTELLUNG!$C$35,$A$1,1),0))*F49,2),"")</f>
        <v/>
      </c>
      <c r="I49" s="186"/>
      <c r="J49" s="187"/>
      <c r="K49" s="364" t="str">
        <f t="shared" si="1"/>
        <v/>
      </c>
      <c r="L49" s="366"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91"/>
      <c r="N49" s="189"/>
      <c r="O49" s="361"/>
      <c r="P49" s="361"/>
      <c r="Q49" s="361"/>
      <c r="R49" s="361"/>
      <c r="S49" s="361"/>
      <c r="T49" s="361"/>
      <c r="U49" s="361"/>
      <c r="V49" s="361"/>
    </row>
    <row r="50" spans="1:22" ht="21.95" customHeight="1" x14ac:dyDescent="0.35">
      <c r="A50" s="363" t="s">
        <v>121</v>
      </c>
      <c r="B50" s="152"/>
      <c r="C50" s="153"/>
      <c r="D50" s="154"/>
      <c r="E50" s="155"/>
      <c r="F50" s="156"/>
      <c r="G50" s="364" t="str">
        <f>IF(OR(E50="",F50=""),"",PID_KVLohnLookup($A$1,E50,F50,LOHNTABELLE!$H$4))</f>
        <v/>
      </c>
      <c r="H50" s="365" t="str">
        <f>IF(AND(ISNUMBER(D50),ISNUMBER(F50)),ROUNDDOWN(MIN(IF(OR(ISBLANK(I50),I50=""),EOMONTH(DATE(EINSTELLUNG!$C$35,$A$1,1),0),I50)-MAX(D50,DATE(EINSTELLUNG!$C$35,$A$1,1))+1)/DAY(EOMONTH(DATE(EINSTELLUNG!$C$35,$A$1,1),0))*F50,2),"")</f>
        <v/>
      </c>
      <c r="I50" s="158"/>
      <c r="J50" s="165"/>
      <c r="K50" s="364" t="str">
        <f t="shared" si="1"/>
        <v/>
      </c>
      <c r="L50" s="366"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70"/>
      <c r="N50" s="168"/>
      <c r="O50" s="361"/>
      <c r="P50" s="361"/>
      <c r="Q50" s="361"/>
      <c r="R50" s="361"/>
      <c r="S50" s="361"/>
      <c r="T50" s="361"/>
      <c r="U50" s="361"/>
      <c r="V50" s="361"/>
    </row>
    <row r="51" spans="1:22" ht="21.95" customHeight="1" x14ac:dyDescent="0.35">
      <c r="A51" s="363" t="s">
        <v>122</v>
      </c>
      <c r="B51" s="181"/>
      <c r="C51" s="182"/>
      <c r="D51" s="183"/>
      <c r="E51" s="184"/>
      <c r="F51" s="190"/>
      <c r="G51" s="364" t="str">
        <f>IF(OR(E51="",F51=""),"",PID_KVLohnLookup($A$1,E51,F51,LOHNTABELLE!$H$4))</f>
        <v/>
      </c>
      <c r="H51" s="365" t="str">
        <f>IF(AND(ISNUMBER(D51),ISNUMBER(F51)),ROUNDDOWN(MIN(IF(OR(ISBLANK(I51),I51=""),EOMONTH(DATE(EINSTELLUNG!$C$35,$A$1,1),0),I51)-MAX(D51,DATE(EINSTELLUNG!$C$35,$A$1,1))+1)/DAY(EOMONTH(DATE(EINSTELLUNG!$C$35,$A$1,1),0))*F51,2),"")</f>
        <v/>
      </c>
      <c r="I51" s="186"/>
      <c r="J51" s="187"/>
      <c r="K51" s="364" t="str">
        <f t="shared" si="1"/>
        <v/>
      </c>
      <c r="L51" s="366"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188"/>
      <c r="N51" s="192"/>
    </row>
    <row r="52" spans="1:22" ht="21.95" customHeight="1" x14ac:dyDescent="0.35">
      <c r="A52" s="363" t="s">
        <v>123</v>
      </c>
      <c r="B52" s="152"/>
      <c r="C52" s="153"/>
      <c r="D52" s="154"/>
      <c r="E52" s="155"/>
      <c r="F52" s="156"/>
      <c r="G52" s="364" t="str">
        <f>IF(OR(E52="",F52=""),"",PID_KVLohnLookup($A$1,E52,F52,LOHNTABELLE!$H$4))</f>
        <v/>
      </c>
      <c r="H52" s="365" t="str">
        <f>IF(AND(ISNUMBER(D52),ISNUMBER(F52)),ROUNDDOWN(MIN(IF(OR(ISBLANK(I52),I52=""),EOMONTH(DATE(EINSTELLUNG!$C$35,$A$1,1),0),I52)-MAX(D52,DATE(EINSTELLUNG!$C$35,$A$1,1))+1)/DAY(EOMONTH(DATE(EINSTELLUNG!$C$35,$A$1,1),0))*F52,2),"")</f>
        <v/>
      </c>
      <c r="I52" s="158"/>
      <c r="J52" s="165"/>
      <c r="K52" s="364" t="str">
        <f t="shared" si="1"/>
        <v/>
      </c>
      <c r="L52" s="366"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167"/>
      <c r="N52" s="168"/>
    </row>
    <row r="53" spans="1:22" ht="21.95" customHeight="1" x14ac:dyDescent="0.35">
      <c r="A53" s="363" t="s">
        <v>124</v>
      </c>
      <c r="B53" s="181"/>
      <c r="C53" s="182"/>
      <c r="D53" s="186"/>
      <c r="E53" s="184"/>
      <c r="F53" s="190"/>
      <c r="G53" s="364" t="str">
        <f>IF(OR(E53="",F53=""),"",PID_KVLohnLookup($A$1,E53,F53,LOHNTABELLE!$H$4))</f>
        <v/>
      </c>
      <c r="H53" s="365" t="str">
        <f>IF(AND(ISNUMBER(D53),ISNUMBER(F53)),ROUNDDOWN(MIN(IF(OR(ISBLANK(I53),I53=""),EOMONTH(DATE(EINSTELLUNG!$C$35,$A$1,1),0),I53)-MAX(D53,DATE(EINSTELLUNG!$C$35,$A$1,1))+1)/DAY(EOMONTH(DATE(EINSTELLUNG!$C$35,$A$1,1),0))*F53,2),"")</f>
        <v/>
      </c>
      <c r="I53" s="186"/>
      <c r="J53" s="187"/>
      <c r="K53" s="364" t="str">
        <f t="shared" si="1"/>
        <v/>
      </c>
      <c r="L53" s="366"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188"/>
      <c r="N53" s="189"/>
    </row>
    <row r="54" spans="1:22" ht="21.95" customHeight="1" x14ac:dyDescent="0.35">
      <c r="A54" s="363" t="s">
        <v>125</v>
      </c>
      <c r="B54" s="152"/>
      <c r="C54" s="153"/>
      <c r="D54" s="158"/>
      <c r="E54" s="155"/>
      <c r="F54" s="156"/>
      <c r="G54" s="364" t="str">
        <f>IF(OR(E54="",F54=""),"",PID_KVLohnLookup($A$1,E54,F54,LOHNTABELLE!$H$4))</f>
        <v/>
      </c>
      <c r="H54" s="365" t="str">
        <f>IF(AND(ISNUMBER(D54),ISNUMBER(F54)),ROUNDDOWN(MIN(IF(OR(ISBLANK(I54),I54=""),EOMONTH(DATE(EINSTELLUNG!$C$35,$A$1,1),0),I54)-MAX(D54,DATE(EINSTELLUNG!$C$35,$A$1,1))+1)/DAY(EOMONTH(DATE(EINSTELLUNG!$C$35,$A$1,1),0))*F54,2),"")</f>
        <v/>
      </c>
      <c r="I54" s="158"/>
      <c r="J54" s="165"/>
      <c r="K54" s="364" t="str">
        <f t="shared" si="1"/>
        <v/>
      </c>
      <c r="L54" s="366"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167"/>
      <c r="N54" s="168"/>
    </row>
    <row r="55" spans="1:22" ht="21.95" customHeight="1" x14ac:dyDescent="0.35">
      <c r="A55" s="363" t="s">
        <v>126</v>
      </c>
      <c r="B55" s="181"/>
      <c r="C55" s="182"/>
      <c r="D55" s="186"/>
      <c r="E55" s="184"/>
      <c r="F55" s="190"/>
      <c r="G55" s="364" t="str">
        <f>IF(OR(E55="",F55=""),"",PID_KVLohnLookup($A$1,E55,F55,LOHNTABELLE!$H$4))</f>
        <v/>
      </c>
      <c r="H55" s="365" t="str">
        <f>IF(AND(ISNUMBER(D55),ISNUMBER(F55)),ROUNDDOWN(MIN(IF(OR(ISBLANK(I55),I55=""),EOMONTH(DATE(EINSTELLUNG!$C$35,$A$1,1),0),I55)-MAX(D55,DATE(EINSTELLUNG!$C$35,$A$1,1))+1)/DAY(EOMONTH(DATE(EINSTELLUNG!$C$35,$A$1,1),0))*F55,2),"")</f>
        <v/>
      </c>
      <c r="I55" s="186"/>
      <c r="J55" s="187"/>
      <c r="K55" s="364" t="str">
        <f t="shared" si="1"/>
        <v/>
      </c>
      <c r="L55" s="366"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188"/>
      <c r="N55" s="189"/>
    </row>
    <row r="56" spans="1:22" ht="21.95" customHeight="1" x14ac:dyDescent="0.35">
      <c r="A56" s="363" t="s">
        <v>127</v>
      </c>
      <c r="B56" s="152"/>
      <c r="C56" s="159"/>
      <c r="D56" s="158"/>
      <c r="E56" s="155"/>
      <c r="F56" s="156"/>
      <c r="G56" s="364" t="str">
        <f>IF(OR(E56="",F56=""),"",PID_KVLohnLookup($A$1,E56,F56,LOHNTABELLE!$H$4))</f>
        <v/>
      </c>
      <c r="H56" s="365" t="str">
        <f>IF(AND(ISNUMBER(D56),ISNUMBER(F56)),ROUNDDOWN(MIN(IF(OR(ISBLANK(I56),I56=""),EOMONTH(DATE(EINSTELLUNG!$C$35,$A$1,1),0),I56)-MAX(D56,DATE(EINSTELLUNG!$C$35,$A$1,1))+1)/DAY(EOMONTH(DATE(EINSTELLUNG!$C$35,$A$1,1),0))*F56,2),"")</f>
        <v/>
      </c>
      <c r="I56" s="158"/>
      <c r="J56" s="165"/>
      <c r="K56" s="364" t="str">
        <f t="shared" si="1"/>
        <v/>
      </c>
      <c r="L56" s="366"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167"/>
      <c r="N56" s="168"/>
    </row>
    <row r="57" spans="1:22" ht="21.95" customHeight="1" x14ac:dyDescent="0.35">
      <c r="A57" s="363" t="s">
        <v>128</v>
      </c>
      <c r="B57" s="181"/>
      <c r="C57" s="182"/>
      <c r="D57" s="186"/>
      <c r="E57" s="184"/>
      <c r="F57" s="190"/>
      <c r="G57" s="364" t="str">
        <f>IF(OR(E57="",F57=""),"",PID_KVLohnLookup($A$1,E57,F57,LOHNTABELLE!$H$4))</f>
        <v/>
      </c>
      <c r="H57" s="365" t="str">
        <f>IF(AND(ISNUMBER(D57),ISNUMBER(F57)),ROUNDDOWN(MIN(IF(OR(ISBLANK(I57),I57=""),EOMONTH(DATE(EINSTELLUNG!$C$35,$A$1,1),0),I57)-MAX(D57,DATE(EINSTELLUNG!$C$35,$A$1,1))+1)/DAY(EOMONTH(DATE(EINSTELLUNG!$C$35,$A$1,1),0))*F57,2),"")</f>
        <v/>
      </c>
      <c r="I57" s="186"/>
      <c r="J57" s="187"/>
      <c r="K57" s="364" t="str">
        <f t="shared" si="1"/>
        <v/>
      </c>
      <c r="L57" s="366"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188"/>
      <c r="N57" s="189"/>
    </row>
    <row r="58" spans="1:22" ht="21.95" customHeight="1" x14ac:dyDescent="0.35">
      <c r="A58" s="363" t="s">
        <v>129</v>
      </c>
      <c r="B58" s="152"/>
      <c r="C58" s="153"/>
      <c r="D58" s="158"/>
      <c r="E58" s="155"/>
      <c r="F58" s="156"/>
      <c r="G58" s="364" t="str">
        <f>IF(OR(E58="",F58=""),"",PID_KVLohnLookup($A$1,E58,F58,LOHNTABELLE!$H$4))</f>
        <v/>
      </c>
      <c r="H58" s="365" t="str">
        <f>IF(AND(ISNUMBER(D58),ISNUMBER(F58)),ROUNDDOWN(MIN(IF(OR(ISBLANK(I58),I58=""),EOMONTH(DATE(EINSTELLUNG!$C$35,$A$1,1),0),I58)-MAX(D58,DATE(EINSTELLUNG!$C$35,$A$1,1))+1)/DAY(EOMONTH(DATE(EINSTELLUNG!$C$35,$A$1,1),0))*F58,2),"")</f>
        <v/>
      </c>
      <c r="I58" s="158"/>
      <c r="J58" s="165"/>
      <c r="K58" s="364" t="str">
        <f t="shared" si="1"/>
        <v/>
      </c>
      <c r="L58" s="366"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167"/>
      <c r="N58" s="168"/>
    </row>
    <row r="59" spans="1:22" ht="21.95" customHeight="1" x14ac:dyDescent="0.35">
      <c r="A59" s="363" t="s">
        <v>130</v>
      </c>
      <c r="B59" s="181"/>
      <c r="C59" s="182"/>
      <c r="D59" s="186"/>
      <c r="E59" s="184"/>
      <c r="F59" s="190"/>
      <c r="G59" s="364" t="str">
        <f>IF(OR(E59="",F59=""),"",PID_KVLohnLookup($A$1,E59,F59,LOHNTABELLE!$H$4))</f>
        <v/>
      </c>
      <c r="H59" s="365" t="str">
        <f>IF(AND(ISNUMBER(D59),ISNUMBER(F59)),ROUNDDOWN(MIN(IF(OR(ISBLANK(I59),I59=""),EOMONTH(DATE(EINSTELLUNG!$C$35,$A$1,1),0),I59)-MAX(D59,DATE(EINSTELLUNG!$C$35,$A$1,1))+1)/DAY(EOMONTH(DATE(EINSTELLUNG!$C$35,$A$1,1),0))*F59,2),"")</f>
        <v/>
      </c>
      <c r="I59" s="186"/>
      <c r="J59" s="187"/>
      <c r="K59" s="364" t="str">
        <f t="shared" si="1"/>
        <v/>
      </c>
      <c r="L59" s="366"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188"/>
      <c r="N59" s="189"/>
    </row>
    <row r="60" spans="1:22" ht="21.95" customHeight="1" x14ac:dyDescent="0.35">
      <c r="A60" s="363" t="s">
        <v>131</v>
      </c>
      <c r="B60" s="152"/>
      <c r="C60" s="153"/>
      <c r="D60" s="158"/>
      <c r="E60" s="155"/>
      <c r="F60" s="156"/>
      <c r="G60" s="364" t="str">
        <f>IF(OR(E60="",F60=""),"",PID_KVLohnLookup($A$1,E60,F60,LOHNTABELLE!$H$4))</f>
        <v/>
      </c>
      <c r="H60" s="365" t="str">
        <f>IF(AND(ISNUMBER(D60),ISNUMBER(F60)),ROUNDDOWN(MIN(IF(OR(ISBLANK(I60),I60=""),EOMONTH(DATE(EINSTELLUNG!$C$35,$A$1,1),0),I60)-MAX(D60,DATE(EINSTELLUNG!$C$35,$A$1,1))+1)/DAY(EOMONTH(DATE(EINSTELLUNG!$C$35,$A$1,1),0))*F60,2),"")</f>
        <v/>
      </c>
      <c r="I60" s="158"/>
      <c r="J60" s="165"/>
      <c r="K60" s="364" t="str">
        <f t="shared" si="1"/>
        <v/>
      </c>
      <c r="L60" s="366"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167"/>
      <c r="N60" s="168"/>
    </row>
    <row r="61" spans="1:22" ht="21.95" customHeight="1" x14ac:dyDescent="0.35">
      <c r="A61" s="363" t="s">
        <v>132</v>
      </c>
      <c r="B61" s="181"/>
      <c r="C61" s="182"/>
      <c r="D61" s="186"/>
      <c r="E61" s="184"/>
      <c r="F61" s="190"/>
      <c r="G61" s="364" t="str">
        <f>IF(OR(E61="",F61=""),"",PID_KVLohnLookup($A$1,E61,F61,LOHNTABELLE!$H$4))</f>
        <v/>
      </c>
      <c r="H61" s="365" t="str">
        <f>IF(AND(ISNUMBER(D61),ISNUMBER(F61)),ROUNDDOWN(MIN(IF(OR(ISBLANK(I61),I61=""),EOMONTH(DATE(EINSTELLUNG!$C$35,$A$1,1),0),I61)-MAX(D61,DATE(EINSTELLUNG!$C$35,$A$1,1))+1)/DAY(EOMONTH(DATE(EINSTELLUNG!$C$35,$A$1,1),0))*F61,2),"")</f>
        <v/>
      </c>
      <c r="I61" s="186"/>
      <c r="J61" s="187"/>
      <c r="K61" s="364" t="str">
        <f t="shared" si="1"/>
        <v/>
      </c>
      <c r="L61" s="366"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88"/>
      <c r="N61" s="189"/>
    </row>
    <row r="62" spans="1:22" ht="21.95" customHeight="1" x14ac:dyDescent="0.35">
      <c r="A62" s="363" t="s">
        <v>133</v>
      </c>
      <c r="B62" s="152"/>
      <c r="C62" s="153"/>
      <c r="D62" s="158"/>
      <c r="E62" s="155"/>
      <c r="F62" s="156"/>
      <c r="G62" s="364" t="str">
        <f>IF(OR(E62="",F62=""),"",PID_KVLohnLookup($A$1,E62,F62,LOHNTABELLE!$H$4))</f>
        <v/>
      </c>
      <c r="H62" s="365" t="str">
        <f>IF(AND(ISNUMBER(D62),ISNUMBER(F62)),ROUNDDOWN(MIN(IF(OR(ISBLANK(I62),I62=""),EOMONTH(DATE(EINSTELLUNG!$C$35,$A$1,1),0),I62)-MAX(D62,DATE(EINSTELLUNG!$C$35,$A$1,1))+1)/DAY(EOMONTH(DATE(EINSTELLUNG!$C$35,$A$1,1),0))*F62,2),"")</f>
        <v/>
      </c>
      <c r="I62" s="158"/>
      <c r="J62" s="165"/>
      <c r="K62" s="364" t="str">
        <f t="shared" si="1"/>
        <v/>
      </c>
      <c r="L62" s="366"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167"/>
      <c r="N62" s="168"/>
    </row>
    <row r="63" spans="1:22" ht="21.95" customHeight="1" x14ac:dyDescent="0.35">
      <c r="A63" s="363" t="s">
        <v>134</v>
      </c>
      <c r="B63" s="181"/>
      <c r="C63" s="182"/>
      <c r="D63" s="186"/>
      <c r="E63" s="184"/>
      <c r="F63" s="190"/>
      <c r="G63" s="364" t="str">
        <f>IF(OR(E63="",F63=""),"",PID_KVLohnLookup($A$1,E63,F63,LOHNTABELLE!$H$4))</f>
        <v/>
      </c>
      <c r="H63" s="365" t="str">
        <f>IF(AND(ISNUMBER(D63),ISNUMBER(F63)),ROUNDDOWN(MIN(IF(OR(ISBLANK(I63),I63=""),EOMONTH(DATE(EINSTELLUNG!$C$35,$A$1,1),0),I63)-MAX(D63,DATE(EINSTELLUNG!$C$35,$A$1,1))+1)/DAY(EOMONTH(DATE(EINSTELLUNG!$C$35,$A$1,1),0))*F63,2),"")</f>
        <v/>
      </c>
      <c r="I63" s="186"/>
      <c r="J63" s="187"/>
      <c r="K63" s="364" t="str">
        <f t="shared" si="1"/>
        <v/>
      </c>
      <c r="L63" s="366"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88"/>
      <c r="N63" s="189"/>
    </row>
    <row r="64" spans="1:22" ht="21.95" customHeight="1" x14ac:dyDescent="0.35">
      <c r="A64" s="363" t="s">
        <v>135</v>
      </c>
      <c r="B64" s="152"/>
      <c r="C64" s="153"/>
      <c r="D64" s="158"/>
      <c r="E64" s="155"/>
      <c r="F64" s="156"/>
      <c r="G64" s="364" t="str">
        <f>IF(OR(E64="",F64=""),"",PID_KVLohnLookup($A$1,E64,F64,LOHNTABELLE!$H$4))</f>
        <v/>
      </c>
      <c r="H64" s="365" t="str">
        <f>IF(AND(ISNUMBER(D64),ISNUMBER(F64)),ROUNDDOWN(MIN(IF(OR(ISBLANK(I64),I64=""),EOMONTH(DATE(EINSTELLUNG!$C$35,$A$1,1),0),I64)-MAX(D64,DATE(EINSTELLUNG!$C$35,$A$1,1))+1)/DAY(EOMONTH(DATE(EINSTELLUNG!$C$35,$A$1,1),0))*F64,2),"")</f>
        <v/>
      </c>
      <c r="I64" s="158"/>
      <c r="J64" s="165"/>
      <c r="K64" s="364" t="str">
        <f t="shared" si="1"/>
        <v/>
      </c>
      <c r="L64" s="366"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167"/>
      <c r="N64" s="168"/>
    </row>
    <row r="65" spans="1:14" ht="21.95" customHeight="1" x14ac:dyDescent="0.35">
      <c r="A65" s="363" t="s">
        <v>136</v>
      </c>
      <c r="B65" s="181"/>
      <c r="C65" s="182"/>
      <c r="D65" s="186"/>
      <c r="E65" s="184"/>
      <c r="F65" s="190"/>
      <c r="G65" s="364" t="str">
        <f>IF(OR(E65="",F65=""),"",PID_KVLohnLookup($A$1,E65,F65,LOHNTABELLE!$H$4))</f>
        <v/>
      </c>
      <c r="H65" s="365" t="str">
        <f>IF(AND(ISNUMBER(D65),ISNUMBER(F65)),ROUNDDOWN(MIN(IF(OR(ISBLANK(I65),I65=""),EOMONTH(DATE(EINSTELLUNG!$C$35,$A$1,1),0),I65)-MAX(D65,DATE(EINSTELLUNG!$C$35,$A$1,1))+1)/DAY(EOMONTH(DATE(EINSTELLUNG!$C$35,$A$1,1),0))*F65,2),"")</f>
        <v/>
      </c>
      <c r="I65" s="186"/>
      <c r="J65" s="187"/>
      <c r="K65" s="364" t="str">
        <f t="shared" si="1"/>
        <v/>
      </c>
      <c r="L65" s="366"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88"/>
      <c r="N65" s="189"/>
    </row>
    <row r="66" spans="1:14" ht="21.95" customHeight="1" x14ac:dyDescent="0.35">
      <c r="A66" s="363" t="s">
        <v>137</v>
      </c>
      <c r="B66" s="152"/>
      <c r="C66" s="153"/>
      <c r="D66" s="158"/>
      <c r="E66" s="155"/>
      <c r="F66" s="156"/>
      <c r="G66" s="364" t="str">
        <f>IF(OR(E66="",F66=""),"",PID_KVLohnLookup($A$1,E66,F66,LOHNTABELLE!$H$4))</f>
        <v/>
      </c>
      <c r="H66" s="365" t="str">
        <f>IF(AND(ISNUMBER(D66),ISNUMBER(F66)),ROUNDDOWN(MIN(IF(OR(ISBLANK(I66),I66=""),EOMONTH(DATE(EINSTELLUNG!$C$35,$A$1,1),0),I66)-MAX(D66,DATE(EINSTELLUNG!$C$35,$A$1,1))+1)/DAY(EOMONTH(DATE(EINSTELLUNG!$C$35,$A$1,1),0))*F66,2),"")</f>
        <v/>
      </c>
      <c r="I66" s="158"/>
      <c r="J66" s="165"/>
      <c r="K66" s="364" t="str">
        <f t="shared" si="1"/>
        <v/>
      </c>
      <c r="L66" s="366"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167"/>
      <c r="N66" s="168"/>
    </row>
    <row r="67" spans="1:14" ht="21.95" customHeight="1" x14ac:dyDescent="0.35">
      <c r="A67" s="363" t="s">
        <v>138</v>
      </c>
      <c r="B67" s="181"/>
      <c r="C67" s="182"/>
      <c r="D67" s="186"/>
      <c r="E67" s="184"/>
      <c r="F67" s="190"/>
      <c r="G67" s="364" t="str">
        <f>IF(OR(E67="",F67=""),"",PID_KVLohnLookup($A$1,E67,F67,LOHNTABELLE!$H$4))</f>
        <v/>
      </c>
      <c r="H67" s="365" t="str">
        <f>IF(AND(ISNUMBER(D67),ISNUMBER(F67)),ROUNDDOWN(MIN(IF(OR(ISBLANK(I67),I67=""),EOMONTH(DATE(EINSTELLUNG!$C$35,$A$1,1),0),I67)-MAX(D67,DATE(EINSTELLUNG!$C$35,$A$1,1))+1)/DAY(EOMONTH(DATE(EINSTELLUNG!$C$35,$A$1,1),0))*F67,2),"")</f>
        <v/>
      </c>
      <c r="I67" s="186"/>
      <c r="J67" s="187"/>
      <c r="K67" s="364" t="str">
        <f t="shared" ref="K67:K98" si="3">IF(OR(B67="",C67=""),"",IFERROR(IF(OR(MONTH(D67)=1,MONTH(D67)=3,MONTH(D67)=5,MONTH(D67)=7,MONTH(D67)=8,MONTH(D67)=10,MONTH(D67)=12),(G67/31)*J67,IF(OR(MONTH(D67)=4,MONTH(D67)=6,MONTH(D67)=9,MONTH(D67)=11),(G67/30)*J67,(G67/DAY(EOMONTH(D67,0)))*J67)),0))</f>
        <v/>
      </c>
      <c r="L67" s="366"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88"/>
      <c r="N67" s="189"/>
    </row>
    <row r="68" spans="1:14" ht="21.95" customHeight="1" x14ac:dyDescent="0.35">
      <c r="A68" s="363" t="s">
        <v>139</v>
      </c>
      <c r="B68" s="152"/>
      <c r="C68" s="153"/>
      <c r="D68" s="158"/>
      <c r="E68" s="155"/>
      <c r="F68" s="156"/>
      <c r="G68" s="364" t="str">
        <f>IF(OR(E68="",F68=""),"",PID_KVLohnLookup($A$1,E68,F68,LOHNTABELLE!$H$4))</f>
        <v/>
      </c>
      <c r="H68" s="365" t="str">
        <f>IF(AND(ISNUMBER(D68),ISNUMBER(F68)),ROUNDDOWN(MIN(IF(OR(ISBLANK(I68),I68=""),EOMONTH(DATE(EINSTELLUNG!$C$35,$A$1,1),0),I68)-MAX(D68,DATE(EINSTELLUNG!$C$35,$A$1,1))+1)/DAY(EOMONTH(DATE(EINSTELLUNG!$C$35,$A$1,1),0))*F68,2),"")</f>
        <v/>
      </c>
      <c r="I68" s="158"/>
      <c r="J68" s="165"/>
      <c r="K68" s="364" t="str">
        <f t="shared" si="3"/>
        <v/>
      </c>
      <c r="L68" s="366"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167"/>
      <c r="N68" s="168"/>
    </row>
    <row r="69" spans="1:14" ht="21.95" customHeight="1" x14ac:dyDescent="0.35">
      <c r="A69" s="363" t="s">
        <v>140</v>
      </c>
      <c r="B69" s="181"/>
      <c r="C69" s="182"/>
      <c r="D69" s="186"/>
      <c r="E69" s="184"/>
      <c r="F69" s="190"/>
      <c r="G69" s="364" t="str">
        <f>IF(OR(E69="",F69=""),"",PID_KVLohnLookup($A$1,E69,F69,LOHNTABELLE!$H$4))</f>
        <v/>
      </c>
      <c r="H69" s="365" t="str">
        <f>IF(AND(ISNUMBER(D69),ISNUMBER(F69)),ROUNDDOWN(MIN(IF(OR(ISBLANK(I69),I69=""),EOMONTH(DATE(EINSTELLUNG!$C$35,$A$1,1),0),I69)-MAX(D69,DATE(EINSTELLUNG!$C$35,$A$1,1))+1)/DAY(EOMONTH(DATE(EINSTELLUNG!$C$35,$A$1,1),0))*F69,2),"")</f>
        <v/>
      </c>
      <c r="I69" s="186"/>
      <c r="J69" s="187"/>
      <c r="K69" s="364" t="str">
        <f t="shared" si="3"/>
        <v/>
      </c>
      <c r="L69" s="366"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88"/>
      <c r="N69" s="189"/>
    </row>
    <row r="70" spans="1:14" ht="21.95" customHeight="1" x14ac:dyDescent="0.35">
      <c r="A70" s="363" t="s">
        <v>141</v>
      </c>
      <c r="B70" s="152"/>
      <c r="C70" s="153"/>
      <c r="D70" s="158"/>
      <c r="E70" s="155"/>
      <c r="F70" s="156"/>
      <c r="G70" s="364" t="str">
        <f>IF(OR(E70="",F70=""),"",PID_KVLohnLookup($A$1,E70,F70,LOHNTABELLE!$H$4))</f>
        <v/>
      </c>
      <c r="H70" s="365" t="str">
        <f>IF(AND(ISNUMBER(D70),ISNUMBER(F70)),ROUNDDOWN(MIN(IF(OR(ISBLANK(I70),I70=""),EOMONTH(DATE(EINSTELLUNG!$C$35,$A$1,1),0),I70)-MAX(D70,DATE(EINSTELLUNG!$C$35,$A$1,1))+1)/DAY(EOMONTH(DATE(EINSTELLUNG!$C$35,$A$1,1),0))*F70,2),"")</f>
        <v/>
      </c>
      <c r="I70" s="158"/>
      <c r="J70" s="165"/>
      <c r="K70" s="364" t="str">
        <f t="shared" si="3"/>
        <v/>
      </c>
      <c r="L70" s="366"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167"/>
      <c r="N70" s="168"/>
    </row>
    <row r="71" spans="1:14" ht="21.95" customHeight="1" x14ac:dyDescent="0.35">
      <c r="A71" s="363" t="s">
        <v>142</v>
      </c>
      <c r="B71" s="181"/>
      <c r="C71" s="182"/>
      <c r="D71" s="186"/>
      <c r="E71" s="184"/>
      <c r="F71" s="190"/>
      <c r="G71" s="364" t="str">
        <f>IF(OR(E71="",F71=""),"",PID_KVLohnLookup($A$1,E71,F71,LOHNTABELLE!$H$4))</f>
        <v/>
      </c>
      <c r="H71" s="365" t="str">
        <f>IF(AND(ISNUMBER(D71),ISNUMBER(F71)),ROUNDDOWN(MIN(IF(OR(ISBLANK(I71),I71=""),EOMONTH(DATE(EINSTELLUNG!$C$35,$A$1,1),0),I71)-MAX(D71,DATE(EINSTELLUNG!$C$35,$A$1,1))+1)/DAY(EOMONTH(DATE(EINSTELLUNG!$C$35,$A$1,1),0))*F71,2),"")</f>
        <v/>
      </c>
      <c r="I71" s="186"/>
      <c r="J71" s="187"/>
      <c r="K71" s="364" t="str">
        <f t="shared" si="3"/>
        <v/>
      </c>
      <c r="L71" s="366"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88"/>
      <c r="N71" s="189"/>
    </row>
    <row r="72" spans="1:14" ht="21.95" customHeight="1" x14ac:dyDescent="0.35">
      <c r="A72" s="363" t="s">
        <v>143</v>
      </c>
      <c r="B72" s="152"/>
      <c r="C72" s="153"/>
      <c r="D72" s="158"/>
      <c r="E72" s="155"/>
      <c r="F72" s="156"/>
      <c r="G72" s="364" t="str">
        <f>IF(OR(E72="",F72=""),"",PID_KVLohnLookup($A$1,E72,F72,LOHNTABELLE!$H$4))</f>
        <v/>
      </c>
      <c r="H72" s="365" t="str">
        <f>IF(AND(ISNUMBER(D72),ISNUMBER(F72)),ROUNDDOWN(MIN(IF(OR(ISBLANK(I72),I72=""),EOMONTH(DATE(EINSTELLUNG!$C$35,$A$1,1),0),I72)-MAX(D72,DATE(EINSTELLUNG!$C$35,$A$1,1))+1)/DAY(EOMONTH(DATE(EINSTELLUNG!$C$35,$A$1,1),0))*F72,2),"")</f>
        <v/>
      </c>
      <c r="I72" s="158"/>
      <c r="J72" s="165"/>
      <c r="K72" s="364" t="str">
        <f t="shared" si="3"/>
        <v/>
      </c>
      <c r="L72" s="366"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167"/>
      <c r="N72" s="168"/>
    </row>
    <row r="73" spans="1:14" ht="21.95" customHeight="1" x14ac:dyDescent="0.35">
      <c r="A73" s="363" t="s">
        <v>144</v>
      </c>
      <c r="B73" s="181"/>
      <c r="C73" s="182"/>
      <c r="D73" s="186"/>
      <c r="E73" s="184"/>
      <c r="F73" s="190"/>
      <c r="G73" s="364" t="str">
        <f>IF(OR(E73="",F73=""),"",PID_KVLohnLookup($A$1,E73,F73,LOHNTABELLE!$H$4))</f>
        <v/>
      </c>
      <c r="H73" s="365" t="str">
        <f>IF(AND(ISNUMBER(D73),ISNUMBER(F73)),ROUNDDOWN(MIN(IF(OR(ISBLANK(I73),I73=""),EOMONTH(DATE(EINSTELLUNG!$C$35,$A$1,1),0),I73)-MAX(D73,DATE(EINSTELLUNG!$C$35,$A$1,1))+1)/DAY(EOMONTH(DATE(EINSTELLUNG!$C$35,$A$1,1),0))*F73,2),"")</f>
        <v/>
      </c>
      <c r="I73" s="186"/>
      <c r="J73" s="187"/>
      <c r="K73" s="364" t="str">
        <f t="shared" si="3"/>
        <v/>
      </c>
      <c r="L73" s="366"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88"/>
      <c r="N73" s="189"/>
    </row>
    <row r="74" spans="1:14" ht="21.95" customHeight="1" x14ac:dyDescent="0.35">
      <c r="A74" s="363" t="s">
        <v>145</v>
      </c>
      <c r="B74" s="152"/>
      <c r="C74" s="153"/>
      <c r="D74" s="158"/>
      <c r="E74" s="155"/>
      <c r="F74" s="156"/>
      <c r="G74" s="364" t="str">
        <f>IF(OR(E74="",F74=""),"",PID_KVLohnLookup($A$1,E74,F74,LOHNTABELLE!$H$4))</f>
        <v/>
      </c>
      <c r="H74" s="365" t="str">
        <f>IF(AND(ISNUMBER(D74),ISNUMBER(F74)),ROUNDDOWN(MIN(IF(OR(ISBLANK(I74),I74=""),EOMONTH(DATE(EINSTELLUNG!$C$35,$A$1,1),0),I74)-MAX(D74,DATE(EINSTELLUNG!$C$35,$A$1,1))+1)/DAY(EOMONTH(DATE(EINSTELLUNG!$C$35,$A$1,1),0))*F74,2),"")</f>
        <v/>
      </c>
      <c r="I74" s="158"/>
      <c r="J74" s="165"/>
      <c r="K74" s="364" t="str">
        <f t="shared" si="3"/>
        <v/>
      </c>
      <c r="L74" s="366"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167"/>
      <c r="N74" s="168"/>
    </row>
    <row r="75" spans="1:14" ht="21.95" customHeight="1" x14ac:dyDescent="0.35">
      <c r="A75" s="363" t="s">
        <v>146</v>
      </c>
      <c r="B75" s="181"/>
      <c r="C75" s="182"/>
      <c r="D75" s="186"/>
      <c r="E75" s="184"/>
      <c r="F75" s="190"/>
      <c r="G75" s="364" t="str">
        <f>IF(OR(E75="",F75=""),"",PID_KVLohnLookup($A$1,E75,F75,LOHNTABELLE!$H$4))</f>
        <v/>
      </c>
      <c r="H75" s="365" t="str">
        <f>IF(AND(ISNUMBER(D75),ISNUMBER(F75)),ROUNDDOWN(MIN(IF(OR(ISBLANK(I75),I75=""),EOMONTH(DATE(EINSTELLUNG!$C$35,$A$1,1),0),I75)-MAX(D75,DATE(EINSTELLUNG!$C$35,$A$1,1))+1)/DAY(EOMONTH(DATE(EINSTELLUNG!$C$35,$A$1,1),0))*F75,2),"")</f>
        <v/>
      </c>
      <c r="I75" s="186"/>
      <c r="J75" s="187"/>
      <c r="K75" s="364" t="str">
        <f t="shared" si="3"/>
        <v/>
      </c>
      <c r="L75" s="366"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88"/>
      <c r="N75" s="189"/>
    </row>
    <row r="76" spans="1:14" ht="21.95" customHeight="1" x14ac:dyDescent="0.35">
      <c r="A76" s="363" t="s">
        <v>147</v>
      </c>
      <c r="B76" s="152"/>
      <c r="C76" s="153"/>
      <c r="D76" s="158"/>
      <c r="E76" s="155"/>
      <c r="F76" s="156"/>
      <c r="G76" s="364" t="str">
        <f>IF(OR(E76="",F76=""),"",PID_KVLohnLookup($A$1,E76,F76,LOHNTABELLE!$H$4))</f>
        <v/>
      </c>
      <c r="H76" s="365" t="str">
        <f>IF(AND(ISNUMBER(D76),ISNUMBER(F76)),ROUNDDOWN(MIN(IF(OR(ISBLANK(I76),I76=""),EOMONTH(DATE(EINSTELLUNG!$C$35,$A$1,1),0),I76)-MAX(D76,DATE(EINSTELLUNG!$C$35,$A$1,1))+1)/DAY(EOMONTH(DATE(EINSTELLUNG!$C$35,$A$1,1),0))*F76,2),"")</f>
        <v/>
      </c>
      <c r="I76" s="158"/>
      <c r="J76" s="165"/>
      <c r="K76" s="364" t="str">
        <f t="shared" si="3"/>
        <v/>
      </c>
      <c r="L76" s="366"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167"/>
      <c r="N76" s="168"/>
    </row>
    <row r="77" spans="1:14" ht="21.95" customHeight="1" x14ac:dyDescent="0.35">
      <c r="A77" s="363" t="s">
        <v>148</v>
      </c>
      <c r="B77" s="181"/>
      <c r="C77" s="182"/>
      <c r="D77" s="186"/>
      <c r="E77" s="184"/>
      <c r="F77" s="190"/>
      <c r="G77" s="364" t="str">
        <f>IF(OR(E77="",F77=""),"",PID_KVLohnLookup($A$1,E77,F77,LOHNTABELLE!$H$4))</f>
        <v/>
      </c>
      <c r="H77" s="365" t="str">
        <f>IF(AND(ISNUMBER(D77),ISNUMBER(F77)),ROUNDDOWN(MIN(IF(OR(ISBLANK(I77),I77=""),EOMONTH(DATE(EINSTELLUNG!$C$35,$A$1,1),0),I77)-MAX(D77,DATE(EINSTELLUNG!$C$35,$A$1,1))+1)/DAY(EOMONTH(DATE(EINSTELLUNG!$C$35,$A$1,1),0))*F77,2),"")</f>
        <v/>
      </c>
      <c r="I77" s="186"/>
      <c r="J77" s="187"/>
      <c r="K77" s="364" t="str">
        <f t="shared" si="3"/>
        <v/>
      </c>
      <c r="L77" s="366"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88"/>
      <c r="N77" s="189"/>
    </row>
    <row r="78" spans="1:14" ht="21.95" customHeight="1" x14ac:dyDescent="0.35">
      <c r="A78" s="363" t="s">
        <v>149</v>
      </c>
      <c r="B78" s="152"/>
      <c r="C78" s="153"/>
      <c r="D78" s="158"/>
      <c r="E78" s="155"/>
      <c r="F78" s="156"/>
      <c r="G78" s="364" t="str">
        <f>IF(OR(E78="",F78=""),"",PID_KVLohnLookup($A$1,E78,F78,LOHNTABELLE!$H$4))</f>
        <v/>
      </c>
      <c r="H78" s="365" t="str">
        <f>IF(AND(ISNUMBER(D78),ISNUMBER(F78)),ROUNDDOWN(MIN(IF(OR(ISBLANK(I78),I78=""),EOMONTH(DATE(EINSTELLUNG!$C$35,$A$1,1),0),I78)-MAX(D78,DATE(EINSTELLUNG!$C$35,$A$1,1))+1)/DAY(EOMONTH(DATE(EINSTELLUNG!$C$35,$A$1,1),0))*F78,2),"")</f>
        <v/>
      </c>
      <c r="I78" s="158"/>
      <c r="J78" s="165"/>
      <c r="K78" s="364" t="str">
        <f t="shared" si="3"/>
        <v/>
      </c>
      <c r="L78" s="366"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167"/>
      <c r="N78" s="168"/>
    </row>
    <row r="79" spans="1:14" ht="21.95" customHeight="1" x14ac:dyDescent="0.35">
      <c r="A79" s="363" t="s">
        <v>150</v>
      </c>
      <c r="B79" s="181"/>
      <c r="C79" s="182"/>
      <c r="D79" s="186"/>
      <c r="E79" s="184"/>
      <c r="F79" s="190"/>
      <c r="G79" s="364" t="str">
        <f>IF(OR(E79="",F79=""),"",PID_KVLohnLookup($A$1,E79,F79,LOHNTABELLE!$H$4))</f>
        <v/>
      </c>
      <c r="H79" s="365" t="str">
        <f>IF(AND(ISNUMBER(D79),ISNUMBER(F79)),ROUNDDOWN(MIN(IF(OR(ISBLANK(I79),I79=""),EOMONTH(DATE(EINSTELLUNG!$C$35,$A$1,1),0),I79)-MAX(D79,DATE(EINSTELLUNG!$C$35,$A$1,1))+1)/DAY(EOMONTH(DATE(EINSTELLUNG!$C$35,$A$1,1),0))*F79,2),"")</f>
        <v/>
      </c>
      <c r="I79" s="186"/>
      <c r="J79" s="187"/>
      <c r="K79" s="364" t="str">
        <f t="shared" si="3"/>
        <v/>
      </c>
      <c r="L79" s="366"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88"/>
      <c r="N79" s="189"/>
    </row>
    <row r="80" spans="1:14" ht="21.95" customHeight="1" x14ac:dyDescent="0.35">
      <c r="A80" s="363" t="s">
        <v>151</v>
      </c>
      <c r="B80" s="152"/>
      <c r="C80" s="153"/>
      <c r="D80" s="158"/>
      <c r="E80" s="155"/>
      <c r="F80" s="156"/>
      <c r="G80" s="364" t="str">
        <f>IF(OR(E80="",F80=""),"",PID_KVLohnLookup($A$1,E80,F80,LOHNTABELLE!$H$4))</f>
        <v/>
      </c>
      <c r="H80" s="365" t="str">
        <f>IF(AND(ISNUMBER(D80),ISNUMBER(F80)),ROUNDDOWN(MIN(IF(OR(ISBLANK(I80),I80=""),EOMONTH(DATE(EINSTELLUNG!$C$35,$A$1,1),0),I80)-MAX(D80,DATE(EINSTELLUNG!$C$35,$A$1,1))+1)/DAY(EOMONTH(DATE(EINSTELLUNG!$C$35,$A$1,1),0))*F80,2),"")</f>
        <v/>
      </c>
      <c r="I80" s="158"/>
      <c r="J80" s="165"/>
      <c r="K80" s="364" t="str">
        <f t="shared" si="3"/>
        <v/>
      </c>
      <c r="L80" s="366"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167"/>
      <c r="N80" s="168"/>
    </row>
    <row r="81" spans="1:14" ht="21.95" customHeight="1" x14ac:dyDescent="0.35">
      <c r="A81" s="363" t="s">
        <v>152</v>
      </c>
      <c r="B81" s="181"/>
      <c r="C81" s="182"/>
      <c r="D81" s="186"/>
      <c r="E81" s="184"/>
      <c r="F81" s="190"/>
      <c r="G81" s="364" t="str">
        <f>IF(OR(E81="",F81=""),"",PID_KVLohnLookup($A$1,E81,F81,LOHNTABELLE!$H$4))</f>
        <v/>
      </c>
      <c r="H81" s="365" t="str">
        <f>IF(AND(ISNUMBER(D81),ISNUMBER(F81)),ROUNDDOWN(MIN(IF(OR(ISBLANK(I81),I81=""),EOMONTH(DATE(EINSTELLUNG!$C$35,$A$1,1),0),I81)-MAX(D81,DATE(EINSTELLUNG!$C$35,$A$1,1))+1)/DAY(EOMONTH(DATE(EINSTELLUNG!$C$35,$A$1,1),0))*F81,2),"")</f>
        <v/>
      </c>
      <c r="I81" s="186"/>
      <c r="J81" s="187"/>
      <c r="K81" s="364" t="str">
        <f t="shared" si="3"/>
        <v/>
      </c>
      <c r="L81" s="366"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88"/>
      <c r="N81" s="189"/>
    </row>
    <row r="82" spans="1:14" ht="21.95" customHeight="1" thickBot="1" x14ac:dyDescent="0.4">
      <c r="A82" s="423" t="s">
        <v>153</v>
      </c>
      <c r="B82" s="160"/>
      <c r="C82" s="161"/>
      <c r="D82" s="162"/>
      <c r="E82" s="163"/>
      <c r="F82" s="164"/>
      <c r="G82" s="424" t="str">
        <f>IF(OR(E82="",F82=""),"",PID_KVLohnLookup($A$1,E82,F82,LOHNTABELLE!$H$4))</f>
        <v/>
      </c>
      <c r="H82" s="425" t="str">
        <f>IF(AND(ISNUMBER(D82),ISNUMBER(F82)),ROUNDDOWN(MIN(IF(OR(ISBLANK(I82),I82=""),EOMONTH(DATE(EINSTELLUNG!$C$35,$A$1,1),0),I82)-MAX(D82,DATE(EINSTELLUNG!$C$35,$A$1,1))+1)/DAY(EOMONTH(DATE(EINSTELLUNG!$C$35,$A$1,1),0))*F82,2),"")</f>
        <v/>
      </c>
      <c r="I82" s="162"/>
      <c r="J82" s="166"/>
      <c r="K82" s="424" t="str">
        <f t="shared" si="3"/>
        <v/>
      </c>
      <c r="L82" s="42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71"/>
      <c r="N82" s="172"/>
    </row>
    <row r="100" spans="26:26" ht="15.95" customHeight="1" x14ac:dyDescent="0.3">
      <c r="Z100" s="343"/>
    </row>
  </sheetData>
  <sheetProtection algorithmName="SHA-512" hashValue="YInxphVpfbICmbKbTWbavZ+pBYCWgcRdKRnCnY+VUhErHpWMrTV5G3vLaAFp9bHwVnFiJdB47AqotFcTJ64dnA==" saltValue="lbG8ZJ4pxVRHadw0QK9yaA==" spinCount="100000" sheet="1" objects="1" scenarios="1"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A5233AF-1156-4743-84CD-C778AB8D3388}">
          <x14:formula1>
            <xm:f>KV_DROPDOWN_HELPER!$AJY$1:$AJY$12</xm:f>
          </x14:formula1>
          <xm:sqref>E3:E82</xm:sqref>
        </x14:dataValidation>
        <x14:dataValidation type="list" allowBlank="1" showInputMessage="1" showErrorMessage="1" xr:uid="{B002F2B0-F880-4CBE-A429-0FA7910A4045}">
          <x14:formula1>
            <xm:f>KV_DROPDOWN_HELPER!$LI$1:$LI$13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40625" defaultRowHeight="15.95" customHeight="1" x14ac:dyDescent="0.3"/>
  <cols>
    <col min="1" max="1" width="4.42578125" style="427" customWidth="1"/>
    <col min="2" max="2" width="9.140625" style="427" customWidth="1"/>
    <col min="3" max="3" width="35.5703125" style="263" customWidth="1"/>
    <col min="4" max="4" width="13.5703125" style="263" customWidth="1"/>
    <col min="5" max="5" width="9.5703125" style="263" customWidth="1"/>
    <col min="6" max="6" width="10.5703125" style="263" customWidth="1"/>
    <col min="7" max="7" width="13.5703125" style="263" customWidth="1"/>
    <col min="8" max="8" width="11.5703125" style="263" customWidth="1"/>
    <col min="9" max="10" width="13.5703125" style="263" customWidth="1"/>
    <col min="11" max="11" width="14.5703125" style="263" customWidth="1"/>
    <col min="12" max="12" width="14.5703125" style="389" customWidth="1"/>
    <col min="13" max="13" width="17.85546875" style="263" customWidth="1"/>
    <col min="14" max="14" width="34.5703125" style="263" customWidth="1"/>
    <col min="15" max="15" width="12.5703125" style="263" customWidth="1"/>
    <col min="16" max="16" width="16.5703125" style="263" customWidth="1"/>
    <col min="17" max="17" width="14.5703125" style="263" customWidth="1"/>
    <col min="18" max="18" width="13.5703125" style="263" customWidth="1"/>
    <col min="19" max="19" width="9.5703125" style="263" customWidth="1"/>
    <col min="20" max="20" width="10.5703125" style="263" customWidth="1"/>
    <col min="21" max="21" width="7.5703125" style="263" customWidth="1"/>
    <col min="22" max="27" width="9.140625" style="263"/>
    <col min="28" max="28" width="10.5703125" style="263" bestFit="1" customWidth="1"/>
    <col min="29" max="16384" width="9.140625" style="263"/>
  </cols>
  <sheetData>
    <row r="1" spans="1:28" ht="18" customHeight="1" x14ac:dyDescent="0.3">
      <c r="A1" s="344">
        <v>6</v>
      </c>
      <c r="B1" s="345" t="s">
        <v>179</v>
      </c>
      <c r="C1" s="346" t="s">
        <v>39</v>
      </c>
      <c r="D1" s="346" t="s">
        <v>180</v>
      </c>
      <c r="E1" s="346" t="s">
        <v>0</v>
      </c>
      <c r="F1" s="346" t="s">
        <v>40</v>
      </c>
      <c r="G1" s="346" t="s">
        <v>41</v>
      </c>
      <c r="H1" s="346" t="s">
        <v>42</v>
      </c>
      <c r="I1" s="346" t="s">
        <v>181</v>
      </c>
      <c r="J1" s="346" t="s">
        <v>43</v>
      </c>
      <c r="K1" s="346" t="s">
        <v>44</v>
      </c>
      <c r="L1" s="346" t="s">
        <v>45</v>
      </c>
      <c r="M1" s="346" t="s">
        <v>46</v>
      </c>
      <c r="N1" s="347" t="s">
        <v>182</v>
      </c>
      <c r="AB1" s="348">
        <f>DATE(EINSTELLUNG!$C$35,$A$1,1)</f>
        <v>46174</v>
      </c>
    </row>
    <row r="2" spans="1:28" ht="18" customHeight="1" thickBot="1" x14ac:dyDescent="0.35">
      <c r="A2" s="349"/>
      <c r="B2" s="350"/>
      <c r="C2" s="351"/>
      <c r="D2" s="351"/>
      <c r="E2" s="351"/>
      <c r="F2" s="351"/>
      <c r="G2" s="351"/>
      <c r="H2" s="351"/>
      <c r="I2" s="351"/>
      <c r="J2" s="351"/>
      <c r="K2" s="351"/>
      <c r="L2" s="351"/>
      <c r="M2" s="351"/>
      <c r="N2" s="352"/>
      <c r="O2" s="353"/>
      <c r="P2" s="353"/>
      <c r="Q2" s="353"/>
      <c r="S2" s="354" t="s">
        <v>291</v>
      </c>
      <c r="T2" s="354"/>
      <c r="U2" s="354"/>
      <c r="V2" s="354"/>
      <c r="AB2" s="348">
        <f>EOMONTH(DATE(EINSTELLUNG!$C$35,$A$1,1),0)</f>
        <v>46203</v>
      </c>
    </row>
    <row r="3" spans="1:28" ht="21.95" customHeight="1" x14ac:dyDescent="0.35">
      <c r="A3" s="355" t="s">
        <v>292</v>
      </c>
      <c r="B3" s="173">
        <v>21867</v>
      </c>
      <c r="C3" s="151" t="s">
        <v>385</v>
      </c>
      <c r="D3" s="174">
        <v>46023</v>
      </c>
      <c r="E3" s="175" t="s">
        <v>2</v>
      </c>
      <c r="F3" s="176">
        <v>173</v>
      </c>
      <c r="G3" s="356">
        <f>IF(OR(E3="",F3=""),"",PID_KVLohnLookup($A$1,E3,F3,LOHNTABELLE!$H$4))</f>
        <v>2100</v>
      </c>
      <c r="H3" s="357">
        <f>IF(AND(ISNUMBER(D3),ISNUMBER(F3)),ROUNDDOWN(MIN(IF(OR(ISBLANK(I3),I3=""),EOMONTH(DATE(EINSTELLUNG!$C$35,$A$1,1),0),I3)-MAX(D3,DATE(EINSTELLUNG!$C$35,$A$1,1))+1)/DAY(EOMONTH(DATE(EINSTELLUNG!$C$35,$A$1,1),0))*F3,2),"")</f>
        <v>173</v>
      </c>
      <c r="I3" s="177"/>
      <c r="J3" s="178"/>
      <c r="K3" s="356">
        <f t="shared" ref="K3:K34" si="0">IF(OR(B3="",C3=""),"",IFERROR(IF(OR(MONTH(D3)=1,MONTH(D3)=3,MONTH(D3)=5,MONTH(D3)=7,MONTH(D3)=8,MONTH(D3)=10,MONTH(D3)=12),(G3/31)*J3,IF(OR(MONTH(D3)=4,MONTH(D3)=6,MONTH(D3)=9,MONTH(D3)=11),(G3/30)*J3,(G3/DAY(EOMONTH(D3,0)))*J3)),0))</f>
        <v>0</v>
      </c>
      <c r="L3" s="35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2100</v>
      </c>
      <c r="M3" s="179"/>
      <c r="N3" s="180"/>
      <c r="O3" s="359" t="s">
        <v>47</v>
      </c>
      <c r="P3" s="359" t="s">
        <v>48</v>
      </c>
      <c r="Q3" s="359" t="s">
        <v>49</v>
      </c>
      <c r="R3" s="360" t="s">
        <v>50</v>
      </c>
      <c r="S3" s="361"/>
      <c r="T3" s="361"/>
      <c r="U3" s="361"/>
      <c r="V3" s="361"/>
      <c r="AB3" s="362"/>
    </row>
    <row r="4" spans="1:28" ht="18" customHeight="1" x14ac:dyDescent="0.35">
      <c r="A4" s="363" t="s">
        <v>51</v>
      </c>
      <c r="B4" s="152">
        <v>221340</v>
      </c>
      <c r="C4" s="153" t="s">
        <v>333</v>
      </c>
      <c r="D4" s="154">
        <v>32994</v>
      </c>
      <c r="E4" s="155" t="s">
        <v>2</v>
      </c>
      <c r="F4" s="156">
        <v>151.38</v>
      </c>
      <c r="G4" s="364">
        <f>IF(OR(E4="",F4=""),"",PID_KVLohnLookup($A$1,E4,F4,LOHNTABELLE!$H$4))</f>
        <v>1768.38</v>
      </c>
      <c r="H4" s="365">
        <f>IF(AND(ISNUMBER(D4),ISNUMBER(F4)),ROUNDDOWN(MIN(IF(OR(ISBLANK(I4),I4=""),EOMONTH(DATE(EINSTELLUNG!$C$35,$A$1,1),0),I4)-MAX(D4,DATE(EINSTELLUNG!$C$35,$A$1,1))+1)/DAY(EOMONTH(DATE(EINSTELLUNG!$C$35,$A$1,1),0))*F4,2),"")</f>
        <v>151.38</v>
      </c>
      <c r="I4" s="158"/>
      <c r="J4" s="165"/>
      <c r="K4" s="364">
        <f t="shared" si="0"/>
        <v>0</v>
      </c>
      <c r="L4" s="366">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1768.38</v>
      </c>
      <c r="M4" s="167"/>
      <c r="N4" s="168"/>
      <c r="O4" s="367"/>
      <c r="P4" s="367"/>
      <c r="Q4" s="367"/>
      <c r="R4" s="368"/>
      <c r="S4" s="361"/>
      <c r="T4" s="361"/>
      <c r="U4" s="361"/>
      <c r="V4" s="361"/>
    </row>
    <row r="5" spans="1:28" ht="21.95" customHeight="1" x14ac:dyDescent="0.35">
      <c r="A5" s="363" t="s">
        <v>52</v>
      </c>
      <c r="B5" s="181"/>
      <c r="C5" s="182"/>
      <c r="D5" s="183"/>
      <c r="E5" s="184"/>
      <c r="F5" s="185"/>
      <c r="G5" s="364" t="str">
        <f>IF(OR(E5="",F5=""),"",PID_KVLohnLookup($A$1,E5,F5,LOHNTABELLE!$H$4))</f>
        <v/>
      </c>
      <c r="H5" s="365" t="str">
        <f>IF(AND(ISNUMBER(D5),ISNUMBER(F5)),ROUNDDOWN(MIN(IF(OR(ISBLANK(I5),I5=""),EOMONTH(DATE(EINSTELLUNG!$C$35,$A$1,1),0),I5)-MAX(D5,DATE(EINSTELLUNG!$C$35,$A$1,1))+1)/DAY(EOMONTH(DATE(EINSTELLUNG!$C$35,$A$1,1),0))*F5,2),"")</f>
        <v/>
      </c>
      <c r="I5" s="186"/>
      <c r="J5" s="187"/>
      <c r="K5" s="364" t="str">
        <f t="shared" si="0"/>
        <v/>
      </c>
      <c r="L5" s="366"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188"/>
      <c r="N5" s="189"/>
      <c r="O5" s="369" cm="1">
        <f t="array" ref="O5">SUMPRODUCT((F3:F82/4.310808)/5*2.08)</f>
        <v>31.303198843465079</v>
      </c>
      <c r="P5" s="370">
        <f>EINSTELLUNG!I11</f>
        <v>0</v>
      </c>
      <c r="Q5" s="370">
        <f>P5-O5</f>
        <v>-31.303198843465079</v>
      </c>
      <c r="R5" s="371">
        <f>IFERROR(Q5*Q42, 0)</f>
        <v>-373.30497670042377</v>
      </c>
      <c r="S5" s="361"/>
      <c r="T5" s="361"/>
      <c r="U5" s="361"/>
      <c r="V5" s="361"/>
    </row>
    <row r="6" spans="1:28" ht="21.95" customHeight="1" x14ac:dyDescent="0.35">
      <c r="A6" s="363" t="s">
        <v>53</v>
      </c>
      <c r="B6" s="152"/>
      <c r="C6" s="153"/>
      <c r="D6" s="154"/>
      <c r="E6" s="155"/>
      <c r="F6" s="156"/>
      <c r="G6" s="364" t="str">
        <f>IF(OR(E6="",F6=""),"",PID_KVLohnLookup($A$1,E6,F6,LOHNTABELLE!$H$4))</f>
        <v/>
      </c>
      <c r="H6" s="365" t="str">
        <f>IF(AND(ISNUMBER(D6),ISNUMBER(F6)),ROUNDDOWN(MIN(IF(OR(ISBLANK(I6),I6=""),EOMONTH(DATE(EINSTELLUNG!$C$35,$A$1,1),0),I6)-MAX(D6,DATE(EINSTELLUNG!$C$35,$A$1,1))+1)/DAY(EOMONTH(DATE(EINSTELLUNG!$C$35,$A$1,1),0))*F6,2),"")</f>
        <v/>
      </c>
      <c r="I6" s="158"/>
      <c r="J6" s="165"/>
      <c r="K6" s="364" t="str">
        <f t="shared" si="0"/>
        <v/>
      </c>
      <c r="L6" s="366"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167"/>
      <c r="N6" s="168"/>
      <c r="O6" s="372" t="str">
        <f>IF(Q5&lt;0, "Schlecht! Zu wenig Urlaub abgebaut.", IF(Q5&gt;0, "Gut! Mehr Urlaub abgebaut als aufgebaut.", ""))</f>
        <v>Schlecht! Zu wenig Urlaub abgebaut.</v>
      </c>
      <c r="P6" s="373"/>
      <c r="Q6" s="373"/>
      <c r="R6" s="374"/>
      <c r="S6" s="361"/>
      <c r="T6" s="361"/>
      <c r="U6" s="361"/>
      <c r="V6" s="361"/>
    </row>
    <row r="7" spans="1:28" ht="21.95" customHeight="1" thickBot="1" x14ac:dyDescent="0.4">
      <c r="A7" s="363" t="s">
        <v>54</v>
      </c>
      <c r="B7" s="181"/>
      <c r="C7" s="182"/>
      <c r="D7" s="183"/>
      <c r="E7" s="184"/>
      <c r="F7" s="190"/>
      <c r="G7" s="364" t="str">
        <f>IF(OR(E7="",F7=""),"",PID_KVLohnLookup($A$1,E7,F7,LOHNTABELLE!$H$4))</f>
        <v/>
      </c>
      <c r="H7" s="365" t="str">
        <f>IF(AND(ISNUMBER(D7),ISNUMBER(F7)),ROUNDDOWN(MIN(IF(OR(ISBLANK(I7),I7=""),EOMONTH(DATE(EINSTELLUNG!$C$35,$A$1,1),0),I7)-MAX(D7,DATE(EINSTELLUNG!$C$35,$A$1,1))+1)/DAY(EOMONTH(DATE(EINSTELLUNG!$C$35,$A$1,1),0))*F7,2),"")</f>
        <v/>
      </c>
      <c r="I7" s="186"/>
      <c r="J7" s="187"/>
      <c r="K7" s="364" t="str">
        <f t="shared" si="0"/>
        <v/>
      </c>
      <c r="L7" s="366"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188"/>
      <c r="N7" s="189"/>
      <c r="O7" s="361"/>
      <c r="P7" s="361"/>
      <c r="Q7" s="361"/>
      <c r="R7" s="361"/>
      <c r="S7" s="361"/>
      <c r="T7" s="361"/>
      <c r="U7" s="361"/>
      <c r="V7" s="361"/>
    </row>
    <row r="8" spans="1:28" ht="21.95" customHeight="1" x14ac:dyDescent="0.35">
      <c r="A8" s="363" t="s">
        <v>55</v>
      </c>
      <c r="B8" s="152"/>
      <c r="C8" s="153"/>
      <c r="D8" s="154"/>
      <c r="E8" s="155"/>
      <c r="F8" s="156"/>
      <c r="G8" s="364" t="str">
        <f>IF(OR(E8="",F8=""),"",PID_KVLohnLookup($A$1,E8,F8,LOHNTABELLE!$H$4))</f>
        <v/>
      </c>
      <c r="H8" s="365" t="str">
        <f>IF(AND(ISNUMBER(D8),ISNUMBER(F8)),ROUNDDOWN(MIN(IF(OR(ISBLANK(I8),I8=""),EOMONTH(DATE(EINSTELLUNG!$C$35,$A$1,1),0),I8)-MAX(D8,DATE(EINSTELLUNG!$C$35,$A$1,1))+1)/DAY(EOMONTH(DATE(EINSTELLUNG!$C$35,$A$1,1),0))*F8,2),"")</f>
        <v/>
      </c>
      <c r="I8" s="158"/>
      <c r="J8" s="165"/>
      <c r="K8" s="364" t="str">
        <f t="shared" si="0"/>
        <v/>
      </c>
      <c r="L8" s="366"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167"/>
      <c r="N8" s="168"/>
      <c r="O8" s="375" t="s">
        <v>56</v>
      </c>
      <c r="P8" s="376"/>
      <c r="Q8" s="377">
        <f>SUM(H3:H82)</f>
        <v>324.38</v>
      </c>
      <c r="R8" s="378"/>
      <c r="S8" s="361"/>
      <c r="T8" s="361"/>
      <c r="U8" s="361"/>
      <c r="V8" s="361"/>
    </row>
    <row r="9" spans="1:28" ht="21.95" customHeight="1" x14ac:dyDescent="0.35">
      <c r="A9" s="363" t="s">
        <v>57</v>
      </c>
      <c r="B9" s="181"/>
      <c r="C9" s="182"/>
      <c r="D9" s="183"/>
      <c r="E9" s="184"/>
      <c r="F9" s="190"/>
      <c r="G9" s="364" t="str">
        <f>IF(OR(E9="",F9=""),"",PID_KVLohnLookup($A$1,E9,F9,LOHNTABELLE!$H$4))</f>
        <v/>
      </c>
      <c r="H9" s="365" t="str">
        <f>IF(AND(ISNUMBER(D9),ISNUMBER(F9)),ROUNDDOWN(MIN(IF(OR(ISBLANK(I9),I9=""),EOMONTH(DATE(EINSTELLUNG!$C$35,$A$1,1),0),I9)-MAX(D9,DATE(EINSTELLUNG!$C$35,$A$1,1))+1)/DAY(EOMONTH(DATE(EINSTELLUNG!$C$35,$A$1,1),0))*F9,2),"")</f>
        <v/>
      </c>
      <c r="I9" s="186"/>
      <c r="J9" s="187"/>
      <c r="K9" s="364" t="str">
        <f t="shared" si="0"/>
        <v/>
      </c>
      <c r="L9" s="366"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188"/>
      <c r="N9" s="189"/>
      <c r="O9" s="379" t="s">
        <v>58</v>
      </c>
      <c r="P9" s="380"/>
      <c r="Q9" s="381">
        <f>EINSTELLUNG!L27</f>
        <v>0</v>
      </c>
      <c r="R9" s="382"/>
      <c r="S9" s="383">
        <f>IFERROR(Q9/Q8, 0)</f>
        <v>0</v>
      </c>
      <c r="T9" s="361"/>
      <c r="U9" s="361"/>
      <c r="V9" s="361"/>
    </row>
    <row r="10" spans="1:28" ht="21.95" customHeight="1" x14ac:dyDescent="0.35">
      <c r="A10" s="363" t="s">
        <v>59</v>
      </c>
      <c r="B10" s="152"/>
      <c r="C10" s="153"/>
      <c r="D10" s="154"/>
      <c r="E10" s="155"/>
      <c r="F10" s="156"/>
      <c r="G10" s="364" t="str">
        <f>IF(OR(E10="",F10=""),"",PID_KVLohnLookup($A$1,E10,F10,LOHNTABELLE!$H$4))</f>
        <v/>
      </c>
      <c r="H10" s="365" t="str">
        <f>IF(AND(ISNUMBER(D10),ISNUMBER(F10)),ROUNDDOWN(MIN(IF(OR(ISBLANK(I10),I10=""),EOMONTH(DATE(EINSTELLUNG!$C$35,$A$1,1),0),I10)-MAX(D10,DATE(EINSTELLUNG!$C$35,$A$1,1))+1)/DAY(EOMONTH(DATE(EINSTELLUNG!$C$35,$A$1,1),0))*F10,2),"")</f>
        <v/>
      </c>
      <c r="I10" s="158"/>
      <c r="J10" s="165"/>
      <c r="K10" s="364" t="str">
        <f t="shared" si="0"/>
        <v/>
      </c>
      <c r="L10" s="366"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167"/>
      <c r="N10" s="168"/>
      <c r="O10" s="379" t="s">
        <v>60</v>
      </c>
      <c r="P10" s="380"/>
      <c r="Q10" s="381">
        <f>EINSTELLUNG!I27</f>
        <v>0</v>
      </c>
      <c r="R10" s="382"/>
      <c r="S10" s="361"/>
      <c r="T10" s="361"/>
      <c r="U10" s="361"/>
      <c r="V10" s="361"/>
    </row>
    <row r="11" spans="1:28" ht="21.95" customHeight="1" x14ac:dyDescent="0.35">
      <c r="A11" s="363" t="s">
        <v>61</v>
      </c>
      <c r="B11" s="181"/>
      <c r="C11" s="182"/>
      <c r="D11" s="183"/>
      <c r="E11" s="184"/>
      <c r="F11" s="190"/>
      <c r="G11" s="364" t="str">
        <f>IF(OR(E11="",F11=""),"",PID_KVLohnLookup($A$1,E11,F11,LOHNTABELLE!$H$4))</f>
        <v/>
      </c>
      <c r="H11" s="365" t="str">
        <f>IF(AND(ISNUMBER(D11),ISNUMBER(F11)),ROUNDDOWN(MIN(IF(OR(ISBLANK(I11),I11=""),EOMONTH(DATE(EINSTELLUNG!$C$35,$A$1,1),0),I11)-MAX(D11,DATE(EINSTELLUNG!$C$35,$A$1,1))+1)/DAY(EOMONTH(DATE(EINSTELLUNG!$C$35,$A$1,1),0))*F11,2),"")</f>
        <v/>
      </c>
      <c r="I11" s="186"/>
      <c r="J11" s="187"/>
      <c r="K11" s="364" t="str">
        <f t="shared" si="0"/>
        <v/>
      </c>
      <c r="L11" s="366"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188"/>
      <c r="N11" s="189"/>
      <c r="O11" s="379" t="s">
        <v>62</v>
      </c>
      <c r="P11" s="380"/>
      <c r="Q11" s="381">
        <f>P5</f>
        <v>0</v>
      </c>
      <c r="R11" s="382"/>
      <c r="S11" s="361"/>
      <c r="T11" s="361"/>
      <c r="U11" s="361"/>
      <c r="V11" s="361"/>
    </row>
    <row r="12" spans="1:28" ht="21.95" customHeight="1" x14ac:dyDescent="0.35">
      <c r="A12" s="363" t="s">
        <v>63</v>
      </c>
      <c r="B12" s="152"/>
      <c r="C12" s="153"/>
      <c r="D12" s="154"/>
      <c r="E12" s="155"/>
      <c r="F12" s="156"/>
      <c r="G12" s="364" t="str">
        <f>IF(OR(E12="",F12=""),"",PID_KVLohnLookup($A$1,E12,F12,LOHNTABELLE!$H$4))</f>
        <v/>
      </c>
      <c r="H12" s="365" t="str">
        <f>IF(AND(ISNUMBER(D12),ISNUMBER(F12)),ROUNDDOWN(MIN(IF(OR(ISBLANK(I12),I12=""),EOMONTH(DATE(EINSTELLUNG!$C$35,$A$1,1),0),I12)-MAX(D12,DATE(EINSTELLUNG!$C$35,$A$1,1))+1)/DAY(EOMONTH(DATE(EINSTELLUNG!$C$35,$A$1,1),0))*F12,2),"")</f>
        <v/>
      </c>
      <c r="I12" s="158"/>
      <c r="J12" s="165"/>
      <c r="K12" s="364" t="str">
        <f t="shared" si="0"/>
        <v/>
      </c>
      <c r="L12" s="366"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167"/>
      <c r="N12" s="168"/>
      <c r="O12" s="379" t="s">
        <v>64</v>
      </c>
      <c r="P12" s="380"/>
      <c r="Q12" s="199"/>
      <c r="R12" s="200"/>
      <c r="S12" s="361"/>
      <c r="T12" s="361"/>
      <c r="U12" s="361"/>
      <c r="V12" s="361"/>
    </row>
    <row r="13" spans="1:28" ht="21.95" customHeight="1" x14ac:dyDescent="0.35">
      <c r="A13" s="363" t="s">
        <v>65</v>
      </c>
      <c r="B13" s="181"/>
      <c r="C13" s="182"/>
      <c r="D13" s="183"/>
      <c r="E13" s="184"/>
      <c r="F13" s="190"/>
      <c r="G13" s="364" t="str">
        <f>IF(OR(E13="",F13=""),"",PID_KVLohnLookup($A$1,E13,F13,LOHNTABELLE!$H$4))</f>
        <v/>
      </c>
      <c r="H13" s="365" t="str">
        <f>IF(AND(ISNUMBER(D13),ISNUMBER(F13)),ROUNDDOWN(MIN(IF(OR(ISBLANK(I13),I13=""),EOMONTH(DATE(EINSTELLUNG!$C$35,$A$1,1),0),I13)-MAX(D13,DATE(EINSTELLUNG!$C$35,$A$1,1))+1)/DAY(EOMONTH(DATE(EINSTELLUNG!$C$35,$A$1,1),0))*F13,2),"")</f>
        <v/>
      </c>
      <c r="I13" s="186"/>
      <c r="J13" s="187"/>
      <c r="K13" s="364" t="str">
        <f t="shared" si="0"/>
        <v/>
      </c>
      <c r="L13" s="366"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188"/>
      <c r="N13" s="189"/>
      <c r="O13" s="379" t="s">
        <v>66</v>
      </c>
      <c r="P13" s="380"/>
      <c r="Q13" s="381">
        <f>Q8-Q9-Q10-Q11-Q12</f>
        <v>324.38</v>
      </c>
      <c r="R13" s="382"/>
      <c r="S13" s="361"/>
      <c r="T13" s="361"/>
      <c r="U13" s="361"/>
      <c r="V13" s="361"/>
    </row>
    <row r="14" spans="1:28" ht="21.95" customHeight="1" x14ac:dyDescent="0.35">
      <c r="A14" s="363" t="s">
        <v>67</v>
      </c>
      <c r="B14" s="152"/>
      <c r="C14" s="153"/>
      <c r="D14" s="154"/>
      <c r="E14" s="155"/>
      <c r="F14" s="156"/>
      <c r="G14" s="364" t="str">
        <f>IF(OR(E14="",F14=""),"",PID_KVLohnLookup($A$1,E14,F14,LOHNTABELLE!$H$4))</f>
        <v/>
      </c>
      <c r="H14" s="365" t="str">
        <f>IF(AND(ISNUMBER(D14),ISNUMBER(F14)),ROUNDDOWN(MIN(IF(OR(ISBLANK(I14),I14=""),EOMONTH(DATE(EINSTELLUNG!$C$35,$A$1,1),0),I14)-MAX(D14,DATE(EINSTELLUNG!$C$35,$A$1,1))+1)/DAY(EOMONTH(DATE(EINSTELLUNG!$C$35,$A$1,1),0))*F14,2),"")</f>
        <v/>
      </c>
      <c r="I14" s="158"/>
      <c r="J14" s="165"/>
      <c r="K14" s="364" t="str">
        <f t="shared" si="0"/>
        <v/>
      </c>
      <c r="L14" s="366"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167"/>
      <c r="N14" s="168"/>
      <c r="O14" s="379" t="s">
        <v>68</v>
      </c>
      <c r="P14" s="380"/>
      <c r="Q14" s="381">
        <f>EINSTELLUNG!L11</f>
        <v>0</v>
      </c>
      <c r="R14" s="382"/>
      <c r="S14" s="361"/>
      <c r="T14" s="361"/>
      <c r="U14" s="361"/>
      <c r="V14" s="361"/>
    </row>
    <row r="15" spans="1:28" ht="21.95" customHeight="1" x14ac:dyDescent="0.35">
      <c r="A15" s="363" t="s">
        <v>69</v>
      </c>
      <c r="B15" s="181"/>
      <c r="C15" s="182"/>
      <c r="D15" s="186"/>
      <c r="E15" s="184"/>
      <c r="F15" s="190"/>
      <c r="G15" s="364" t="str">
        <f>IF(OR(E15="",F15=""),"",PID_KVLohnLookup($A$1,E15,F15,LOHNTABELLE!$H$4))</f>
        <v/>
      </c>
      <c r="H15" s="365" t="str">
        <f>IF(AND(ISNUMBER(D15),ISNUMBER(F15)),ROUNDDOWN(MIN(IF(OR(ISBLANK(I15),I15=""),EOMONTH(DATE(EINSTELLUNG!$C$35,$A$1,1),0),I15)-MAX(D15,DATE(EINSTELLUNG!$C$35,$A$1,1))+1)/DAY(EOMONTH(DATE(EINSTELLUNG!$C$35,$A$1,1),0))*F15,2),"")</f>
        <v/>
      </c>
      <c r="I15" s="186"/>
      <c r="J15" s="187"/>
      <c r="K15" s="364" t="str">
        <f t="shared" si="0"/>
        <v/>
      </c>
      <c r="L15" s="366"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188"/>
      <c r="N15" s="189"/>
      <c r="O15" s="379" t="s">
        <v>70</v>
      </c>
      <c r="P15" s="380"/>
      <c r="Q15" s="381">
        <f>Q13-Q14</f>
        <v>324.38</v>
      </c>
      <c r="R15" s="382"/>
      <c r="S15" s="384"/>
      <c r="T15" s="384"/>
      <c r="U15" s="384"/>
      <c r="V15" s="361"/>
    </row>
    <row r="16" spans="1:28" ht="21.95" customHeight="1" thickBot="1" x14ac:dyDescent="0.4">
      <c r="A16" s="363" t="s">
        <v>71</v>
      </c>
      <c r="B16" s="152"/>
      <c r="C16" s="153"/>
      <c r="D16" s="154"/>
      <c r="E16" s="155"/>
      <c r="F16" s="156"/>
      <c r="G16" s="364" t="str">
        <f>IF(OR(E16="",F16=""),"",PID_KVLohnLookup($A$1,E16,F16,LOHNTABELLE!$H$4))</f>
        <v/>
      </c>
      <c r="H16" s="365" t="str">
        <f>IF(AND(ISNUMBER(D16),ISNUMBER(F16)),ROUNDDOWN(MIN(IF(OR(ISBLANK(I16),I16=""),EOMONTH(DATE(EINSTELLUNG!$C$35,$A$1,1),0),I16)-MAX(D16,DATE(EINSTELLUNG!$C$35,$A$1,1))+1)/DAY(EOMONTH(DATE(EINSTELLUNG!$C$35,$A$1,1),0))*F16,2),"")</f>
        <v/>
      </c>
      <c r="I16" s="158"/>
      <c r="J16" s="165"/>
      <c r="K16" s="364" t="str">
        <f t="shared" si="0"/>
        <v/>
      </c>
      <c r="L16" s="366"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167"/>
      <c r="N16" s="168"/>
      <c r="O16" s="385" t="str">
        <f>IF(Q15&lt;0, "Schlecht! Zu wenig Stunden für Dienstplan.", IF(Q15&gt;0, "Du hast mehr als genug Stunden für Dienstplan.", ""))</f>
        <v>Du hast mehr als genug Stunden für Dienstplan.</v>
      </c>
      <c r="P16" s="386"/>
      <c r="Q16" s="386"/>
      <c r="R16" s="387"/>
      <c r="S16" s="388"/>
      <c r="T16" s="388"/>
      <c r="U16" s="388"/>
      <c r="V16" s="388"/>
      <c r="W16" s="389"/>
    </row>
    <row r="17" spans="1:29" ht="21.95" customHeight="1" x14ac:dyDescent="0.35">
      <c r="A17" s="363" t="s">
        <v>72</v>
      </c>
      <c r="B17" s="181"/>
      <c r="C17" s="182"/>
      <c r="D17" s="186"/>
      <c r="E17" s="184"/>
      <c r="F17" s="190"/>
      <c r="G17" s="364" t="str">
        <f>IF(OR(E17="",F17=""),"",PID_KVLohnLookup($A$1,E17,F17,LOHNTABELLE!$H$4))</f>
        <v/>
      </c>
      <c r="H17" s="365" t="str">
        <f>IF(AND(ISNUMBER(D17),ISNUMBER(F17)),ROUNDDOWN(MIN(IF(OR(ISBLANK(I17),I17=""),EOMONTH(DATE(EINSTELLUNG!$C$35,$A$1,1),0),I17)-MAX(D17,DATE(EINSTELLUNG!$C$35,$A$1,1))+1)/DAY(EOMONTH(DATE(EINSTELLUNG!$C$35,$A$1,1),0))*F17,2),"")</f>
        <v/>
      </c>
      <c r="I17" s="186"/>
      <c r="J17" s="187"/>
      <c r="K17" s="364" t="str">
        <f t="shared" si="0"/>
        <v/>
      </c>
      <c r="L17" s="366"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188"/>
      <c r="N17" s="189"/>
      <c r="O17" s="375" t="s">
        <v>73</v>
      </c>
      <c r="P17" s="376"/>
      <c r="Q17" s="390">
        <f>SUM(L3:L82)</f>
        <v>3868.38</v>
      </c>
      <c r="R17" s="391"/>
      <c r="S17" s="361"/>
      <c r="T17" s="361"/>
      <c r="U17" s="361"/>
      <c r="V17" s="361"/>
      <c r="W17" s="389"/>
    </row>
    <row r="18" spans="1:29" ht="21.95" customHeight="1" x14ac:dyDescent="0.35">
      <c r="A18" s="363" t="s">
        <v>74</v>
      </c>
      <c r="B18" s="152"/>
      <c r="C18" s="153"/>
      <c r="D18" s="158"/>
      <c r="E18" s="155"/>
      <c r="F18" s="156"/>
      <c r="G18" s="364" t="str">
        <f>IF(OR(E18="",F18=""),"",PID_KVLohnLookup($A$1,E18,F18,LOHNTABELLE!$H$4))</f>
        <v/>
      </c>
      <c r="H18" s="365" t="str">
        <f>IF(AND(ISNUMBER(D18),ISNUMBER(F18)),ROUNDDOWN(MIN(IF(OR(ISBLANK(I18),I18=""),EOMONTH(DATE(EINSTELLUNG!$C$35,$A$1,1),0),I18)-MAX(D18,DATE(EINSTELLUNG!$C$35,$A$1,1))+1)/DAY(EOMONTH(DATE(EINSTELLUNG!$C$35,$A$1,1),0))*F18,2),"")</f>
        <v/>
      </c>
      <c r="I18" s="158"/>
      <c r="J18" s="165"/>
      <c r="K18" s="364" t="str">
        <f t="shared" si="0"/>
        <v/>
      </c>
      <c r="L18" s="366"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167"/>
      <c r="N18" s="168"/>
      <c r="O18" s="472"/>
      <c r="P18" s="196"/>
      <c r="Q18" s="197"/>
      <c r="R18" s="198"/>
      <c r="S18" s="361"/>
      <c r="T18" s="361"/>
      <c r="U18" s="361"/>
      <c r="V18" s="361"/>
    </row>
    <row r="19" spans="1:29" ht="21.95" customHeight="1" x14ac:dyDescent="0.35">
      <c r="A19" s="363" t="s">
        <v>75</v>
      </c>
      <c r="B19" s="181"/>
      <c r="C19" s="182"/>
      <c r="D19" s="186"/>
      <c r="E19" s="184"/>
      <c r="F19" s="190"/>
      <c r="G19" s="364" t="str">
        <f>IF(OR(E19="",F19=""),"",PID_KVLohnLookup($A$1,E19,F19,LOHNTABELLE!$H$4))</f>
        <v/>
      </c>
      <c r="H19" s="365" t="str">
        <f>IF(AND(ISNUMBER(D19),ISNUMBER(F19)),ROUNDDOWN(MIN(IF(OR(ISBLANK(I19),I19=""),EOMONTH(DATE(EINSTELLUNG!$C$35,$A$1,1),0),I19)-MAX(D19,DATE(EINSTELLUNG!$C$35,$A$1,1))+1)/DAY(EOMONTH(DATE(EINSTELLUNG!$C$35,$A$1,1),0))*F19,2),"")</f>
        <v/>
      </c>
      <c r="I19" s="186"/>
      <c r="J19" s="187"/>
      <c r="K19" s="364" t="str">
        <f t="shared" si="0"/>
        <v/>
      </c>
      <c r="L19" s="366"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188"/>
      <c r="N19" s="189"/>
      <c r="O19" s="472"/>
      <c r="P19" s="196"/>
      <c r="Q19" s="197"/>
      <c r="R19" s="198"/>
      <c r="S19" s="361"/>
      <c r="T19" s="361"/>
      <c r="U19" s="361"/>
      <c r="V19" s="361"/>
    </row>
    <row r="20" spans="1:29" ht="21.95" customHeight="1" x14ac:dyDescent="0.35">
      <c r="A20" s="363" t="s">
        <v>76</v>
      </c>
      <c r="B20" s="152"/>
      <c r="C20" s="153"/>
      <c r="D20" s="154"/>
      <c r="E20" s="155"/>
      <c r="F20" s="156"/>
      <c r="G20" s="364" t="str">
        <f>IF(OR(E20="",F20=""),"",PID_KVLohnLookup($A$1,E20,F20,LOHNTABELLE!$H$4))</f>
        <v/>
      </c>
      <c r="H20" s="365" t="str">
        <f>IF(AND(ISNUMBER(D20),ISNUMBER(F20)),ROUNDDOWN(MIN(IF(OR(ISBLANK(I20),I20=""),EOMONTH(DATE(EINSTELLUNG!$C$35,$A$1,1),0),I20)-MAX(D20,DATE(EINSTELLUNG!$C$35,$A$1,1))+1)/DAY(EOMONTH(DATE(EINSTELLUNG!$C$35,$A$1,1),0))*F20,2),"")</f>
        <v/>
      </c>
      <c r="I20" s="158"/>
      <c r="J20" s="165"/>
      <c r="K20" s="364" t="str">
        <f t="shared" si="0"/>
        <v/>
      </c>
      <c r="L20" s="366"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167"/>
      <c r="N20" s="168"/>
      <c r="O20" s="472"/>
      <c r="P20" s="196"/>
      <c r="Q20" s="197"/>
      <c r="R20" s="198"/>
      <c r="S20" s="361"/>
      <c r="T20" s="361"/>
      <c r="U20" s="361"/>
      <c r="V20" s="361"/>
    </row>
    <row r="21" spans="1:29" ht="21.95" customHeight="1" x14ac:dyDescent="0.35">
      <c r="A21" s="363" t="s">
        <v>77</v>
      </c>
      <c r="B21" s="181"/>
      <c r="C21" s="182"/>
      <c r="D21" s="186"/>
      <c r="E21" s="184"/>
      <c r="F21" s="190"/>
      <c r="G21" s="364" t="str">
        <f>IF(OR(E21="",F21=""),"",PID_KVLohnLookup($A$1,E21,F21,LOHNTABELLE!$H$4))</f>
        <v/>
      </c>
      <c r="H21" s="365" t="str">
        <f>IF(AND(ISNUMBER(D21),ISNUMBER(F21)),ROUNDDOWN(MIN(IF(OR(ISBLANK(I21),I21=""),EOMONTH(DATE(EINSTELLUNG!$C$35,$A$1,1),0),I21)-MAX(D21,DATE(EINSTELLUNG!$C$35,$A$1,1))+1)/DAY(EOMONTH(DATE(EINSTELLUNG!$C$35,$A$1,1),0))*F21,2),"")</f>
        <v/>
      </c>
      <c r="I21" s="186"/>
      <c r="J21" s="187"/>
      <c r="K21" s="364" t="str">
        <f t="shared" si="0"/>
        <v/>
      </c>
      <c r="L21" s="366"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188"/>
      <c r="N21" s="189"/>
      <c r="O21" s="472"/>
      <c r="P21" s="196"/>
      <c r="Q21" s="197"/>
      <c r="R21" s="198"/>
      <c r="S21" s="361"/>
      <c r="T21" s="361"/>
      <c r="U21" s="361"/>
      <c r="V21" s="361"/>
    </row>
    <row r="22" spans="1:29" ht="21.95" customHeight="1" x14ac:dyDescent="0.35">
      <c r="A22" s="363" t="s">
        <v>78</v>
      </c>
      <c r="B22" s="152"/>
      <c r="C22" s="153"/>
      <c r="D22" s="154"/>
      <c r="E22" s="155"/>
      <c r="F22" s="156"/>
      <c r="G22" s="364" t="str">
        <f>IF(OR(E22="",F22=""),"",PID_KVLohnLookup($A$1,E22,F22,LOHNTABELLE!$H$4))</f>
        <v/>
      </c>
      <c r="H22" s="365" t="str">
        <f>IF(AND(ISNUMBER(D22),ISNUMBER(F22)),ROUNDDOWN(MIN(IF(OR(ISBLANK(I22),I22=""),EOMONTH(DATE(EINSTELLUNG!$C$35,$A$1,1),0),I22)-MAX(D22,DATE(EINSTELLUNG!$C$35,$A$1,1))+1)/DAY(EOMONTH(DATE(EINSTELLUNG!$C$35,$A$1,1),0))*F22,2),"")</f>
        <v/>
      </c>
      <c r="I22" s="158"/>
      <c r="J22" s="165"/>
      <c r="K22" s="364" t="str">
        <f t="shared" si="0"/>
        <v/>
      </c>
      <c r="L22" s="366"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167"/>
      <c r="N22" s="168"/>
      <c r="O22" s="472"/>
      <c r="P22" s="196"/>
      <c r="Q22" s="197"/>
      <c r="R22" s="198"/>
      <c r="S22" s="361"/>
      <c r="T22" s="361"/>
      <c r="U22" s="361"/>
      <c r="V22" s="361"/>
    </row>
    <row r="23" spans="1:29" ht="21.95" customHeight="1" x14ac:dyDescent="0.35">
      <c r="A23" s="363" t="s">
        <v>79</v>
      </c>
      <c r="B23" s="181"/>
      <c r="C23" s="182"/>
      <c r="D23" s="183"/>
      <c r="E23" s="184"/>
      <c r="F23" s="190"/>
      <c r="G23" s="364" t="str">
        <f>IF(OR(E23="",F23=""),"",PID_KVLohnLookup($A$1,E23,F23,LOHNTABELLE!$H$4))</f>
        <v/>
      </c>
      <c r="H23" s="365" t="str">
        <f>IF(AND(ISNUMBER(D23),ISNUMBER(F23)),ROUNDDOWN(MIN(IF(OR(ISBLANK(I23),I23=""),EOMONTH(DATE(EINSTELLUNG!$C$35,$A$1,1),0),I23)-MAX(D23,DATE(EINSTELLUNG!$C$35,$A$1,1))+1)/DAY(EOMONTH(DATE(EINSTELLUNG!$C$35,$A$1,1),0))*F23,2),"")</f>
        <v/>
      </c>
      <c r="I23" s="186"/>
      <c r="J23" s="187"/>
      <c r="K23" s="364" t="str">
        <f t="shared" si="0"/>
        <v/>
      </c>
      <c r="L23" s="366"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188"/>
      <c r="N23" s="189"/>
      <c r="O23" s="472"/>
      <c r="P23" s="196"/>
      <c r="Q23" s="197"/>
      <c r="R23" s="198"/>
      <c r="S23" s="361"/>
      <c r="T23" s="361"/>
      <c r="U23" s="361"/>
      <c r="V23" s="361"/>
      <c r="W23" s="389"/>
    </row>
    <row r="24" spans="1:29" ht="21.95" customHeight="1" x14ac:dyDescent="0.35">
      <c r="A24" s="363" t="s">
        <v>80</v>
      </c>
      <c r="B24" s="152"/>
      <c r="C24" s="153"/>
      <c r="D24" s="154"/>
      <c r="E24" s="155"/>
      <c r="F24" s="156"/>
      <c r="G24" s="364" t="str">
        <f>IF(OR(E24="",F24=""),"",PID_KVLohnLookup($A$1,E24,F24,LOHNTABELLE!$H$4))</f>
        <v/>
      </c>
      <c r="H24" s="365" t="str">
        <f>IF(AND(ISNUMBER(D24),ISNUMBER(F24)),ROUNDDOWN(MIN(IF(OR(ISBLANK(I24),I24=""),EOMONTH(DATE(EINSTELLUNG!$C$35,$A$1,1),0),I24)-MAX(D24,DATE(EINSTELLUNG!$C$35,$A$1,1))+1)/DAY(EOMONTH(DATE(EINSTELLUNG!$C$35,$A$1,1),0))*F24,2),"")</f>
        <v/>
      </c>
      <c r="I24" s="158"/>
      <c r="J24" s="165"/>
      <c r="K24" s="364" t="str">
        <f t="shared" si="0"/>
        <v/>
      </c>
      <c r="L24" s="366"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167"/>
      <c r="N24" s="168"/>
      <c r="O24" s="472"/>
      <c r="P24" s="196"/>
      <c r="Q24" s="197"/>
      <c r="R24" s="198"/>
      <c r="S24" s="361"/>
      <c r="T24" s="361"/>
      <c r="U24" s="361"/>
      <c r="V24" s="361"/>
      <c r="W24" s="389"/>
    </row>
    <row r="25" spans="1:29" ht="21.95" customHeight="1" x14ac:dyDescent="0.35">
      <c r="A25" s="363" t="s">
        <v>81</v>
      </c>
      <c r="B25" s="181"/>
      <c r="C25" s="182"/>
      <c r="D25" s="183"/>
      <c r="E25" s="184"/>
      <c r="F25" s="190"/>
      <c r="G25" s="364" t="str">
        <f>IF(OR(E25="",F25=""),"",PID_KVLohnLookup($A$1,E25,F25,LOHNTABELLE!$H$4))</f>
        <v/>
      </c>
      <c r="H25" s="365" t="str">
        <f>IF(AND(ISNUMBER(D25),ISNUMBER(F25)),ROUNDDOWN(MIN(IF(OR(ISBLANK(I25),I25=""),EOMONTH(DATE(EINSTELLUNG!$C$35,$A$1,1),0),I25)-MAX(D25,DATE(EINSTELLUNG!$C$35,$A$1,1))+1)/DAY(EOMONTH(DATE(EINSTELLUNG!$C$35,$A$1,1),0))*F25,2),"")</f>
        <v/>
      </c>
      <c r="I25" s="186"/>
      <c r="J25" s="187"/>
      <c r="K25" s="364" t="str">
        <f t="shared" si="0"/>
        <v/>
      </c>
      <c r="L25" s="366"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188"/>
      <c r="N25" s="189"/>
      <c r="O25" s="472"/>
      <c r="P25" s="196"/>
      <c r="Q25" s="197"/>
      <c r="R25" s="198"/>
      <c r="S25" s="361"/>
      <c r="T25" s="361"/>
      <c r="U25" s="361"/>
      <c r="V25" s="361"/>
    </row>
    <row r="26" spans="1:29" ht="21.95" customHeight="1" x14ac:dyDescent="0.35">
      <c r="A26" s="363" t="s">
        <v>82</v>
      </c>
      <c r="B26" s="152"/>
      <c r="C26" s="153"/>
      <c r="D26" s="154"/>
      <c r="E26" s="155"/>
      <c r="F26" s="156"/>
      <c r="G26" s="364" t="str">
        <f>IF(OR(E26="",F26=""),"",PID_KVLohnLookup($A$1,E26,F26,LOHNTABELLE!$H$4))</f>
        <v/>
      </c>
      <c r="H26" s="365" t="str">
        <f>IF(AND(ISNUMBER(D26),ISNUMBER(F26)),ROUNDDOWN(MIN(IF(OR(ISBLANK(I26),I26=""),EOMONTH(DATE(EINSTELLUNG!$C$35,$A$1,1),0),I26)-MAX(D26,DATE(EINSTELLUNG!$C$35,$A$1,1))+1)/DAY(EOMONTH(DATE(EINSTELLUNG!$C$35,$A$1,1),0))*F26,2),"")</f>
        <v/>
      </c>
      <c r="I26" s="158"/>
      <c r="J26" s="165"/>
      <c r="K26" s="364" t="str">
        <f t="shared" si="0"/>
        <v/>
      </c>
      <c r="L26" s="366"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167"/>
      <c r="N26" s="168"/>
      <c r="O26" s="195"/>
      <c r="P26" s="196"/>
      <c r="Q26" s="197"/>
      <c r="R26" s="198"/>
      <c r="S26" s="361"/>
      <c r="T26" s="361"/>
      <c r="U26" s="361"/>
      <c r="V26" s="361"/>
    </row>
    <row r="27" spans="1:29" ht="21.95" customHeight="1" x14ac:dyDescent="0.35">
      <c r="A27" s="363" t="s">
        <v>83</v>
      </c>
      <c r="B27" s="181"/>
      <c r="C27" s="182"/>
      <c r="D27" s="183"/>
      <c r="E27" s="184"/>
      <c r="F27" s="190"/>
      <c r="G27" s="364" t="str">
        <f>IF(OR(E27="",F27=""),"",PID_KVLohnLookup($A$1,E27,F27,LOHNTABELLE!$H$4))</f>
        <v/>
      </c>
      <c r="H27" s="365" t="str">
        <f>IF(AND(ISNUMBER(D27),ISNUMBER(F27)),ROUNDDOWN(MIN(IF(OR(ISBLANK(I27),I27=""),EOMONTH(DATE(EINSTELLUNG!$C$35,$A$1,1),0),I27)-MAX(D27,DATE(EINSTELLUNG!$C$35,$A$1,1))+1)/DAY(EOMONTH(DATE(EINSTELLUNG!$C$35,$A$1,1),0))*F27,2),"")</f>
        <v/>
      </c>
      <c r="I27" s="186"/>
      <c r="J27" s="187"/>
      <c r="K27" s="364" t="str">
        <f t="shared" si="0"/>
        <v/>
      </c>
      <c r="L27" s="366"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188"/>
      <c r="N27" s="189"/>
      <c r="O27" s="195"/>
      <c r="P27" s="196"/>
      <c r="Q27" s="197"/>
      <c r="R27" s="198"/>
      <c r="S27" s="392" t="s">
        <v>84</v>
      </c>
      <c r="T27" s="392"/>
      <c r="U27" s="392"/>
      <c r="V27" s="392"/>
    </row>
    <row r="28" spans="1:29" ht="21.95" customHeight="1" x14ac:dyDescent="0.35">
      <c r="A28" s="363" t="s">
        <v>85</v>
      </c>
      <c r="B28" s="152"/>
      <c r="C28" s="153"/>
      <c r="D28" s="154"/>
      <c r="E28" s="155"/>
      <c r="F28" s="156"/>
      <c r="G28" s="364" t="str">
        <f>IF(OR(E28="",F28=""),"",PID_KVLohnLookup($A$1,E28,F28,LOHNTABELLE!$H$4))</f>
        <v/>
      </c>
      <c r="H28" s="365" t="str">
        <f>IF(AND(ISNUMBER(D28),ISNUMBER(F28)),ROUNDDOWN(MIN(IF(OR(ISBLANK(I28),I28=""),EOMONTH(DATE(EINSTELLUNG!$C$35,$A$1,1),0),I28)-MAX(D28,DATE(EINSTELLUNG!$C$35,$A$1,1))+1)/DAY(EOMONTH(DATE(EINSTELLUNG!$C$35,$A$1,1),0))*F28,2),"")</f>
        <v/>
      </c>
      <c r="I28" s="158"/>
      <c r="J28" s="165"/>
      <c r="K28" s="364" t="str">
        <f t="shared" si="0"/>
        <v/>
      </c>
      <c r="L28" s="366"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167"/>
      <c r="N28" s="168"/>
      <c r="O28" s="195"/>
      <c r="P28" s="196"/>
      <c r="Q28" s="197"/>
      <c r="R28" s="198"/>
      <c r="S28" s="361"/>
      <c r="T28" s="361"/>
      <c r="U28" s="361"/>
      <c r="V28" s="361"/>
    </row>
    <row r="29" spans="1:29" ht="21.95" customHeight="1" thickBot="1" x14ac:dyDescent="0.4">
      <c r="A29" s="363" t="s">
        <v>86</v>
      </c>
      <c r="B29" s="181"/>
      <c r="C29" s="182"/>
      <c r="D29" s="183"/>
      <c r="E29" s="184"/>
      <c r="F29" s="190"/>
      <c r="G29" s="364" t="str">
        <f>IF(OR(E29="",F29=""),"",PID_KVLohnLookup($A$1,E29,F29,LOHNTABELLE!$H$4))</f>
        <v/>
      </c>
      <c r="H29" s="365" t="str">
        <f>IF(AND(ISNUMBER(D29),ISNUMBER(F29)),ROUNDDOWN(MIN(IF(OR(ISBLANK(I29),I29=""),EOMONTH(DATE(EINSTELLUNG!$C$35,$A$1,1),0),I29)-MAX(D29,DATE(EINSTELLUNG!$C$35,$A$1,1))+1)/DAY(EOMONTH(DATE(EINSTELLUNG!$C$35,$A$1,1),0))*F29,2),"")</f>
        <v/>
      </c>
      <c r="I29" s="186"/>
      <c r="J29" s="187"/>
      <c r="K29" s="364" t="str">
        <f t="shared" si="0"/>
        <v/>
      </c>
      <c r="L29" s="366"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188"/>
      <c r="N29" s="189"/>
      <c r="O29" s="393" t="s">
        <v>87</v>
      </c>
      <c r="P29" s="394"/>
      <c r="Q29" s="395">
        <f>EINSTELLUNG!O11</f>
        <v>0</v>
      </c>
      <c r="R29" s="396"/>
      <c r="S29" s="361"/>
      <c r="T29" s="361"/>
      <c r="U29" s="361"/>
      <c r="V29" s="361"/>
    </row>
    <row r="30" spans="1:29" ht="21.95" customHeight="1" thickBot="1" x14ac:dyDescent="0.4">
      <c r="A30" s="363" t="s">
        <v>88</v>
      </c>
      <c r="B30" s="152"/>
      <c r="C30" s="153"/>
      <c r="D30" s="154"/>
      <c r="E30" s="155"/>
      <c r="F30" s="156"/>
      <c r="G30" s="364" t="str">
        <f>IF(OR(E30="",F30=""),"",PID_KVLohnLookup($A$1,E30,F30,LOHNTABELLE!$H$4))</f>
        <v/>
      </c>
      <c r="H30" s="365" t="str">
        <f>IF(AND(ISNUMBER(D30),ISNUMBER(F30)),ROUNDDOWN(MIN(IF(OR(ISBLANK(I30),I30=""),EOMONTH(DATE(EINSTELLUNG!$C$35,$A$1,1),0),I30)-MAX(D30,DATE(EINSTELLUNG!$C$35,$A$1,1))+1)/DAY(EOMONTH(DATE(EINSTELLUNG!$C$35,$A$1,1),0))*F30,2),"")</f>
        <v/>
      </c>
      <c r="I30" s="158"/>
      <c r="J30" s="165"/>
      <c r="K30" s="364" t="str">
        <f t="shared" si="0"/>
        <v/>
      </c>
      <c r="L30" s="366"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167"/>
      <c r="N30" s="168"/>
      <c r="O30" s="361"/>
      <c r="P30" s="361"/>
      <c r="Q30" s="361"/>
      <c r="R30" s="361"/>
      <c r="S30" s="361"/>
      <c r="T30" s="361"/>
      <c r="U30" s="361"/>
      <c r="V30" s="361"/>
      <c r="W30" s="397"/>
      <c r="X30" s="397"/>
      <c r="Y30" s="397"/>
      <c r="Z30" s="397"/>
      <c r="AA30" s="397"/>
      <c r="AB30" s="397"/>
      <c r="AC30" s="397"/>
    </row>
    <row r="31" spans="1:29" ht="21.95" customHeight="1" thickBot="1" x14ac:dyDescent="0.4">
      <c r="A31" s="363" t="s">
        <v>89</v>
      </c>
      <c r="B31" s="181"/>
      <c r="C31" s="182"/>
      <c r="D31" s="183"/>
      <c r="E31" s="184"/>
      <c r="F31" s="190"/>
      <c r="G31" s="364" t="str">
        <f>IF(OR(E31="",F31=""),"",PID_KVLohnLookup($A$1,E31,F31,LOHNTABELLE!$H$4))</f>
        <v/>
      </c>
      <c r="H31" s="365" t="str">
        <f>IF(AND(ISNUMBER(D31),ISNUMBER(F31)),ROUNDDOWN(MIN(IF(OR(ISBLANK(I31),I31=""),EOMONTH(DATE(EINSTELLUNG!$C$35,$A$1,1),0),I31)-MAX(D31,DATE(EINSTELLUNG!$C$35,$A$1,1))+1)/DAY(EOMONTH(DATE(EINSTELLUNG!$C$35,$A$1,1),0))*F31,2),"")</f>
        <v/>
      </c>
      <c r="I31" s="186"/>
      <c r="J31" s="187"/>
      <c r="K31" s="364" t="str">
        <f t="shared" si="0"/>
        <v/>
      </c>
      <c r="L31" s="366"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188"/>
      <c r="N31" s="189"/>
      <c r="O31" s="398" t="s">
        <v>321</v>
      </c>
      <c r="P31" s="399"/>
      <c r="Q31" s="400">
        <v>0</v>
      </c>
      <c r="R31" s="401"/>
      <c r="S31" s="361"/>
      <c r="T31" s="361"/>
      <c r="U31" s="361"/>
      <c r="V31" s="361"/>
    </row>
    <row r="32" spans="1:29" ht="21.95" customHeight="1" thickBot="1" x14ac:dyDescent="0.4">
      <c r="A32" s="363" t="s">
        <v>91</v>
      </c>
      <c r="B32" s="152"/>
      <c r="C32" s="153"/>
      <c r="D32" s="154"/>
      <c r="E32" s="155"/>
      <c r="F32" s="156"/>
      <c r="G32" s="364" t="str">
        <f>IF(OR(E32="",F32=""),"",PID_KVLohnLookup($A$1,E32,F32,LOHNTABELLE!$H$4))</f>
        <v/>
      </c>
      <c r="H32" s="365" t="str">
        <f>IF(AND(ISNUMBER(D32),ISNUMBER(F32)),ROUNDDOWN(MIN(IF(OR(ISBLANK(I32),I32=""),EOMONTH(DATE(EINSTELLUNG!$C$35,$A$1,1),0),I32)-MAX(D32,DATE(EINSTELLUNG!$C$35,$A$1,1))+1)/DAY(EOMONTH(DATE(EINSTELLUNG!$C$35,$A$1,1),0))*F32,2),"")</f>
        <v/>
      </c>
      <c r="I32" s="158"/>
      <c r="J32" s="165"/>
      <c r="K32" s="364" t="str">
        <f t="shared" si="0"/>
        <v/>
      </c>
      <c r="L32" s="366"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167"/>
      <c r="N32" s="168"/>
      <c r="O32" s="361"/>
      <c r="P32" s="361"/>
      <c r="Q32" s="361"/>
      <c r="R32" s="361"/>
      <c r="S32" s="361"/>
      <c r="T32" s="361"/>
      <c r="U32" s="361"/>
      <c r="V32" s="361"/>
    </row>
    <row r="33" spans="1:22" ht="21.95" customHeight="1" x14ac:dyDescent="0.35">
      <c r="A33" s="363" t="s">
        <v>92</v>
      </c>
      <c r="B33" s="181"/>
      <c r="C33" s="182"/>
      <c r="D33" s="183"/>
      <c r="E33" s="184"/>
      <c r="F33" s="190"/>
      <c r="G33" s="364" t="str">
        <f>IF(OR(E33="",F33=""),"",PID_KVLohnLookup($A$1,E33,F33,LOHNTABELLE!$H$4))</f>
        <v/>
      </c>
      <c r="H33" s="365" t="str">
        <f>IF(AND(ISNUMBER(D33),ISNUMBER(F33)),ROUNDDOWN(MIN(IF(OR(ISBLANK(I33),I33=""),EOMONTH(DATE(EINSTELLUNG!$C$35,$A$1,1),0),I33)-MAX(D33,DATE(EINSTELLUNG!$C$35,$A$1,1))+1)/DAY(EOMONTH(DATE(EINSTELLUNG!$C$35,$A$1,1),0))*F33,2),"")</f>
        <v/>
      </c>
      <c r="I33" s="186"/>
      <c r="J33" s="187"/>
      <c r="K33" s="364" t="str">
        <f t="shared" si="0"/>
        <v/>
      </c>
      <c r="L33" s="366"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188"/>
      <c r="N33" s="189"/>
      <c r="O33" s="402"/>
      <c r="P33" s="403"/>
      <c r="Q33" s="346" t="str">
        <f>EINSTELLUNG!B3</f>
        <v>Budget</v>
      </c>
      <c r="R33" s="346"/>
      <c r="S33" s="346" t="str">
        <f>EINSTELLUNG!B19</f>
        <v>Projection/Aktuell Zahlen</v>
      </c>
      <c r="T33" s="346"/>
      <c r="U33" s="346" t="s">
        <v>95</v>
      </c>
      <c r="V33" s="347"/>
    </row>
    <row r="34" spans="1:22" ht="21.95" customHeight="1" x14ac:dyDescent="0.35">
      <c r="A34" s="363" t="s">
        <v>96</v>
      </c>
      <c r="B34" s="152"/>
      <c r="C34" s="153"/>
      <c r="D34" s="154"/>
      <c r="E34" s="155"/>
      <c r="F34" s="156"/>
      <c r="G34" s="364" t="str">
        <f>IF(OR(E34="",F34=""),"",PID_KVLohnLookup($A$1,E34,F34,LOHNTABELLE!$H$4))</f>
        <v/>
      </c>
      <c r="H34" s="365" t="str">
        <f>IF(AND(ISNUMBER(D34),ISNUMBER(F34)),ROUNDDOWN(MIN(IF(OR(ISBLANK(I34),I34=""),EOMONTH(DATE(EINSTELLUNG!$C$35,$A$1,1),0),I34)-MAX(D34,DATE(EINSTELLUNG!$C$35,$A$1,1))+1)/DAY(EOMONTH(DATE(EINSTELLUNG!$C$35,$A$1,1),0))*F34,2),"")</f>
        <v/>
      </c>
      <c r="I34" s="158"/>
      <c r="J34" s="165"/>
      <c r="K34" s="364" t="str">
        <f t="shared" si="0"/>
        <v/>
      </c>
      <c r="L34" s="366"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167"/>
      <c r="N34" s="168"/>
      <c r="O34" s="404"/>
      <c r="P34" s="405"/>
      <c r="Q34" s="406"/>
      <c r="R34" s="406"/>
      <c r="S34" s="406"/>
      <c r="T34" s="406"/>
      <c r="U34" s="406"/>
      <c r="V34" s="407"/>
    </row>
    <row r="35" spans="1:22" ht="21.95" customHeight="1" x14ac:dyDescent="0.35">
      <c r="A35" s="363" t="s">
        <v>97</v>
      </c>
      <c r="B35" s="181"/>
      <c r="C35" s="182"/>
      <c r="D35" s="183"/>
      <c r="E35" s="184"/>
      <c r="F35" s="190"/>
      <c r="G35" s="364" t="str">
        <f>IF(OR(E35="",F35=""),"",PID_KVLohnLookup($A$1,E35,F35,LOHNTABELLE!$H$4))</f>
        <v/>
      </c>
      <c r="H35" s="365" t="str">
        <f>IF(AND(ISNUMBER(D35),ISNUMBER(F35)),ROUNDDOWN(MIN(IF(OR(ISBLANK(I35),I35=""),EOMONTH(DATE(EINSTELLUNG!$C$35,$A$1,1),0),I35)-MAX(D35,DATE(EINSTELLUNG!$C$35,$A$1,1))+1)/DAY(EOMONTH(DATE(EINSTELLUNG!$C$35,$A$1,1),0))*F35,2),"")</f>
        <v/>
      </c>
      <c r="I35" s="186"/>
      <c r="J35" s="187"/>
      <c r="K35" s="364" t="str">
        <f t="shared" ref="K35:K66" si="1">IF(OR(B35="",C35=""),"",IFERROR(IF(OR(MONTH(D35)=1,MONTH(D35)=3,MONTH(D35)=5,MONTH(D35)=7,MONTH(D35)=8,MONTH(D35)=10,MONTH(D35)=12),(G35/31)*J35,IF(OR(MONTH(D35)=4,MONTH(D35)=6,MONTH(D35)=9,MONTH(D35)=11),(G35/30)*J35,(G35/DAY(EOMONTH(D35,0)))*J35)),0))</f>
        <v/>
      </c>
      <c r="L35" s="366"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188"/>
      <c r="N35" s="189"/>
      <c r="O35" s="379" t="s">
        <v>98</v>
      </c>
      <c r="P35" s="380"/>
      <c r="Q35" s="408">
        <f>EINSTELLUNG!C11</f>
        <v>0</v>
      </c>
      <c r="R35" s="408"/>
      <c r="S35" s="408">
        <f>EINSTELLUNG!C27</f>
        <v>0</v>
      </c>
      <c r="T35" s="408"/>
      <c r="U35" s="408">
        <f>S35-Q35</f>
        <v>0</v>
      </c>
      <c r="V35" s="409"/>
    </row>
    <row r="36" spans="1:22" ht="21.95" customHeight="1" x14ac:dyDescent="0.35">
      <c r="A36" s="363" t="s">
        <v>99</v>
      </c>
      <c r="B36" s="152"/>
      <c r="C36" s="153"/>
      <c r="D36" s="158"/>
      <c r="E36" s="155"/>
      <c r="F36" s="156"/>
      <c r="G36" s="364" t="str">
        <f>IF(OR(E36="",F36=""),"",PID_KVLohnLookup($A$1,E36,F36,LOHNTABELLE!$H$4))</f>
        <v/>
      </c>
      <c r="H36" s="365" t="str">
        <f>IF(AND(ISNUMBER(D36),ISNUMBER(F36)),ROUNDDOWN(MIN(IF(OR(ISBLANK(I36),I36=""),EOMONTH(DATE(EINSTELLUNG!$C$35,$A$1,1),0),I36)-MAX(D36,DATE(EINSTELLUNG!$C$35,$A$1,1))+1)/DAY(EOMONTH(DATE(EINSTELLUNG!$C$35,$A$1,1),0))*F36,2),"")</f>
        <v/>
      </c>
      <c r="I36" s="158"/>
      <c r="J36" s="165"/>
      <c r="K36" s="364" t="str">
        <f t="shared" si="1"/>
        <v/>
      </c>
      <c r="L36" s="366"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167"/>
      <c r="N36" s="168"/>
      <c r="O36" s="379" t="s">
        <v>100</v>
      </c>
      <c r="P36" s="380"/>
      <c r="Q36" s="408">
        <f>EINSTELLUNG!D11</f>
        <v>0</v>
      </c>
      <c r="R36" s="408"/>
      <c r="S36" s="408">
        <f ca="1">SumMergedCells(Q17:R29)</f>
        <v>3868.38</v>
      </c>
      <c r="T36" s="408"/>
      <c r="U36" s="408">
        <f t="shared" ref="U36:U41" ca="1" si="2">S36-Q36</f>
        <v>3868.38</v>
      </c>
      <c r="V36" s="409"/>
    </row>
    <row r="37" spans="1:22" ht="21.95" customHeight="1" x14ac:dyDescent="0.35">
      <c r="A37" s="363" t="s">
        <v>101</v>
      </c>
      <c r="B37" s="181"/>
      <c r="C37" s="182"/>
      <c r="D37" s="183"/>
      <c r="E37" s="184"/>
      <c r="F37" s="190"/>
      <c r="G37" s="364" t="str">
        <f>IF(OR(E37="",F37=""),"",PID_KVLohnLookup($A$1,E37,F37,LOHNTABELLE!$H$4))</f>
        <v/>
      </c>
      <c r="H37" s="365" t="str">
        <f>IF(AND(ISNUMBER(D37),ISNUMBER(F37)),ROUNDDOWN(MIN(IF(OR(ISBLANK(I37),I37=""),EOMONTH(DATE(EINSTELLUNG!$C$35,$A$1,1),0),I37)-MAX(D37,DATE(EINSTELLUNG!$C$35,$A$1,1))+1)/DAY(EOMONTH(DATE(EINSTELLUNG!$C$35,$A$1,1),0))*F37,2),"")</f>
        <v/>
      </c>
      <c r="I37" s="186"/>
      <c r="J37" s="187"/>
      <c r="K37" s="364" t="str">
        <f t="shared" si="1"/>
        <v/>
      </c>
      <c r="L37" s="366"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188"/>
      <c r="N37" s="189"/>
      <c r="O37" s="379" t="s">
        <v>102</v>
      </c>
      <c r="P37" s="380"/>
      <c r="Q37" s="410">
        <f>IF(ISERROR(Q36/Q35), 0, Q36/Q35)</f>
        <v>0</v>
      </c>
      <c r="R37" s="410"/>
      <c r="S37" s="410">
        <f ca="1">IF(ISERROR(S36/S35), 0, S36/S35)</f>
        <v>0</v>
      </c>
      <c r="T37" s="410"/>
      <c r="U37" s="410">
        <f t="shared" ca="1" si="2"/>
        <v>0</v>
      </c>
      <c r="V37" s="411"/>
    </row>
    <row r="38" spans="1:22" ht="21.95" customHeight="1" x14ac:dyDescent="0.35">
      <c r="A38" s="363" t="s">
        <v>103</v>
      </c>
      <c r="B38" s="152"/>
      <c r="C38" s="153"/>
      <c r="D38" s="154"/>
      <c r="E38" s="155"/>
      <c r="F38" s="156"/>
      <c r="G38" s="364" t="str">
        <f>IF(OR(E38="",F38=""),"",PID_KVLohnLookup($A$1,E38,F38,LOHNTABELLE!$H$4))</f>
        <v/>
      </c>
      <c r="H38" s="365" t="str">
        <f>IF(AND(ISNUMBER(D38),ISNUMBER(F38)),ROUNDDOWN(MIN(IF(OR(ISBLANK(I38),I38=""),EOMONTH(DATE(EINSTELLUNG!$C$35,$A$1,1),0),I38)-MAX(D38,DATE(EINSTELLUNG!$C$35,$A$1,1))+1)/DAY(EOMONTH(DATE(EINSTELLUNG!$C$35,$A$1,1),0))*F38,2),"")</f>
        <v/>
      </c>
      <c r="I38" s="158"/>
      <c r="J38" s="165"/>
      <c r="K38" s="364" t="str">
        <f t="shared" si="1"/>
        <v/>
      </c>
      <c r="L38" s="366"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167"/>
      <c r="N38" s="168"/>
      <c r="O38" s="379" t="s">
        <v>104</v>
      </c>
      <c r="P38" s="380"/>
      <c r="Q38" s="381">
        <f>EINSTELLUNG!F11</f>
        <v>0</v>
      </c>
      <c r="R38" s="381"/>
      <c r="S38" s="381">
        <f>EINSTELLUNG!F27</f>
        <v>0</v>
      </c>
      <c r="T38" s="381"/>
      <c r="U38" s="381">
        <f t="shared" si="2"/>
        <v>0</v>
      </c>
      <c r="V38" s="382"/>
    </row>
    <row r="39" spans="1:22" ht="21.95" customHeight="1" x14ac:dyDescent="0.35">
      <c r="A39" s="363" t="s">
        <v>105</v>
      </c>
      <c r="B39" s="181"/>
      <c r="C39" s="182"/>
      <c r="D39" s="183"/>
      <c r="E39" s="184"/>
      <c r="F39" s="190"/>
      <c r="G39" s="364" t="str">
        <f>IF(OR(E39="",F39=""),"",PID_KVLohnLookup($A$1,E39,F39,LOHNTABELLE!$H$4))</f>
        <v/>
      </c>
      <c r="H39" s="365" t="str">
        <f>IF(AND(ISNUMBER(D39),ISNUMBER(F39)),ROUNDDOWN(MIN(IF(OR(ISBLANK(I39),I39=""),EOMONTH(DATE(EINSTELLUNG!$C$35,$A$1,1),0),I39)-MAX(D39,DATE(EINSTELLUNG!$C$35,$A$1,1))+1)/DAY(EOMONTH(DATE(EINSTELLUNG!$C$35,$A$1,1),0))*F39,2),"")</f>
        <v/>
      </c>
      <c r="I39" s="186"/>
      <c r="J39" s="187"/>
      <c r="K39" s="364" t="str">
        <f t="shared" si="1"/>
        <v/>
      </c>
      <c r="L39" s="366"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188"/>
      <c r="N39" s="189"/>
      <c r="O39" s="379" t="s">
        <v>106</v>
      </c>
      <c r="P39" s="380"/>
      <c r="Q39" s="408">
        <f>IF(Q38=0, 0, Q35/Q38)</f>
        <v>0</v>
      </c>
      <c r="R39" s="408"/>
      <c r="S39" s="408">
        <f>IF(S38=0, 0, S35/S38)</f>
        <v>0</v>
      </c>
      <c r="T39" s="408"/>
      <c r="U39" s="408">
        <f t="shared" si="2"/>
        <v>0</v>
      </c>
      <c r="V39" s="409"/>
    </row>
    <row r="40" spans="1:22" ht="21.95" customHeight="1" x14ac:dyDescent="0.35">
      <c r="A40" s="363" t="s">
        <v>107</v>
      </c>
      <c r="B40" s="152"/>
      <c r="C40" s="153"/>
      <c r="D40" s="154"/>
      <c r="E40" s="155"/>
      <c r="F40" s="156"/>
      <c r="G40" s="364" t="str">
        <f>IF(OR(E40="",F40=""),"",PID_KVLohnLookup($A$1,E40,F40,LOHNTABELLE!$H$4))</f>
        <v/>
      </c>
      <c r="H40" s="365" t="str">
        <f>IF(AND(ISNUMBER(D40),ISNUMBER(F40)),ROUNDDOWN(MIN(IF(OR(ISBLANK(I40),I40=""),EOMONTH(DATE(EINSTELLUNG!$C$35,$A$1,1),0),I40)-MAX(D40,DATE(EINSTELLUNG!$C$35,$A$1,1))+1)/DAY(EOMONTH(DATE(EINSTELLUNG!$C$35,$A$1,1),0))*F40,2),"")</f>
        <v/>
      </c>
      <c r="I40" s="158"/>
      <c r="J40" s="165"/>
      <c r="K40" s="364" t="str">
        <f t="shared" si="1"/>
        <v/>
      </c>
      <c r="L40" s="366"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167"/>
      <c r="N40" s="168"/>
      <c r="O40" s="379" t="s">
        <v>108</v>
      </c>
      <c r="P40" s="380"/>
      <c r="Q40" s="408">
        <f>IF(Q12=0, 0, Q35/Q12)</f>
        <v>0</v>
      </c>
      <c r="R40" s="408"/>
      <c r="S40" s="408">
        <f>IF(Q12=0, 0, S35/Q12)</f>
        <v>0</v>
      </c>
      <c r="T40" s="408"/>
      <c r="U40" s="408">
        <f t="shared" si="2"/>
        <v>0</v>
      </c>
      <c r="V40" s="409"/>
    </row>
    <row r="41" spans="1:22" ht="21.95" customHeight="1" x14ac:dyDescent="0.35">
      <c r="A41" s="363" t="s">
        <v>109</v>
      </c>
      <c r="B41" s="181"/>
      <c r="C41" s="182"/>
      <c r="D41" s="183"/>
      <c r="E41" s="184"/>
      <c r="F41" s="190"/>
      <c r="G41" s="364" t="str">
        <f>IF(OR(E41="",F41=""),"",PID_KVLohnLookup($A$1,E41,F41,LOHNTABELLE!$H$4))</f>
        <v/>
      </c>
      <c r="H41" s="365" t="str">
        <f>IF(AND(ISNUMBER(D41),ISNUMBER(F41)),ROUNDDOWN(MIN(IF(OR(ISBLANK(I41),I41=""),EOMONTH(DATE(EINSTELLUNG!$C$35,$A$1,1),0),I41)-MAX(D41,DATE(EINSTELLUNG!$C$35,$A$1,1))+1)/DAY(EOMONTH(DATE(EINSTELLUNG!$C$35,$A$1,1),0))*F41,2),"")</f>
        <v/>
      </c>
      <c r="I41" s="186"/>
      <c r="J41" s="187"/>
      <c r="K41" s="364" t="str">
        <f t="shared" si="1"/>
        <v/>
      </c>
      <c r="L41" s="366"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188"/>
      <c r="N41" s="189"/>
      <c r="O41" s="412" t="s">
        <v>110</v>
      </c>
      <c r="P41" s="413"/>
      <c r="Q41" s="414">
        <f>IF(Q12=0, 0, Q38/Q12)</f>
        <v>0</v>
      </c>
      <c r="R41" s="414"/>
      <c r="S41" s="414">
        <f>IF(Q12=0, 0, S38/Q12)</f>
        <v>0</v>
      </c>
      <c r="T41" s="414"/>
      <c r="U41" s="414">
        <f t="shared" si="2"/>
        <v>0</v>
      </c>
      <c r="V41" s="415"/>
    </row>
    <row r="42" spans="1:22" ht="21.95" customHeight="1" thickBot="1" x14ac:dyDescent="0.4">
      <c r="A42" s="363" t="s">
        <v>111</v>
      </c>
      <c r="B42" s="152"/>
      <c r="C42" s="153"/>
      <c r="D42" s="154"/>
      <c r="E42" s="155"/>
      <c r="F42" s="156"/>
      <c r="G42" s="364" t="str">
        <f>IF(OR(E42="",F42=""),"",PID_KVLohnLookup($A$1,E42,F42,LOHNTABELLE!$H$4))</f>
        <v/>
      </c>
      <c r="H42" s="365" t="str">
        <f>IF(AND(ISNUMBER(D42),ISNUMBER(F42)),ROUNDDOWN(MIN(IF(OR(ISBLANK(I42),I42=""),EOMONTH(DATE(EINSTELLUNG!$C$35,$A$1,1),0),I42)-MAX(D42,DATE(EINSTELLUNG!$C$35,$A$1,1))+1)/DAY(EOMONTH(DATE(EINSTELLUNG!$C$35,$A$1,1),0))*F42,2),"")</f>
        <v/>
      </c>
      <c r="I42" s="158"/>
      <c r="J42" s="165"/>
      <c r="K42" s="364" t="str">
        <f t="shared" si="1"/>
        <v/>
      </c>
      <c r="L42" s="366"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167"/>
      <c r="N42" s="169"/>
      <c r="O42" s="416" t="s">
        <v>112</v>
      </c>
      <c r="P42" s="394"/>
      <c r="Q42" s="417">
        <f>IFERROR(Q17/Q8, 0)</f>
        <v>11.925457796411617</v>
      </c>
      <c r="R42" s="418"/>
      <c r="S42" s="417"/>
      <c r="T42" s="417"/>
      <c r="U42" s="417"/>
      <c r="V42" s="396"/>
    </row>
    <row r="43" spans="1:22" ht="21.95" customHeight="1" x14ac:dyDescent="0.35">
      <c r="A43" s="363" t="s">
        <v>113</v>
      </c>
      <c r="B43" s="181"/>
      <c r="C43" s="182"/>
      <c r="D43" s="183"/>
      <c r="E43" s="184"/>
      <c r="F43" s="190"/>
      <c r="G43" s="364" t="str">
        <f>IF(OR(E43="",F43=""),"",PID_KVLohnLookup($A$1,E43,F43,LOHNTABELLE!$H$4))</f>
        <v/>
      </c>
      <c r="H43" s="365" t="str">
        <f>IF(AND(ISNUMBER(D43),ISNUMBER(F43)),ROUNDDOWN(MIN(IF(OR(ISBLANK(I43),I43=""),EOMONTH(DATE(EINSTELLUNG!$C$35,$A$1,1),0),I43)-MAX(D43,DATE(EINSTELLUNG!$C$35,$A$1,1))+1)/DAY(EOMONTH(DATE(EINSTELLUNG!$C$35,$A$1,1),0))*F43,2),"")</f>
        <v/>
      </c>
      <c r="I43" s="186"/>
      <c r="J43" s="187"/>
      <c r="K43" s="364" t="str">
        <f t="shared" si="1"/>
        <v/>
      </c>
      <c r="L43" s="366"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91"/>
      <c r="N43" s="189"/>
      <c r="O43" s="419"/>
      <c r="P43" s="419"/>
      <c r="Q43" s="419"/>
      <c r="R43" s="361"/>
      <c r="S43" s="361"/>
      <c r="T43" s="361"/>
      <c r="U43" s="361"/>
      <c r="V43" s="361"/>
    </row>
    <row r="44" spans="1:22" ht="21.95" customHeight="1" x14ac:dyDescent="0.35">
      <c r="A44" s="363" t="s">
        <v>114</v>
      </c>
      <c r="B44" s="152"/>
      <c r="C44" s="153"/>
      <c r="D44" s="154"/>
      <c r="E44" s="155"/>
      <c r="F44" s="156"/>
      <c r="G44" s="364" t="str">
        <f>IF(OR(E44="",F44=""),"",PID_KVLohnLookup($A$1,E44,F44,LOHNTABELLE!$H$4))</f>
        <v/>
      </c>
      <c r="H44" s="365" t="str">
        <f>IF(AND(ISNUMBER(D44),ISNUMBER(F44)),ROUNDDOWN(MIN(IF(OR(ISBLANK(I44),I44=""),EOMONTH(DATE(EINSTELLUNG!$C$35,$A$1,1),0),I44)-MAX(D44,DATE(EINSTELLUNG!$C$35,$A$1,1))+1)/DAY(EOMONTH(DATE(EINSTELLUNG!$C$35,$A$1,1),0))*F44,2),"")</f>
        <v/>
      </c>
      <c r="I44" s="158"/>
      <c r="J44" s="165"/>
      <c r="K44" s="364" t="str">
        <f t="shared" si="1"/>
        <v/>
      </c>
      <c r="L44" s="366"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70"/>
      <c r="N44" s="168"/>
      <c r="O44" s="420" t="s">
        <v>115</v>
      </c>
      <c r="P44" s="420"/>
      <c r="Q44" s="420"/>
      <c r="R44" s="420"/>
      <c r="S44" s="420"/>
      <c r="T44" s="420"/>
      <c r="U44" s="420"/>
      <c r="V44" s="420"/>
    </row>
    <row r="45" spans="1:22" ht="21.95" customHeight="1" x14ac:dyDescent="0.35">
      <c r="A45" s="363" t="s">
        <v>116</v>
      </c>
      <c r="B45" s="181"/>
      <c r="C45" s="182"/>
      <c r="D45" s="183"/>
      <c r="E45" s="184"/>
      <c r="F45" s="190"/>
      <c r="G45" s="364" t="str">
        <f>IF(OR(E45="",F45=""),"",PID_KVLohnLookup($A$1,E45,F45,LOHNTABELLE!$H$4))</f>
        <v/>
      </c>
      <c r="H45" s="365" t="str">
        <f>IF(AND(ISNUMBER(D45),ISNUMBER(F45)),ROUNDDOWN(MIN(IF(OR(ISBLANK(I45),I45=""),EOMONTH(DATE(EINSTELLUNG!$C$35,$A$1,1),0),I45)-MAX(D45,DATE(EINSTELLUNG!$C$35,$A$1,1))+1)/DAY(EOMONTH(DATE(EINSTELLUNG!$C$35,$A$1,1),0))*F45,2),"")</f>
        <v/>
      </c>
      <c r="I45" s="186"/>
      <c r="J45" s="187"/>
      <c r="K45" s="364" t="str">
        <f t="shared" si="1"/>
        <v/>
      </c>
      <c r="L45" s="366"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91"/>
      <c r="N45" s="189"/>
      <c r="O45" s="421"/>
      <c r="P45" s="421"/>
      <c r="Q45" s="421"/>
      <c r="R45" s="422"/>
      <c r="S45" s="422"/>
      <c r="T45" s="422"/>
      <c r="U45" s="422"/>
      <c r="V45" s="361"/>
    </row>
    <row r="46" spans="1:22" ht="21.95" customHeight="1" x14ac:dyDescent="0.35">
      <c r="A46" s="363" t="s">
        <v>117</v>
      </c>
      <c r="B46" s="152"/>
      <c r="C46" s="153"/>
      <c r="D46" s="158"/>
      <c r="E46" s="155"/>
      <c r="F46" s="156"/>
      <c r="G46" s="364" t="str">
        <f>IF(OR(E46="",F46=""),"",PID_KVLohnLookup($A$1,E46,F46,LOHNTABELLE!$H$4))</f>
        <v/>
      </c>
      <c r="H46" s="365" t="str">
        <f>IF(AND(ISNUMBER(D46),ISNUMBER(F46)),ROUNDDOWN(MIN(IF(OR(ISBLANK(I46),I46=""),EOMONTH(DATE(EINSTELLUNG!$C$35,$A$1,1),0),I46)-MAX(D46,DATE(EINSTELLUNG!$C$35,$A$1,1))+1)/DAY(EOMONTH(DATE(EINSTELLUNG!$C$35,$A$1,1),0))*F46,2),"")</f>
        <v/>
      </c>
      <c r="I46" s="158"/>
      <c r="J46" s="165"/>
      <c r="K46" s="364" t="str">
        <f t="shared" si="1"/>
        <v/>
      </c>
      <c r="L46" s="366"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70"/>
      <c r="N46" s="168"/>
      <c r="O46" s="361"/>
      <c r="P46" s="361"/>
      <c r="Q46" s="361"/>
      <c r="R46" s="361"/>
      <c r="S46" s="361"/>
      <c r="T46" s="361"/>
      <c r="U46" s="361"/>
      <c r="V46" s="361"/>
    </row>
    <row r="47" spans="1:22" ht="21.95" customHeight="1" x14ac:dyDescent="0.35">
      <c r="A47" s="363" t="s">
        <v>118</v>
      </c>
      <c r="B47" s="181"/>
      <c r="C47" s="182"/>
      <c r="D47" s="183"/>
      <c r="E47" s="184"/>
      <c r="F47" s="190"/>
      <c r="G47" s="364" t="str">
        <f>IF(OR(E47="",F47=""),"",PID_KVLohnLookup($A$1,E47,F47,LOHNTABELLE!$H$4))</f>
        <v/>
      </c>
      <c r="H47" s="365" t="str">
        <f>IF(AND(ISNUMBER(D47),ISNUMBER(F47)),ROUNDDOWN(MIN(IF(OR(ISBLANK(I47),I47=""),EOMONTH(DATE(EINSTELLUNG!$C$35,$A$1,1),0),I47)-MAX(D47,DATE(EINSTELLUNG!$C$35,$A$1,1))+1)/DAY(EOMONTH(DATE(EINSTELLUNG!$C$35,$A$1,1),0))*F47,2),"")</f>
        <v/>
      </c>
      <c r="I47" s="186"/>
      <c r="J47" s="187"/>
      <c r="K47" s="364" t="str">
        <f t="shared" si="1"/>
        <v/>
      </c>
      <c r="L47" s="366"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91"/>
      <c r="N47" s="189"/>
      <c r="O47" s="361"/>
      <c r="P47" s="361"/>
      <c r="Q47" s="361"/>
      <c r="R47" s="361"/>
      <c r="S47" s="361"/>
      <c r="T47" s="361"/>
      <c r="U47" s="361"/>
      <c r="V47" s="361"/>
    </row>
    <row r="48" spans="1:22" ht="21.95" customHeight="1" x14ac:dyDescent="0.35">
      <c r="A48" s="363" t="s">
        <v>119</v>
      </c>
      <c r="B48" s="152"/>
      <c r="C48" s="153"/>
      <c r="D48" s="154"/>
      <c r="E48" s="155"/>
      <c r="F48" s="156"/>
      <c r="G48" s="364" t="str">
        <f>IF(OR(E48="",F48=""),"",PID_KVLohnLookup($A$1,E48,F48,LOHNTABELLE!$H$4))</f>
        <v/>
      </c>
      <c r="H48" s="365" t="str">
        <f>IF(AND(ISNUMBER(D48),ISNUMBER(F48)),ROUNDDOWN(MIN(IF(OR(ISBLANK(I48),I48=""),EOMONTH(DATE(EINSTELLUNG!$C$35,$A$1,1),0),I48)-MAX(D48,DATE(EINSTELLUNG!$C$35,$A$1,1))+1)/DAY(EOMONTH(DATE(EINSTELLUNG!$C$35,$A$1,1),0))*F48,2),"")</f>
        <v/>
      </c>
      <c r="I48" s="158"/>
      <c r="J48" s="165"/>
      <c r="K48" s="364" t="str">
        <f t="shared" si="1"/>
        <v/>
      </c>
      <c r="L48" s="366"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70"/>
      <c r="N48" s="168"/>
      <c r="O48" s="361"/>
      <c r="P48" s="361"/>
      <c r="Q48" s="361"/>
      <c r="R48" s="361"/>
      <c r="S48" s="361"/>
      <c r="T48" s="361"/>
      <c r="U48" s="361"/>
      <c r="V48" s="361"/>
    </row>
    <row r="49" spans="1:22" ht="21.95" customHeight="1" x14ac:dyDescent="0.35">
      <c r="A49" s="363" t="s">
        <v>120</v>
      </c>
      <c r="B49" s="181"/>
      <c r="C49" s="182"/>
      <c r="D49" s="183"/>
      <c r="E49" s="184"/>
      <c r="F49" s="190"/>
      <c r="G49" s="364" t="str">
        <f>IF(OR(E49="",F49=""),"",PID_KVLohnLookup($A$1,E49,F49,LOHNTABELLE!$H$4))</f>
        <v/>
      </c>
      <c r="H49" s="365" t="str">
        <f>IF(AND(ISNUMBER(D49),ISNUMBER(F49)),ROUNDDOWN(MIN(IF(OR(ISBLANK(I49),I49=""),EOMONTH(DATE(EINSTELLUNG!$C$35,$A$1,1),0),I49)-MAX(D49,DATE(EINSTELLUNG!$C$35,$A$1,1))+1)/DAY(EOMONTH(DATE(EINSTELLUNG!$C$35,$A$1,1),0))*F49,2),"")</f>
        <v/>
      </c>
      <c r="I49" s="186"/>
      <c r="J49" s="187"/>
      <c r="K49" s="364" t="str">
        <f t="shared" si="1"/>
        <v/>
      </c>
      <c r="L49" s="366"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91"/>
      <c r="N49" s="189"/>
      <c r="O49" s="361"/>
      <c r="P49" s="361"/>
      <c r="Q49" s="361"/>
      <c r="R49" s="361"/>
      <c r="S49" s="361"/>
      <c r="T49" s="361"/>
      <c r="U49" s="361"/>
      <c r="V49" s="361"/>
    </row>
    <row r="50" spans="1:22" ht="21.95" customHeight="1" x14ac:dyDescent="0.35">
      <c r="A50" s="363" t="s">
        <v>121</v>
      </c>
      <c r="B50" s="152"/>
      <c r="C50" s="153"/>
      <c r="D50" s="154"/>
      <c r="E50" s="155"/>
      <c r="F50" s="156"/>
      <c r="G50" s="364" t="str">
        <f>IF(OR(E50="",F50=""),"",PID_KVLohnLookup($A$1,E50,F50,LOHNTABELLE!$H$4))</f>
        <v/>
      </c>
      <c r="H50" s="365" t="str">
        <f>IF(AND(ISNUMBER(D50),ISNUMBER(F50)),ROUNDDOWN(MIN(IF(OR(ISBLANK(I50),I50=""),EOMONTH(DATE(EINSTELLUNG!$C$35,$A$1,1),0),I50)-MAX(D50,DATE(EINSTELLUNG!$C$35,$A$1,1))+1)/DAY(EOMONTH(DATE(EINSTELLUNG!$C$35,$A$1,1),0))*F50,2),"")</f>
        <v/>
      </c>
      <c r="I50" s="158"/>
      <c r="J50" s="165"/>
      <c r="K50" s="364" t="str">
        <f t="shared" si="1"/>
        <v/>
      </c>
      <c r="L50" s="366"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70"/>
      <c r="N50" s="168"/>
      <c r="O50" s="361"/>
      <c r="P50" s="361"/>
      <c r="Q50" s="361"/>
      <c r="R50" s="361"/>
      <c r="S50" s="361"/>
      <c r="T50" s="361"/>
      <c r="U50" s="361"/>
      <c r="V50" s="361"/>
    </row>
    <row r="51" spans="1:22" ht="21.95" customHeight="1" x14ac:dyDescent="0.35">
      <c r="A51" s="363" t="s">
        <v>122</v>
      </c>
      <c r="B51" s="181"/>
      <c r="C51" s="182"/>
      <c r="D51" s="183"/>
      <c r="E51" s="184"/>
      <c r="F51" s="190"/>
      <c r="G51" s="364" t="str">
        <f>IF(OR(E51="",F51=""),"",PID_KVLohnLookup($A$1,E51,F51,LOHNTABELLE!$H$4))</f>
        <v/>
      </c>
      <c r="H51" s="365" t="str">
        <f>IF(AND(ISNUMBER(D51),ISNUMBER(F51)),ROUNDDOWN(MIN(IF(OR(ISBLANK(I51),I51=""),EOMONTH(DATE(EINSTELLUNG!$C$35,$A$1,1),0),I51)-MAX(D51,DATE(EINSTELLUNG!$C$35,$A$1,1))+1)/DAY(EOMONTH(DATE(EINSTELLUNG!$C$35,$A$1,1),0))*F51,2),"")</f>
        <v/>
      </c>
      <c r="I51" s="186"/>
      <c r="J51" s="187"/>
      <c r="K51" s="364" t="str">
        <f t="shared" si="1"/>
        <v/>
      </c>
      <c r="L51" s="366"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188"/>
      <c r="N51" s="192"/>
    </row>
    <row r="52" spans="1:22" ht="21.95" customHeight="1" x14ac:dyDescent="0.35">
      <c r="A52" s="363" t="s">
        <v>123</v>
      </c>
      <c r="B52" s="152"/>
      <c r="C52" s="153"/>
      <c r="D52" s="154"/>
      <c r="E52" s="155"/>
      <c r="F52" s="156"/>
      <c r="G52" s="364" t="str">
        <f>IF(OR(E52="",F52=""),"",PID_KVLohnLookup($A$1,E52,F52,LOHNTABELLE!$H$4))</f>
        <v/>
      </c>
      <c r="H52" s="365" t="str">
        <f>IF(AND(ISNUMBER(D52),ISNUMBER(F52)),ROUNDDOWN(MIN(IF(OR(ISBLANK(I52),I52=""),EOMONTH(DATE(EINSTELLUNG!$C$35,$A$1,1),0),I52)-MAX(D52,DATE(EINSTELLUNG!$C$35,$A$1,1))+1)/DAY(EOMONTH(DATE(EINSTELLUNG!$C$35,$A$1,1),0))*F52,2),"")</f>
        <v/>
      </c>
      <c r="I52" s="158"/>
      <c r="J52" s="165"/>
      <c r="K52" s="364" t="str">
        <f t="shared" si="1"/>
        <v/>
      </c>
      <c r="L52" s="366"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167"/>
      <c r="N52" s="168"/>
    </row>
    <row r="53" spans="1:22" ht="21.95" customHeight="1" x14ac:dyDescent="0.35">
      <c r="A53" s="363" t="s">
        <v>124</v>
      </c>
      <c r="B53" s="181"/>
      <c r="C53" s="182"/>
      <c r="D53" s="183"/>
      <c r="E53" s="184"/>
      <c r="F53" s="190"/>
      <c r="G53" s="364" t="str">
        <f>IF(OR(E53="",F53=""),"",PID_KVLohnLookup($A$1,E53,F53,LOHNTABELLE!$H$4))</f>
        <v/>
      </c>
      <c r="H53" s="365" t="str">
        <f>IF(AND(ISNUMBER(D53),ISNUMBER(F53)),ROUNDDOWN(MIN(IF(OR(ISBLANK(I53),I53=""),EOMONTH(DATE(EINSTELLUNG!$C$35,$A$1,1),0),I53)-MAX(D53,DATE(EINSTELLUNG!$C$35,$A$1,1))+1)/DAY(EOMONTH(DATE(EINSTELLUNG!$C$35,$A$1,1),0))*F53,2),"")</f>
        <v/>
      </c>
      <c r="I53" s="186"/>
      <c r="J53" s="187"/>
      <c r="K53" s="364" t="str">
        <f t="shared" si="1"/>
        <v/>
      </c>
      <c r="L53" s="366"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188"/>
      <c r="N53" s="189"/>
    </row>
    <row r="54" spans="1:22" ht="21.95" customHeight="1" x14ac:dyDescent="0.35">
      <c r="A54" s="363" t="s">
        <v>125</v>
      </c>
      <c r="B54" s="152"/>
      <c r="C54" s="153"/>
      <c r="D54" s="154"/>
      <c r="E54" s="155"/>
      <c r="F54" s="156"/>
      <c r="G54" s="364" t="str">
        <f>IF(OR(E54="",F54=""),"",PID_KVLohnLookup($A$1,E54,F54,LOHNTABELLE!$H$4))</f>
        <v/>
      </c>
      <c r="H54" s="365" t="str">
        <f>IF(AND(ISNUMBER(D54),ISNUMBER(F54)),ROUNDDOWN(MIN(IF(OR(ISBLANK(I54),I54=""),EOMONTH(DATE(EINSTELLUNG!$C$35,$A$1,1),0),I54)-MAX(D54,DATE(EINSTELLUNG!$C$35,$A$1,1))+1)/DAY(EOMONTH(DATE(EINSTELLUNG!$C$35,$A$1,1),0))*F54,2),"")</f>
        <v/>
      </c>
      <c r="I54" s="158"/>
      <c r="J54" s="165"/>
      <c r="K54" s="364" t="str">
        <f t="shared" si="1"/>
        <v/>
      </c>
      <c r="L54" s="366"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167"/>
      <c r="N54" s="168"/>
    </row>
    <row r="55" spans="1:22" ht="21.95" customHeight="1" x14ac:dyDescent="0.35">
      <c r="A55" s="363" t="s">
        <v>126</v>
      </c>
      <c r="B55" s="181"/>
      <c r="C55" s="182"/>
      <c r="D55" s="186"/>
      <c r="E55" s="184"/>
      <c r="F55" s="190"/>
      <c r="G55" s="364" t="str">
        <f>IF(OR(E55="",F55=""),"",PID_KVLohnLookup($A$1,E55,F55,LOHNTABELLE!$H$4))</f>
        <v/>
      </c>
      <c r="H55" s="365" t="str">
        <f>IF(AND(ISNUMBER(D55),ISNUMBER(F55)),ROUNDDOWN(MIN(IF(OR(ISBLANK(I55),I55=""),EOMONTH(DATE(EINSTELLUNG!$C$35,$A$1,1),0),I55)-MAX(D55,DATE(EINSTELLUNG!$C$35,$A$1,1))+1)/DAY(EOMONTH(DATE(EINSTELLUNG!$C$35,$A$1,1),0))*F55,2),"")</f>
        <v/>
      </c>
      <c r="I55" s="186"/>
      <c r="J55" s="187"/>
      <c r="K55" s="364" t="str">
        <f t="shared" si="1"/>
        <v/>
      </c>
      <c r="L55" s="366"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188"/>
      <c r="N55" s="189"/>
    </row>
    <row r="56" spans="1:22" ht="21.95" customHeight="1" x14ac:dyDescent="0.35">
      <c r="A56" s="363" t="s">
        <v>127</v>
      </c>
      <c r="B56" s="152"/>
      <c r="C56" s="153"/>
      <c r="D56" s="158"/>
      <c r="E56" s="155"/>
      <c r="F56" s="156"/>
      <c r="G56" s="364" t="str">
        <f>IF(OR(E56="",F56=""),"",PID_KVLohnLookup($A$1,E56,F56,LOHNTABELLE!$H$4))</f>
        <v/>
      </c>
      <c r="H56" s="365" t="str">
        <f>IF(AND(ISNUMBER(D56),ISNUMBER(F56)),ROUNDDOWN(MIN(IF(OR(ISBLANK(I56),I56=""),EOMONTH(DATE(EINSTELLUNG!$C$35,$A$1,1),0),I56)-MAX(D56,DATE(EINSTELLUNG!$C$35,$A$1,1))+1)/DAY(EOMONTH(DATE(EINSTELLUNG!$C$35,$A$1,1),0))*F56,2),"")</f>
        <v/>
      </c>
      <c r="I56" s="158"/>
      <c r="J56" s="165"/>
      <c r="K56" s="364" t="str">
        <f t="shared" si="1"/>
        <v/>
      </c>
      <c r="L56" s="366"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167"/>
      <c r="N56" s="168"/>
    </row>
    <row r="57" spans="1:22" ht="21.95" customHeight="1" x14ac:dyDescent="0.35">
      <c r="A57" s="363" t="s">
        <v>128</v>
      </c>
      <c r="B57" s="181"/>
      <c r="C57" s="182"/>
      <c r="D57" s="186"/>
      <c r="E57" s="184"/>
      <c r="F57" s="190"/>
      <c r="G57" s="364" t="str">
        <f>IF(OR(E57="",F57=""),"",PID_KVLohnLookup($A$1,E57,F57,LOHNTABELLE!$H$4))</f>
        <v/>
      </c>
      <c r="H57" s="365" t="str">
        <f>IF(AND(ISNUMBER(D57),ISNUMBER(F57)),ROUNDDOWN(MIN(IF(OR(ISBLANK(I57),I57=""),EOMONTH(DATE(EINSTELLUNG!$C$35,$A$1,1),0),I57)-MAX(D57,DATE(EINSTELLUNG!$C$35,$A$1,1))+1)/DAY(EOMONTH(DATE(EINSTELLUNG!$C$35,$A$1,1),0))*F57,2),"")</f>
        <v/>
      </c>
      <c r="I57" s="186"/>
      <c r="J57" s="187"/>
      <c r="K57" s="364" t="str">
        <f t="shared" si="1"/>
        <v/>
      </c>
      <c r="L57" s="366"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188"/>
      <c r="N57" s="189"/>
    </row>
    <row r="58" spans="1:22" ht="21.95" customHeight="1" x14ac:dyDescent="0.35">
      <c r="A58" s="363" t="s">
        <v>129</v>
      </c>
      <c r="B58" s="152"/>
      <c r="C58" s="153"/>
      <c r="D58" s="158"/>
      <c r="E58" s="155"/>
      <c r="F58" s="156"/>
      <c r="G58" s="364" t="str">
        <f>IF(OR(E58="",F58=""),"",PID_KVLohnLookup($A$1,E58,F58,LOHNTABELLE!$H$4))</f>
        <v/>
      </c>
      <c r="H58" s="365" t="str">
        <f>IF(AND(ISNUMBER(D58),ISNUMBER(F58)),ROUNDDOWN(MIN(IF(OR(ISBLANK(I58),I58=""),EOMONTH(DATE(EINSTELLUNG!$C$35,$A$1,1),0),I58)-MAX(D58,DATE(EINSTELLUNG!$C$35,$A$1,1))+1)/DAY(EOMONTH(DATE(EINSTELLUNG!$C$35,$A$1,1),0))*F58,2),"")</f>
        <v/>
      </c>
      <c r="I58" s="158"/>
      <c r="J58" s="165"/>
      <c r="K58" s="364" t="str">
        <f t="shared" si="1"/>
        <v/>
      </c>
      <c r="L58" s="366"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167"/>
      <c r="N58" s="168"/>
    </row>
    <row r="59" spans="1:22" ht="21.95" customHeight="1" x14ac:dyDescent="0.35">
      <c r="A59" s="363" t="s">
        <v>130</v>
      </c>
      <c r="B59" s="181"/>
      <c r="C59" s="182"/>
      <c r="D59" s="186"/>
      <c r="E59" s="184"/>
      <c r="F59" s="190"/>
      <c r="G59" s="364" t="str">
        <f>IF(OR(E59="",F59=""),"",PID_KVLohnLookup($A$1,E59,F59,LOHNTABELLE!$H$4))</f>
        <v/>
      </c>
      <c r="H59" s="365" t="str">
        <f>IF(AND(ISNUMBER(D59),ISNUMBER(F59)),ROUNDDOWN(MIN(IF(OR(ISBLANK(I59),I59=""),EOMONTH(DATE(EINSTELLUNG!$C$35,$A$1,1),0),I59)-MAX(D59,DATE(EINSTELLUNG!$C$35,$A$1,1))+1)/DAY(EOMONTH(DATE(EINSTELLUNG!$C$35,$A$1,1),0))*F59,2),"")</f>
        <v/>
      </c>
      <c r="I59" s="186"/>
      <c r="J59" s="187"/>
      <c r="K59" s="364" t="str">
        <f t="shared" si="1"/>
        <v/>
      </c>
      <c r="L59" s="366"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188"/>
      <c r="N59" s="189"/>
    </row>
    <row r="60" spans="1:22" ht="21.95" customHeight="1" x14ac:dyDescent="0.35">
      <c r="A60" s="363" t="s">
        <v>131</v>
      </c>
      <c r="B60" s="152"/>
      <c r="C60" s="153"/>
      <c r="D60" s="158"/>
      <c r="E60" s="155"/>
      <c r="F60" s="156"/>
      <c r="G60" s="364" t="str">
        <f>IF(OR(E60="",F60=""),"",PID_KVLohnLookup($A$1,E60,F60,LOHNTABELLE!$H$4))</f>
        <v/>
      </c>
      <c r="H60" s="365" t="str">
        <f>IF(AND(ISNUMBER(D60),ISNUMBER(F60)),ROUNDDOWN(MIN(IF(OR(ISBLANK(I60),I60=""),EOMONTH(DATE(EINSTELLUNG!$C$35,$A$1,1),0),I60)-MAX(D60,DATE(EINSTELLUNG!$C$35,$A$1,1))+1)/DAY(EOMONTH(DATE(EINSTELLUNG!$C$35,$A$1,1),0))*F60,2),"")</f>
        <v/>
      </c>
      <c r="I60" s="158"/>
      <c r="J60" s="165"/>
      <c r="K60" s="364" t="str">
        <f t="shared" si="1"/>
        <v/>
      </c>
      <c r="L60" s="366"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167"/>
      <c r="N60" s="168"/>
    </row>
    <row r="61" spans="1:22" ht="21.95" customHeight="1" x14ac:dyDescent="0.35">
      <c r="A61" s="363" t="s">
        <v>132</v>
      </c>
      <c r="B61" s="181"/>
      <c r="C61" s="193"/>
      <c r="D61" s="186"/>
      <c r="E61" s="184"/>
      <c r="F61" s="190"/>
      <c r="G61" s="364" t="str">
        <f>IF(OR(E61="",F61=""),"",PID_KVLohnLookup($A$1,E61,F61,LOHNTABELLE!$H$4))</f>
        <v/>
      </c>
      <c r="H61" s="365" t="str">
        <f>IF(AND(ISNUMBER(D61),ISNUMBER(F61)),ROUNDDOWN(MIN(IF(OR(ISBLANK(I61),I61=""),EOMONTH(DATE(EINSTELLUNG!$C$35,$A$1,1),0),I61)-MAX(D61,DATE(EINSTELLUNG!$C$35,$A$1,1))+1)/DAY(EOMONTH(DATE(EINSTELLUNG!$C$35,$A$1,1),0))*F61,2),"")</f>
        <v/>
      </c>
      <c r="I61" s="186"/>
      <c r="J61" s="187"/>
      <c r="K61" s="364" t="str">
        <f t="shared" si="1"/>
        <v/>
      </c>
      <c r="L61" s="366"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88"/>
      <c r="N61" s="189"/>
    </row>
    <row r="62" spans="1:22" ht="21.95" customHeight="1" x14ac:dyDescent="0.35">
      <c r="A62" s="363" t="s">
        <v>133</v>
      </c>
      <c r="B62" s="152"/>
      <c r="C62" s="153"/>
      <c r="D62" s="158"/>
      <c r="E62" s="155"/>
      <c r="F62" s="156"/>
      <c r="G62" s="364" t="str">
        <f>IF(OR(E62="",F62=""),"",PID_KVLohnLookup($A$1,E62,F62,LOHNTABELLE!$H$4))</f>
        <v/>
      </c>
      <c r="H62" s="365" t="str">
        <f>IF(AND(ISNUMBER(D62),ISNUMBER(F62)),ROUNDDOWN(MIN(IF(OR(ISBLANK(I62),I62=""),EOMONTH(DATE(EINSTELLUNG!$C$35,$A$1,1),0),I62)-MAX(D62,DATE(EINSTELLUNG!$C$35,$A$1,1))+1)/DAY(EOMONTH(DATE(EINSTELLUNG!$C$35,$A$1,1),0))*F62,2),"")</f>
        <v/>
      </c>
      <c r="I62" s="158"/>
      <c r="J62" s="165"/>
      <c r="K62" s="364" t="str">
        <f t="shared" si="1"/>
        <v/>
      </c>
      <c r="L62" s="366"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167"/>
      <c r="N62" s="168"/>
    </row>
    <row r="63" spans="1:22" ht="21.95" customHeight="1" x14ac:dyDescent="0.35">
      <c r="A63" s="363" t="s">
        <v>134</v>
      </c>
      <c r="B63" s="181"/>
      <c r="C63" s="182"/>
      <c r="D63" s="186"/>
      <c r="E63" s="184"/>
      <c r="F63" s="190"/>
      <c r="G63" s="364" t="str">
        <f>IF(OR(E63="",F63=""),"",PID_KVLohnLookup($A$1,E63,F63,LOHNTABELLE!$H$4))</f>
        <v/>
      </c>
      <c r="H63" s="365" t="str">
        <f>IF(AND(ISNUMBER(D63),ISNUMBER(F63)),ROUNDDOWN(MIN(IF(OR(ISBLANK(I63),I63=""),EOMONTH(DATE(EINSTELLUNG!$C$35,$A$1,1),0),I63)-MAX(D63,DATE(EINSTELLUNG!$C$35,$A$1,1))+1)/DAY(EOMONTH(DATE(EINSTELLUNG!$C$35,$A$1,1),0))*F63,2),"")</f>
        <v/>
      </c>
      <c r="I63" s="186"/>
      <c r="J63" s="187"/>
      <c r="K63" s="364" t="str">
        <f t="shared" si="1"/>
        <v/>
      </c>
      <c r="L63" s="366"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88"/>
      <c r="N63" s="189"/>
    </row>
    <row r="64" spans="1:22" ht="21.95" customHeight="1" x14ac:dyDescent="0.35">
      <c r="A64" s="363" t="s">
        <v>135</v>
      </c>
      <c r="B64" s="152"/>
      <c r="C64" s="153"/>
      <c r="D64" s="158"/>
      <c r="E64" s="155"/>
      <c r="F64" s="156"/>
      <c r="G64" s="364" t="str">
        <f>IF(OR(E64="",F64=""),"",PID_KVLohnLookup($A$1,E64,F64,LOHNTABELLE!$H$4))</f>
        <v/>
      </c>
      <c r="H64" s="365" t="str">
        <f>IF(AND(ISNUMBER(D64),ISNUMBER(F64)),ROUNDDOWN(MIN(IF(OR(ISBLANK(I64),I64=""),EOMONTH(DATE(EINSTELLUNG!$C$35,$A$1,1),0),I64)-MAX(D64,DATE(EINSTELLUNG!$C$35,$A$1,1))+1)/DAY(EOMONTH(DATE(EINSTELLUNG!$C$35,$A$1,1),0))*F64,2),"")</f>
        <v/>
      </c>
      <c r="I64" s="158"/>
      <c r="J64" s="165"/>
      <c r="K64" s="364" t="str">
        <f t="shared" si="1"/>
        <v/>
      </c>
      <c r="L64" s="366"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167"/>
      <c r="N64" s="168"/>
    </row>
    <row r="65" spans="1:14" ht="21.95" customHeight="1" x14ac:dyDescent="0.35">
      <c r="A65" s="363" t="s">
        <v>136</v>
      </c>
      <c r="B65" s="181"/>
      <c r="C65" s="182"/>
      <c r="D65" s="186"/>
      <c r="E65" s="184"/>
      <c r="F65" s="190"/>
      <c r="G65" s="364" t="str">
        <f>IF(OR(E65="",F65=""),"",PID_KVLohnLookup($A$1,E65,F65,LOHNTABELLE!$H$4))</f>
        <v/>
      </c>
      <c r="H65" s="365" t="str">
        <f>IF(AND(ISNUMBER(D65),ISNUMBER(F65)),ROUNDDOWN(MIN(IF(OR(ISBLANK(I65),I65=""),EOMONTH(DATE(EINSTELLUNG!$C$35,$A$1,1),0),I65)-MAX(D65,DATE(EINSTELLUNG!$C$35,$A$1,1))+1)/DAY(EOMONTH(DATE(EINSTELLUNG!$C$35,$A$1,1),0))*F65,2),"")</f>
        <v/>
      </c>
      <c r="I65" s="186"/>
      <c r="J65" s="187"/>
      <c r="K65" s="364" t="str">
        <f t="shared" si="1"/>
        <v/>
      </c>
      <c r="L65" s="366"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88"/>
      <c r="N65" s="189"/>
    </row>
    <row r="66" spans="1:14" ht="21.95" customHeight="1" x14ac:dyDescent="0.35">
      <c r="A66" s="363" t="s">
        <v>137</v>
      </c>
      <c r="B66" s="152"/>
      <c r="C66" s="153"/>
      <c r="D66" s="158"/>
      <c r="E66" s="155"/>
      <c r="F66" s="156"/>
      <c r="G66" s="364" t="str">
        <f>IF(OR(E66="",F66=""),"",PID_KVLohnLookup($A$1,E66,F66,LOHNTABELLE!$H$4))</f>
        <v/>
      </c>
      <c r="H66" s="365" t="str">
        <f>IF(AND(ISNUMBER(D66),ISNUMBER(F66)),ROUNDDOWN(MIN(IF(OR(ISBLANK(I66),I66=""),EOMONTH(DATE(EINSTELLUNG!$C$35,$A$1,1),0),I66)-MAX(D66,DATE(EINSTELLUNG!$C$35,$A$1,1))+1)/DAY(EOMONTH(DATE(EINSTELLUNG!$C$35,$A$1,1),0))*F66,2),"")</f>
        <v/>
      </c>
      <c r="I66" s="158"/>
      <c r="J66" s="165"/>
      <c r="K66" s="364" t="str">
        <f t="shared" si="1"/>
        <v/>
      </c>
      <c r="L66" s="366"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167"/>
      <c r="N66" s="168"/>
    </row>
    <row r="67" spans="1:14" ht="21.95" customHeight="1" x14ac:dyDescent="0.35">
      <c r="A67" s="363" t="s">
        <v>138</v>
      </c>
      <c r="B67" s="181"/>
      <c r="C67" s="182"/>
      <c r="D67" s="186"/>
      <c r="E67" s="184"/>
      <c r="F67" s="190"/>
      <c r="G67" s="364" t="str">
        <f>IF(OR(E67="",F67=""),"",PID_KVLohnLookup($A$1,E67,F67,LOHNTABELLE!$H$4))</f>
        <v/>
      </c>
      <c r="H67" s="365" t="str">
        <f>IF(AND(ISNUMBER(D67),ISNUMBER(F67)),ROUNDDOWN(MIN(IF(OR(ISBLANK(I67),I67=""),EOMONTH(DATE(EINSTELLUNG!$C$35,$A$1,1),0),I67)-MAX(D67,DATE(EINSTELLUNG!$C$35,$A$1,1))+1)/DAY(EOMONTH(DATE(EINSTELLUNG!$C$35,$A$1,1),0))*F67,2),"")</f>
        <v/>
      </c>
      <c r="I67" s="186"/>
      <c r="J67" s="187"/>
      <c r="K67" s="364" t="str">
        <f t="shared" ref="K67:K98" si="3">IF(OR(B67="",C67=""),"",IFERROR(IF(OR(MONTH(D67)=1,MONTH(D67)=3,MONTH(D67)=5,MONTH(D67)=7,MONTH(D67)=8,MONTH(D67)=10,MONTH(D67)=12),(G67/31)*J67,IF(OR(MONTH(D67)=4,MONTH(D67)=6,MONTH(D67)=9,MONTH(D67)=11),(G67/30)*J67,(G67/DAY(EOMONTH(D67,0)))*J67)),0))</f>
        <v/>
      </c>
      <c r="L67" s="366"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88"/>
      <c r="N67" s="189"/>
    </row>
    <row r="68" spans="1:14" ht="21.95" customHeight="1" x14ac:dyDescent="0.35">
      <c r="A68" s="363" t="s">
        <v>139</v>
      </c>
      <c r="B68" s="152"/>
      <c r="C68" s="153"/>
      <c r="D68" s="158"/>
      <c r="E68" s="155"/>
      <c r="F68" s="156"/>
      <c r="G68" s="364" t="str">
        <f>IF(OR(E68="",F68=""),"",PID_KVLohnLookup($A$1,E68,F68,LOHNTABELLE!$H$4))</f>
        <v/>
      </c>
      <c r="H68" s="365" t="str">
        <f>IF(AND(ISNUMBER(D68),ISNUMBER(F68)),ROUNDDOWN(MIN(IF(OR(ISBLANK(I68),I68=""),EOMONTH(DATE(EINSTELLUNG!$C$35,$A$1,1),0),I68)-MAX(D68,DATE(EINSTELLUNG!$C$35,$A$1,1))+1)/DAY(EOMONTH(DATE(EINSTELLUNG!$C$35,$A$1,1),0))*F68,2),"")</f>
        <v/>
      </c>
      <c r="I68" s="158"/>
      <c r="J68" s="165"/>
      <c r="K68" s="364" t="str">
        <f t="shared" si="3"/>
        <v/>
      </c>
      <c r="L68" s="366"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167"/>
      <c r="N68" s="168"/>
    </row>
    <row r="69" spans="1:14" ht="21.95" customHeight="1" x14ac:dyDescent="0.35">
      <c r="A69" s="363" t="s">
        <v>140</v>
      </c>
      <c r="B69" s="181"/>
      <c r="C69" s="182"/>
      <c r="D69" s="186"/>
      <c r="E69" s="184"/>
      <c r="F69" s="190"/>
      <c r="G69" s="364" t="str">
        <f>IF(OR(E69="",F69=""),"",PID_KVLohnLookup($A$1,E69,F69,LOHNTABELLE!$H$4))</f>
        <v/>
      </c>
      <c r="H69" s="365" t="str">
        <f>IF(AND(ISNUMBER(D69),ISNUMBER(F69)),ROUNDDOWN(MIN(IF(OR(ISBLANK(I69),I69=""),EOMONTH(DATE(EINSTELLUNG!$C$35,$A$1,1),0),I69)-MAX(D69,DATE(EINSTELLUNG!$C$35,$A$1,1))+1)/DAY(EOMONTH(DATE(EINSTELLUNG!$C$35,$A$1,1),0))*F69,2),"")</f>
        <v/>
      </c>
      <c r="I69" s="186"/>
      <c r="J69" s="187"/>
      <c r="K69" s="364" t="str">
        <f t="shared" si="3"/>
        <v/>
      </c>
      <c r="L69" s="366"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88"/>
      <c r="N69" s="189"/>
    </row>
    <row r="70" spans="1:14" ht="21.95" customHeight="1" x14ac:dyDescent="0.35">
      <c r="A70" s="363" t="s">
        <v>141</v>
      </c>
      <c r="B70" s="152"/>
      <c r="C70" s="153"/>
      <c r="D70" s="158"/>
      <c r="E70" s="155"/>
      <c r="F70" s="156"/>
      <c r="G70" s="364" t="str">
        <f>IF(OR(E70="",F70=""),"",PID_KVLohnLookup($A$1,E70,F70,LOHNTABELLE!$H$4))</f>
        <v/>
      </c>
      <c r="H70" s="365" t="str">
        <f>IF(AND(ISNUMBER(D70),ISNUMBER(F70)),ROUNDDOWN(MIN(IF(OR(ISBLANK(I70),I70=""),EOMONTH(DATE(EINSTELLUNG!$C$35,$A$1,1),0),I70)-MAX(D70,DATE(EINSTELLUNG!$C$35,$A$1,1))+1)/DAY(EOMONTH(DATE(EINSTELLUNG!$C$35,$A$1,1),0))*F70,2),"")</f>
        <v/>
      </c>
      <c r="I70" s="158"/>
      <c r="J70" s="165"/>
      <c r="K70" s="364" t="str">
        <f t="shared" si="3"/>
        <v/>
      </c>
      <c r="L70" s="366"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167"/>
      <c r="N70" s="168"/>
    </row>
    <row r="71" spans="1:14" ht="21.95" customHeight="1" x14ac:dyDescent="0.35">
      <c r="A71" s="363" t="s">
        <v>142</v>
      </c>
      <c r="B71" s="181"/>
      <c r="C71" s="182"/>
      <c r="D71" s="186"/>
      <c r="E71" s="184"/>
      <c r="F71" s="190"/>
      <c r="G71" s="364" t="str">
        <f>IF(OR(E71="",F71=""),"",PID_KVLohnLookup($A$1,E71,F71,LOHNTABELLE!$H$4))</f>
        <v/>
      </c>
      <c r="H71" s="365" t="str">
        <f>IF(AND(ISNUMBER(D71),ISNUMBER(F71)),ROUNDDOWN(MIN(IF(OR(ISBLANK(I71),I71=""),EOMONTH(DATE(EINSTELLUNG!$C$35,$A$1,1),0),I71)-MAX(D71,DATE(EINSTELLUNG!$C$35,$A$1,1))+1)/DAY(EOMONTH(DATE(EINSTELLUNG!$C$35,$A$1,1),0))*F71,2),"")</f>
        <v/>
      </c>
      <c r="I71" s="186"/>
      <c r="J71" s="187"/>
      <c r="K71" s="364" t="str">
        <f t="shared" si="3"/>
        <v/>
      </c>
      <c r="L71" s="366"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88"/>
      <c r="N71" s="189"/>
    </row>
    <row r="72" spans="1:14" ht="21.95" customHeight="1" x14ac:dyDescent="0.35">
      <c r="A72" s="363" t="s">
        <v>143</v>
      </c>
      <c r="B72" s="152"/>
      <c r="C72" s="153"/>
      <c r="D72" s="158"/>
      <c r="E72" s="155"/>
      <c r="F72" s="156"/>
      <c r="G72" s="364" t="str">
        <f>IF(OR(E72="",F72=""),"",PID_KVLohnLookup($A$1,E72,F72,LOHNTABELLE!$H$4))</f>
        <v/>
      </c>
      <c r="H72" s="365" t="str">
        <f>IF(AND(ISNUMBER(D72),ISNUMBER(F72)),ROUNDDOWN(MIN(IF(OR(ISBLANK(I72),I72=""),EOMONTH(DATE(EINSTELLUNG!$C$35,$A$1,1),0),I72)-MAX(D72,DATE(EINSTELLUNG!$C$35,$A$1,1))+1)/DAY(EOMONTH(DATE(EINSTELLUNG!$C$35,$A$1,1),0))*F72,2),"")</f>
        <v/>
      </c>
      <c r="I72" s="158"/>
      <c r="J72" s="165"/>
      <c r="K72" s="364" t="str">
        <f t="shared" si="3"/>
        <v/>
      </c>
      <c r="L72" s="366"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167"/>
      <c r="N72" s="168"/>
    </row>
    <row r="73" spans="1:14" ht="21.95" customHeight="1" x14ac:dyDescent="0.35">
      <c r="A73" s="363" t="s">
        <v>144</v>
      </c>
      <c r="B73" s="181"/>
      <c r="C73" s="182"/>
      <c r="D73" s="186"/>
      <c r="E73" s="184"/>
      <c r="F73" s="190"/>
      <c r="G73" s="364" t="str">
        <f>IF(OR(E73="",F73=""),"",PID_KVLohnLookup($A$1,E73,F73,LOHNTABELLE!$H$4))</f>
        <v/>
      </c>
      <c r="H73" s="365" t="str">
        <f>IF(AND(ISNUMBER(D73),ISNUMBER(F73)),ROUNDDOWN(MIN(IF(OR(ISBLANK(I73),I73=""),EOMONTH(DATE(EINSTELLUNG!$C$35,$A$1,1),0),I73)-MAX(D73,DATE(EINSTELLUNG!$C$35,$A$1,1))+1)/DAY(EOMONTH(DATE(EINSTELLUNG!$C$35,$A$1,1),0))*F73,2),"")</f>
        <v/>
      </c>
      <c r="I73" s="186"/>
      <c r="J73" s="187"/>
      <c r="K73" s="364" t="str">
        <f t="shared" si="3"/>
        <v/>
      </c>
      <c r="L73" s="366"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88"/>
      <c r="N73" s="189"/>
    </row>
    <row r="74" spans="1:14" ht="21.95" customHeight="1" x14ac:dyDescent="0.35">
      <c r="A74" s="363" t="s">
        <v>145</v>
      </c>
      <c r="B74" s="152"/>
      <c r="C74" s="153"/>
      <c r="D74" s="158"/>
      <c r="E74" s="155"/>
      <c r="F74" s="156"/>
      <c r="G74" s="364" t="str">
        <f>IF(OR(E74="",F74=""),"",PID_KVLohnLookup($A$1,E74,F74,LOHNTABELLE!$H$4))</f>
        <v/>
      </c>
      <c r="H74" s="365" t="str">
        <f>IF(AND(ISNUMBER(D74),ISNUMBER(F74)),ROUNDDOWN(MIN(IF(OR(ISBLANK(I74),I74=""),EOMONTH(DATE(EINSTELLUNG!$C$35,$A$1,1),0),I74)-MAX(D74,DATE(EINSTELLUNG!$C$35,$A$1,1))+1)/DAY(EOMONTH(DATE(EINSTELLUNG!$C$35,$A$1,1),0))*F74,2),"")</f>
        <v/>
      </c>
      <c r="I74" s="158"/>
      <c r="J74" s="165"/>
      <c r="K74" s="364" t="str">
        <f t="shared" si="3"/>
        <v/>
      </c>
      <c r="L74" s="366"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167"/>
      <c r="N74" s="168"/>
    </row>
    <row r="75" spans="1:14" ht="21.95" customHeight="1" x14ac:dyDescent="0.35">
      <c r="A75" s="363" t="s">
        <v>146</v>
      </c>
      <c r="B75" s="181"/>
      <c r="C75" s="182"/>
      <c r="D75" s="186"/>
      <c r="E75" s="184"/>
      <c r="F75" s="190"/>
      <c r="G75" s="364" t="str">
        <f>IF(OR(E75="",F75=""),"",PID_KVLohnLookup($A$1,E75,F75,LOHNTABELLE!$H$4))</f>
        <v/>
      </c>
      <c r="H75" s="365" t="str">
        <f>IF(AND(ISNUMBER(D75),ISNUMBER(F75)),ROUNDDOWN(MIN(IF(OR(ISBLANK(I75),I75=""),EOMONTH(DATE(EINSTELLUNG!$C$35,$A$1,1),0),I75)-MAX(D75,DATE(EINSTELLUNG!$C$35,$A$1,1))+1)/DAY(EOMONTH(DATE(EINSTELLUNG!$C$35,$A$1,1),0))*F75,2),"")</f>
        <v/>
      </c>
      <c r="I75" s="186"/>
      <c r="J75" s="187"/>
      <c r="K75" s="364" t="str">
        <f t="shared" si="3"/>
        <v/>
      </c>
      <c r="L75" s="366"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88"/>
      <c r="N75" s="189"/>
    </row>
    <row r="76" spans="1:14" ht="21.95" customHeight="1" x14ac:dyDescent="0.35">
      <c r="A76" s="363" t="s">
        <v>147</v>
      </c>
      <c r="B76" s="152"/>
      <c r="C76" s="153"/>
      <c r="D76" s="158"/>
      <c r="E76" s="155"/>
      <c r="F76" s="156"/>
      <c r="G76" s="364" t="str">
        <f>IF(OR(E76="",F76=""),"",PID_KVLohnLookup($A$1,E76,F76,LOHNTABELLE!$H$4))</f>
        <v/>
      </c>
      <c r="H76" s="365" t="str">
        <f>IF(AND(ISNUMBER(D76),ISNUMBER(F76)),ROUNDDOWN(MIN(IF(OR(ISBLANK(I76),I76=""),EOMONTH(DATE(EINSTELLUNG!$C$35,$A$1,1),0),I76)-MAX(D76,DATE(EINSTELLUNG!$C$35,$A$1,1))+1)/DAY(EOMONTH(DATE(EINSTELLUNG!$C$35,$A$1,1),0))*F76,2),"")</f>
        <v/>
      </c>
      <c r="I76" s="158"/>
      <c r="J76" s="165"/>
      <c r="K76" s="364" t="str">
        <f t="shared" si="3"/>
        <v/>
      </c>
      <c r="L76" s="366"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167"/>
      <c r="N76" s="168"/>
    </row>
    <row r="77" spans="1:14" ht="21.95" customHeight="1" x14ac:dyDescent="0.35">
      <c r="A77" s="363" t="s">
        <v>148</v>
      </c>
      <c r="B77" s="181"/>
      <c r="C77" s="182"/>
      <c r="D77" s="186"/>
      <c r="E77" s="184"/>
      <c r="F77" s="190"/>
      <c r="G77" s="364" t="str">
        <f>IF(OR(E77="",F77=""),"",PID_KVLohnLookup($A$1,E77,F77,LOHNTABELLE!$H$4))</f>
        <v/>
      </c>
      <c r="H77" s="365" t="str">
        <f>IF(AND(ISNUMBER(D77),ISNUMBER(F77)),ROUNDDOWN(MIN(IF(OR(ISBLANK(I77),I77=""),EOMONTH(DATE(EINSTELLUNG!$C$35,$A$1,1),0),I77)-MAX(D77,DATE(EINSTELLUNG!$C$35,$A$1,1))+1)/DAY(EOMONTH(DATE(EINSTELLUNG!$C$35,$A$1,1),0))*F77,2),"")</f>
        <v/>
      </c>
      <c r="I77" s="186"/>
      <c r="J77" s="187"/>
      <c r="K77" s="364" t="str">
        <f t="shared" si="3"/>
        <v/>
      </c>
      <c r="L77" s="366"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88"/>
      <c r="N77" s="189"/>
    </row>
    <row r="78" spans="1:14" ht="21.95" customHeight="1" x14ac:dyDescent="0.35">
      <c r="A78" s="363" t="s">
        <v>149</v>
      </c>
      <c r="B78" s="152"/>
      <c r="C78" s="153"/>
      <c r="D78" s="158"/>
      <c r="E78" s="155"/>
      <c r="F78" s="156"/>
      <c r="G78" s="364" t="str">
        <f>IF(OR(E78="",F78=""),"",PID_KVLohnLookup($A$1,E78,F78,LOHNTABELLE!$H$4))</f>
        <v/>
      </c>
      <c r="H78" s="365" t="str">
        <f>IF(AND(ISNUMBER(D78),ISNUMBER(F78)),ROUNDDOWN(MIN(IF(OR(ISBLANK(I78),I78=""),EOMONTH(DATE(EINSTELLUNG!$C$35,$A$1,1),0),I78)-MAX(D78,DATE(EINSTELLUNG!$C$35,$A$1,1))+1)/DAY(EOMONTH(DATE(EINSTELLUNG!$C$35,$A$1,1),0))*F78,2),"")</f>
        <v/>
      </c>
      <c r="I78" s="158"/>
      <c r="J78" s="165"/>
      <c r="K78" s="364" t="str">
        <f t="shared" si="3"/>
        <v/>
      </c>
      <c r="L78" s="366"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167"/>
      <c r="N78" s="168"/>
    </row>
    <row r="79" spans="1:14" ht="21.95" customHeight="1" x14ac:dyDescent="0.35">
      <c r="A79" s="363" t="s">
        <v>150</v>
      </c>
      <c r="B79" s="181"/>
      <c r="C79" s="182"/>
      <c r="D79" s="186"/>
      <c r="E79" s="184"/>
      <c r="F79" s="190"/>
      <c r="G79" s="364" t="str">
        <f>IF(OR(E79="",F79=""),"",PID_KVLohnLookup($A$1,E79,F79,LOHNTABELLE!$H$4))</f>
        <v/>
      </c>
      <c r="H79" s="365" t="str">
        <f>IF(AND(ISNUMBER(D79),ISNUMBER(F79)),ROUNDDOWN(MIN(IF(OR(ISBLANK(I79),I79=""),EOMONTH(DATE(EINSTELLUNG!$C$35,$A$1,1),0),I79)-MAX(D79,DATE(EINSTELLUNG!$C$35,$A$1,1))+1)/DAY(EOMONTH(DATE(EINSTELLUNG!$C$35,$A$1,1),0))*F79,2),"")</f>
        <v/>
      </c>
      <c r="I79" s="186"/>
      <c r="J79" s="187"/>
      <c r="K79" s="364" t="str">
        <f t="shared" si="3"/>
        <v/>
      </c>
      <c r="L79" s="366"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88"/>
      <c r="N79" s="189"/>
    </row>
    <row r="80" spans="1:14" ht="21.95" customHeight="1" x14ac:dyDescent="0.35">
      <c r="A80" s="363" t="s">
        <v>151</v>
      </c>
      <c r="B80" s="152"/>
      <c r="C80" s="153"/>
      <c r="D80" s="158"/>
      <c r="E80" s="155"/>
      <c r="F80" s="156"/>
      <c r="G80" s="364" t="str">
        <f>IF(OR(E80="",F80=""),"",PID_KVLohnLookup($A$1,E80,F80,LOHNTABELLE!$H$4))</f>
        <v/>
      </c>
      <c r="H80" s="365" t="str">
        <f>IF(AND(ISNUMBER(D80),ISNUMBER(F80)),ROUNDDOWN(MIN(IF(OR(ISBLANK(I80),I80=""),EOMONTH(DATE(EINSTELLUNG!$C$35,$A$1,1),0),I80)-MAX(D80,DATE(EINSTELLUNG!$C$35,$A$1,1))+1)/DAY(EOMONTH(DATE(EINSTELLUNG!$C$35,$A$1,1),0))*F80,2),"")</f>
        <v/>
      </c>
      <c r="I80" s="158"/>
      <c r="J80" s="165"/>
      <c r="K80" s="364" t="str">
        <f t="shared" si="3"/>
        <v/>
      </c>
      <c r="L80" s="366"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167"/>
      <c r="N80" s="168"/>
    </row>
    <row r="81" spans="1:14" ht="21.95" customHeight="1" x14ac:dyDescent="0.35">
      <c r="A81" s="363" t="s">
        <v>152</v>
      </c>
      <c r="B81" s="181"/>
      <c r="C81" s="182"/>
      <c r="D81" s="186"/>
      <c r="E81" s="184"/>
      <c r="F81" s="190"/>
      <c r="G81" s="364" t="str">
        <f>IF(OR(E81="",F81=""),"",PID_KVLohnLookup($A$1,E81,F81,LOHNTABELLE!$H$4))</f>
        <v/>
      </c>
      <c r="H81" s="365" t="str">
        <f>IF(AND(ISNUMBER(D81),ISNUMBER(F81)),ROUNDDOWN(MIN(IF(OR(ISBLANK(I81),I81=""),EOMONTH(DATE(EINSTELLUNG!$C$35,$A$1,1),0),I81)-MAX(D81,DATE(EINSTELLUNG!$C$35,$A$1,1))+1)/DAY(EOMONTH(DATE(EINSTELLUNG!$C$35,$A$1,1),0))*F81,2),"")</f>
        <v/>
      </c>
      <c r="I81" s="186"/>
      <c r="J81" s="187"/>
      <c r="K81" s="364" t="str">
        <f t="shared" si="3"/>
        <v/>
      </c>
      <c r="L81" s="366"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88"/>
      <c r="N81" s="189"/>
    </row>
    <row r="82" spans="1:14" ht="21.95" customHeight="1" thickBot="1" x14ac:dyDescent="0.4">
      <c r="A82" s="423" t="s">
        <v>153</v>
      </c>
      <c r="B82" s="160"/>
      <c r="C82" s="161"/>
      <c r="D82" s="162"/>
      <c r="E82" s="163"/>
      <c r="F82" s="164"/>
      <c r="G82" s="424" t="str">
        <f>IF(OR(E82="",F82=""),"",PID_KVLohnLookup($A$1,E82,F82,LOHNTABELLE!$H$4))</f>
        <v/>
      </c>
      <c r="H82" s="425" t="str">
        <f>IF(AND(ISNUMBER(D82),ISNUMBER(F82)),ROUNDDOWN(MIN(IF(OR(ISBLANK(I82),I82=""),EOMONTH(DATE(EINSTELLUNG!$C$35,$A$1,1),0),I82)-MAX(D82,DATE(EINSTELLUNG!$C$35,$A$1,1))+1)/DAY(EOMONTH(DATE(EINSTELLUNG!$C$35,$A$1,1),0))*F82,2),"")</f>
        <v/>
      </c>
      <c r="I82" s="162"/>
      <c r="J82" s="166"/>
      <c r="K82" s="424" t="str">
        <f t="shared" si="3"/>
        <v/>
      </c>
      <c r="L82" s="42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71"/>
      <c r="N82" s="172"/>
    </row>
    <row r="100" spans="26:26" ht="15.95" customHeight="1" x14ac:dyDescent="0.3">
      <c r="Z100" s="343"/>
    </row>
  </sheetData>
  <sheetProtection algorithmName="SHA-512" hashValue="8zhScmdwIGB1bZmf+i0JXYLAarRQ3Nq2DxB9ukRtX7+hR6Ny7p0CbuPhuyNl3yzBO9k2tAjeLnVW1BNAXCyz+w==" saltValue="+ET8coSDzuMQJPdsnaf2Kg==" spinCount="100000" sheet="1" objects="1" scenarios="1" autoFilter="0"/>
  <sortState xmlns:xlrd2="http://schemas.microsoft.com/office/spreadsheetml/2017/richdata2" ref="B3:N82">
    <sortCondition ref="B3:B82"/>
    <sortCondition ref="C3:C82"/>
  </sortState>
  <dataConsolidate/>
  <mergeCells count="102">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 ref="O18:P18"/>
    <mergeCell ref="Q18:R18"/>
    <mergeCell ref="O19:P19"/>
    <mergeCell ref="Q19:R19"/>
    <mergeCell ref="O12:P12"/>
    <mergeCell ref="Q12:R12"/>
    <mergeCell ref="O13:P13"/>
    <mergeCell ref="Q13:R13"/>
    <mergeCell ref="O14:P14"/>
    <mergeCell ref="Q14:R14"/>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U38:V38"/>
    <mergeCell ref="O39:P39"/>
    <mergeCell ref="Q39:R39"/>
    <mergeCell ref="S39:T39"/>
    <mergeCell ref="U39:V39"/>
    <mergeCell ref="O36:P36"/>
    <mergeCell ref="Q36:R36"/>
    <mergeCell ref="S36:T36"/>
    <mergeCell ref="U36:V36"/>
    <mergeCell ref="O37:P37"/>
    <mergeCell ref="Q37:R37"/>
    <mergeCell ref="S37:T37"/>
    <mergeCell ref="U37:V37"/>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9178CDB-ADC6-482F-B26F-BD8E5385A7E4}">
          <x14:formula1>
            <xm:f>KV_DROPDOWN_HELPER!$AJY$1:$AJY$12</xm:f>
          </x14:formula1>
          <xm:sqref>E3:E82</xm:sqref>
        </x14:dataValidation>
        <x14:dataValidation type="list" allowBlank="1" showInputMessage="1" showErrorMessage="1" xr:uid="{7212EF46-C308-4D08-8BE4-2F8A0D499223}">
          <x14:formula1>
            <xm:f>KV_DROPDOWN_HELPER!$OK$1:$OK$13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40625" defaultRowHeight="15.95" customHeight="1" x14ac:dyDescent="0.3"/>
  <cols>
    <col min="1" max="1" width="4.42578125" style="427" customWidth="1"/>
    <col min="2" max="2" width="9.140625" style="427" customWidth="1"/>
    <col min="3" max="3" width="35.5703125" style="263" customWidth="1"/>
    <col min="4" max="4" width="13.5703125" style="263" customWidth="1"/>
    <col min="5" max="5" width="9.5703125" style="263" customWidth="1"/>
    <col min="6" max="6" width="10.5703125" style="263" customWidth="1"/>
    <col min="7" max="7" width="13.5703125" style="263" customWidth="1"/>
    <col min="8" max="8" width="11.5703125" style="263" customWidth="1"/>
    <col min="9" max="10" width="13.5703125" style="263" customWidth="1"/>
    <col min="11" max="11" width="14.5703125" style="263" customWidth="1"/>
    <col min="12" max="12" width="14.5703125" style="389" customWidth="1"/>
    <col min="13" max="13" width="17.85546875" style="263" customWidth="1"/>
    <col min="14" max="14" width="34.5703125" style="263" customWidth="1"/>
    <col min="15" max="15" width="12.5703125" style="263" customWidth="1"/>
    <col min="16" max="16" width="16.5703125" style="263" customWidth="1"/>
    <col min="17" max="17" width="14.5703125" style="263" customWidth="1"/>
    <col min="18" max="18" width="13.5703125" style="263" customWidth="1"/>
    <col min="19" max="19" width="9.5703125" style="263" customWidth="1"/>
    <col min="20" max="20" width="10.5703125" style="263" customWidth="1"/>
    <col min="21" max="21" width="7.5703125" style="263" customWidth="1"/>
    <col min="22" max="27" width="9.140625" style="263"/>
    <col min="28" max="28" width="10.5703125" style="263" bestFit="1" customWidth="1"/>
    <col min="29" max="16384" width="9.140625" style="263"/>
  </cols>
  <sheetData>
    <row r="1" spans="1:28" ht="18" customHeight="1" x14ac:dyDescent="0.3">
      <c r="A1" s="344">
        <v>7</v>
      </c>
      <c r="B1" s="345" t="s">
        <v>179</v>
      </c>
      <c r="C1" s="346" t="s">
        <v>39</v>
      </c>
      <c r="D1" s="346" t="s">
        <v>180</v>
      </c>
      <c r="E1" s="346" t="s">
        <v>0</v>
      </c>
      <c r="F1" s="346" t="s">
        <v>40</v>
      </c>
      <c r="G1" s="346" t="s">
        <v>41</v>
      </c>
      <c r="H1" s="346" t="s">
        <v>42</v>
      </c>
      <c r="I1" s="346" t="s">
        <v>181</v>
      </c>
      <c r="J1" s="346" t="s">
        <v>43</v>
      </c>
      <c r="K1" s="346" t="s">
        <v>44</v>
      </c>
      <c r="L1" s="346" t="s">
        <v>45</v>
      </c>
      <c r="M1" s="346" t="s">
        <v>46</v>
      </c>
      <c r="N1" s="347" t="s">
        <v>182</v>
      </c>
      <c r="AB1" s="348">
        <f>DATE(EINSTELLUNG!$C$35,$A$1,1)</f>
        <v>46204</v>
      </c>
    </row>
    <row r="2" spans="1:28" ht="18" customHeight="1" thickBot="1" x14ac:dyDescent="0.35">
      <c r="A2" s="349"/>
      <c r="B2" s="350"/>
      <c r="C2" s="351"/>
      <c r="D2" s="351"/>
      <c r="E2" s="351"/>
      <c r="F2" s="351"/>
      <c r="G2" s="351"/>
      <c r="H2" s="351"/>
      <c r="I2" s="351"/>
      <c r="J2" s="351"/>
      <c r="K2" s="351"/>
      <c r="L2" s="351"/>
      <c r="M2" s="351"/>
      <c r="N2" s="352"/>
      <c r="O2" s="353"/>
      <c r="P2" s="353"/>
      <c r="Q2" s="353"/>
      <c r="S2" s="354" t="s">
        <v>291</v>
      </c>
      <c r="T2" s="354"/>
      <c r="U2" s="354"/>
      <c r="V2" s="354"/>
      <c r="AB2" s="348">
        <f>EOMONTH(DATE(EINSTELLUNG!$C$35,$A$1,1),0)</f>
        <v>46234</v>
      </c>
    </row>
    <row r="3" spans="1:28" ht="21.95" customHeight="1" x14ac:dyDescent="0.35">
      <c r="A3" s="355" t="s">
        <v>292</v>
      </c>
      <c r="B3" s="173">
        <v>21867</v>
      </c>
      <c r="C3" s="151" t="s">
        <v>385</v>
      </c>
      <c r="D3" s="177">
        <v>46023</v>
      </c>
      <c r="E3" s="175" t="s">
        <v>2</v>
      </c>
      <c r="F3" s="176">
        <v>173</v>
      </c>
      <c r="G3" s="356">
        <f>IF(OR(E3="",F3=""),"",PID_KVLohnLookup($A$1,E3,F3,LOHNTABELLE!$H$4))</f>
        <v>2100</v>
      </c>
      <c r="H3" s="357">
        <f>IF(AND(ISNUMBER(D3),ISNUMBER(F3)),ROUNDDOWN(MIN(IF(OR(ISBLANK(I3),I3=""),EOMONTH(DATE(EINSTELLUNG!$C$35,$A$1,1),0),I3)-MAX(D3,DATE(EINSTELLUNG!$C$35,$A$1,1))+1)/DAY(EOMONTH(DATE(EINSTELLUNG!$C$35,$A$1,1),0))*F3,2),"")</f>
        <v>173</v>
      </c>
      <c r="I3" s="177"/>
      <c r="J3" s="178"/>
      <c r="K3" s="356">
        <f t="shared" ref="K3:K34" si="0">IF(OR(B3="",C3=""),"",IFERROR(IF(OR(MONTH(D3)=1,MONTH(D3)=3,MONTH(D3)=5,MONTH(D3)=7,MONTH(D3)=8,MONTH(D3)=10,MONTH(D3)=12),(G3/31)*J3,IF(OR(MONTH(D3)=4,MONTH(D3)=6,MONTH(D3)=9,MONTH(D3)=11),(G3/30)*J3,(G3/DAY(EOMONTH(D3,0)))*J3)),0))</f>
        <v>0</v>
      </c>
      <c r="L3" s="35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2100</v>
      </c>
      <c r="M3" s="179"/>
      <c r="N3" s="180"/>
      <c r="O3" s="359" t="s">
        <v>47</v>
      </c>
      <c r="P3" s="359" t="s">
        <v>48</v>
      </c>
      <c r="Q3" s="359" t="s">
        <v>49</v>
      </c>
      <c r="R3" s="360" t="s">
        <v>50</v>
      </c>
      <c r="S3" s="361"/>
      <c r="T3" s="361"/>
      <c r="U3" s="361"/>
      <c r="V3" s="361"/>
      <c r="AB3" s="362"/>
    </row>
    <row r="4" spans="1:28" ht="21.95" customHeight="1" x14ac:dyDescent="0.35">
      <c r="A4" s="363" t="s">
        <v>51</v>
      </c>
      <c r="B4" s="152">
        <v>221340</v>
      </c>
      <c r="C4" s="153" t="s">
        <v>333</v>
      </c>
      <c r="D4" s="154">
        <v>32994</v>
      </c>
      <c r="E4" s="155" t="s">
        <v>2</v>
      </c>
      <c r="F4" s="156">
        <v>151.38</v>
      </c>
      <c r="G4" s="364">
        <f>IF(OR(E4="",F4=""),"",PID_KVLohnLookup($A$1,E4,F4,LOHNTABELLE!$H$4))</f>
        <v>1768.38</v>
      </c>
      <c r="H4" s="365">
        <f>IF(AND(ISNUMBER(D4),ISNUMBER(F4)),ROUNDDOWN(MIN(IF(OR(ISBLANK(I4),I4=""),EOMONTH(DATE(EINSTELLUNG!$C$35,$A$1,1),0),I4)-MAX(D4,DATE(EINSTELLUNG!$C$35,$A$1,1))+1)/DAY(EOMONTH(DATE(EINSTELLUNG!$C$35,$A$1,1),0))*F4,2),"")</f>
        <v>151.38</v>
      </c>
      <c r="I4" s="158"/>
      <c r="J4" s="165"/>
      <c r="K4" s="364">
        <f t="shared" si="0"/>
        <v>0</v>
      </c>
      <c r="L4" s="366">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1768.38</v>
      </c>
      <c r="M4" s="167"/>
      <c r="N4" s="168"/>
      <c r="O4" s="367"/>
      <c r="P4" s="367"/>
      <c r="Q4" s="367"/>
      <c r="R4" s="368"/>
      <c r="S4" s="361"/>
      <c r="T4" s="361"/>
      <c r="U4" s="361"/>
      <c r="V4" s="361"/>
    </row>
    <row r="5" spans="1:28" ht="21.95" customHeight="1" x14ac:dyDescent="0.35">
      <c r="A5" s="363" t="s">
        <v>52</v>
      </c>
      <c r="B5" s="181"/>
      <c r="C5" s="182"/>
      <c r="D5" s="183"/>
      <c r="E5" s="184"/>
      <c r="F5" s="190"/>
      <c r="G5" s="364" t="str">
        <f>IF(OR(E5="",F5=""),"",PID_KVLohnLookup($A$1,E5,F5,LOHNTABELLE!$H$4))</f>
        <v/>
      </c>
      <c r="H5" s="365" t="str">
        <f>IF(AND(ISNUMBER(D5),ISNUMBER(F5)),ROUNDDOWN(MIN(IF(OR(ISBLANK(I5),I5=""),EOMONTH(DATE(EINSTELLUNG!$C$35,$A$1,1),0),I5)-MAX(D5,DATE(EINSTELLUNG!$C$35,$A$1,1))+1)/DAY(EOMONTH(DATE(EINSTELLUNG!$C$35,$A$1,1),0))*F5,2),"")</f>
        <v/>
      </c>
      <c r="I5" s="186"/>
      <c r="J5" s="187"/>
      <c r="K5" s="364" t="str">
        <f t="shared" si="0"/>
        <v/>
      </c>
      <c r="L5" s="366"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188"/>
      <c r="N5" s="189"/>
      <c r="O5" s="369" cm="1">
        <f t="array" ref="O5">SUMPRODUCT((F3:F82/4.310808)/5*2.08)</f>
        <v>31.303198843465079</v>
      </c>
      <c r="P5" s="370">
        <f>EINSTELLUNG!I12</f>
        <v>0</v>
      </c>
      <c r="Q5" s="370">
        <f>P5-O5</f>
        <v>-31.303198843465079</v>
      </c>
      <c r="R5" s="371">
        <f>IFERROR(Q5*Q42, 0)</f>
        <v>-373.30497670042377</v>
      </c>
      <c r="S5" s="361"/>
      <c r="T5" s="361"/>
      <c r="U5" s="361"/>
      <c r="V5" s="361"/>
    </row>
    <row r="6" spans="1:28" ht="21.95" customHeight="1" x14ac:dyDescent="0.35">
      <c r="A6" s="363" t="s">
        <v>53</v>
      </c>
      <c r="B6" s="152"/>
      <c r="C6" s="153"/>
      <c r="D6" s="154"/>
      <c r="E6" s="155"/>
      <c r="F6" s="156"/>
      <c r="G6" s="364" t="str">
        <f>IF(OR(E6="",F6=""),"",PID_KVLohnLookup($A$1,E6,F6,LOHNTABELLE!$H$4))</f>
        <v/>
      </c>
      <c r="H6" s="365" t="str">
        <f>IF(AND(ISNUMBER(D6),ISNUMBER(F6)),ROUNDDOWN(MIN(IF(OR(ISBLANK(I6),I6=""),EOMONTH(DATE(EINSTELLUNG!$C$35,$A$1,1),0),I6)-MAX(D6,DATE(EINSTELLUNG!$C$35,$A$1,1))+1)/DAY(EOMONTH(DATE(EINSTELLUNG!$C$35,$A$1,1),0))*F6,2),"")</f>
        <v/>
      </c>
      <c r="I6" s="158"/>
      <c r="J6" s="165"/>
      <c r="K6" s="364" t="str">
        <f t="shared" si="0"/>
        <v/>
      </c>
      <c r="L6" s="366"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167"/>
      <c r="N6" s="168"/>
      <c r="O6" s="372" t="str">
        <f>IF(Q5&lt;0, "Schlecht! Zu wenig Urlaub abgebaut.", IF(Q5&gt;0, "Gut! Mehr Urlaub abgebaut als aufgebaut.", ""))</f>
        <v>Schlecht! Zu wenig Urlaub abgebaut.</v>
      </c>
      <c r="P6" s="373"/>
      <c r="Q6" s="373"/>
      <c r="R6" s="374"/>
      <c r="S6" s="361"/>
      <c r="T6" s="361"/>
      <c r="U6" s="361"/>
      <c r="V6" s="361"/>
    </row>
    <row r="7" spans="1:28" ht="21.95" customHeight="1" thickBot="1" x14ac:dyDescent="0.4">
      <c r="A7" s="363" t="s">
        <v>54</v>
      </c>
      <c r="B7" s="181"/>
      <c r="C7" s="182"/>
      <c r="D7" s="183"/>
      <c r="E7" s="184"/>
      <c r="F7" s="190"/>
      <c r="G7" s="364" t="str">
        <f>IF(OR(E7="",F7=""),"",PID_KVLohnLookup($A$1,E7,F7,LOHNTABELLE!$H$4))</f>
        <v/>
      </c>
      <c r="H7" s="365" t="str">
        <f>IF(AND(ISNUMBER(D7),ISNUMBER(F7)),ROUNDDOWN(MIN(IF(OR(ISBLANK(I7),I7=""),EOMONTH(DATE(EINSTELLUNG!$C$35,$A$1,1),0),I7)-MAX(D7,DATE(EINSTELLUNG!$C$35,$A$1,1))+1)/DAY(EOMONTH(DATE(EINSTELLUNG!$C$35,$A$1,1),0))*F7,2),"")</f>
        <v/>
      </c>
      <c r="I7" s="186"/>
      <c r="J7" s="187"/>
      <c r="K7" s="364" t="str">
        <f t="shared" si="0"/>
        <v/>
      </c>
      <c r="L7" s="366"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188"/>
      <c r="N7" s="189"/>
      <c r="O7" s="361"/>
      <c r="P7" s="361"/>
      <c r="Q7" s="361"/>
      <c r="R7" s="361"/>
      <c r="S7" s="361"/>
      <c r="T7" s="361"/>
      <c r="U7" s="361"/>
      <c r="V7" s="361"/>
    </row>
    <row r="8" spans="1:28" ht="21.95" customHeight="1" x14ac:dyDescent="0.35">
      <c r="A8" s="363" t="s">
        <v>55</v>
      </c>
      <c r="B8" s="152"/>
      <c r="C8" s="153"/>
      <c r="D8" s="154"/>
      <c r="E8" s="155"/>
      <c r="F8" s="156"/>
      <c r="G8" s="364" t="str">
        <f>IF(OR(E8="",F8=""),"",PID_KVLohnLookup($A$1,E8,F8,LOHNTABELLE!$H$4))</f>
        <v/>
      </c>
      <c r="H8" s="365" t="str">
        <f>IF(AND(ISNUMBER(D8),ISNUMBER(F8)),ROUNDDOWN(MIN(IF(OR(ISBLANK(I8),I8=""),EOMONTH(DATE(EINSTELLUNG!$C$35,$A$1,1),0),I8)-MAX(D8,DATE(EINSTELLUNG!$C$35,$A$1,1))+1)/DAY(EOMONTH(DATE(EINSTELLUNG!$C$35,$A$1,1),0))*F8,2),"")</f>
        <v/>
      </c>
      <c r="I8" s="158"/>
      <c r="J8" s="165"/>
      <c r="K8" s="364" t="str">
        <f t="shared" si="0"/>
        <v/>
      </c>
      <c r="L8" s="366"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167"/>
      <c r="N8" s="168"/>
      <c r="O8" s="375" t="s">
        <v>56</v>
      </c>
      <c r="P8" s="376"/>
      <c r="Q8" s="377">
        <f>SUM(H3:H82)</f>
        <v>324.38</v>
      </c>
      <c r="R8" s="378"/>
      <c r="S8" s="361"/>
      <c r="T8" s="361"/>
      <c r="U8" s="361"/>
      <c r="V8" s="361"/>
    </row>
    <row r="9" spans="1:28" ht="21.95" customHeight="1" x14ac:dyDescent="0.35">
      <c r="A9" s="363" t="s">
        <v>57</v>
      </c>
      <c r="B9" s="181"/>
      <c r="C9" s="182"/>
      <c r="D9" s="183"/>
      <c r="E9" s="184"/>
      <c r="F9" s="190"/>
      <c r="G9" s="364" t="str">
        <f>IF(OR(E9="",F9=""),"",PID_KVLohnLookup($A$1,E9,F9,LOHNTABELLE!$H$4))</f>
        <v/>
      </c>
      <c r="H9" s="365" t="str">
        <f>IF(AND(ISNUMBER(D9),ISNUMBER(F9)),ROUNDDOWN(MIN(IF(OR(ISBLANK(I9),I9=""),EOMONTH(DATE(EINSTELLUNG!$C$35,$A$1,1),0),I9)-MAX(D9,DATE(EINSTELLUNG!$C$35,$A$1,1))+1)/DAY(EOMONTH(DATE(EINSTELLUNG!$C$35,$A$1,1),0))*F9,2),"")</f>
        <v/>
      </c>
      <c r="I9" s="186"/>
      <c r="J9" s="187"/>
      <c r="K9" s="364" t="str">
        <f t="shared" si="0"/>
        <v/>
      </c>
      <c r="L9" s="366"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188"/>
      <c r="N9" s="189"/>
      <c r="O9" s="379" t="s">
        <v>58</v>
      </c>
      <c r="P9" s="380"/>
      <c r="Q9" s="381">
        <f>EINSTELLUNG!L28</f>
        <v>0</v>
      </c>
      <c r="R9" s="382"/>
      <c r="S9" s="383">
        <f>IFERROR(Q9/Q8, 0)</f>
        <v>0</v>
      </c>
      <c r="T9" s="361"/>
      <c r="U9" s="361"/>
      <c r="V9" s="361"/>
    </row>
    <row r="10" spans="1:28" ht="21.95" customHeight="1" x14ac:dyDescent="0.35">
      <c r="A10" s="363" t="s">
        <v>59</v>
      </c>
      <c r="B10" s="152"/>
      <c r="C10" s="153"/>
      <c r="D10" s="154"/>
      <c r="E10" s="155"/>
      <c r="F10" s="156"/>
      <c r="G10" s="364" t="str">
        <f>IF(OR(E10="",F10=""),"",PID_KVLohnLookup($A$1,E10,F10,LOHNTABELLE!$H$4))</f>
        <v/>
      </c>
      <c r="H10" s="365" t="str">
        <f>IF(AND(ISNUMBER(D10),ISNUMBER(F10)),ROUNDDOWN(MIN(IF(OR(ISBLANK(I10),I10=""),EOMONTH(DATE(EINSTELLUNG!$C$35,$A$1,1),0),I10)-MAX(D10,DATE(EINSTELLUNG!$C$35,$A$1,1))+1)/DAY(EOMONTH(DATE(EINSTELLUNG!$C$35,$A$1,1),0))*F10,2),"")</f>
        <v/>
      </c>
      <c r="I10" s="158"/>
      <c r="J10" s="165"/>
      <c r="K10" s="364" t="str">
        <f t="shared" si="0"/>
        <v/>
      </c>
      <c r="L10" s="366"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167"/>
      <c r="N10" s="168"/>
      <c r="O10" s="379" t="s">
        <v>60</v>
      </c>
      <c r="P10" s="380"/>
      <c r="Q10" s="381">
        <f>EINSTELLUNG!I28</f>
        <v>0</v>
      </c>
      <c r="R10" s="382"/>
      <c r="S10" s="361"/>
      <c r="T10" s="361"/>
      <c r="U10" s="361"/>
      <c r="V10" s="361"/>
    </row>
    <row r="11" spans="1:28" ht="21.95" customHeight="1" x14ac:dyDescent="0.35">
      <c r="A11" s="363" t="s">
        <v>61</v>
      </c>
      <c r="B11" s="181"/>
      <c r="C11" s="182"/>
      <c r="D11" s="183"/>
      <c r="E11" s="184"/>
      <c r="F11" s="190"/>
      <c r="G11" s="364" t="str">
        <f>IF(OR(E11="",F11=""),"",PID_KVLohnLookup($A$1,E11,F11,LOHNTABELLE!$H$4))</f>
        <v/>
      </c>
      <c r="H11" s="365" t="str">
        <f>IF(AND(ISNUMBER(D11),ISNUMBER(F11)),ROUNDDOWN(MIN(IF(OR(ISBLANK(I11),I11=""),EOMONTH(DATE(EINSTELLUNG!$C$35,$A$1,1),0),I11)-MAX(D11,DATE(EINSTELLUNG!$C$35,$A$1,1))+1)/DAY(EOMONTH(DATE(EINSTELLUNG!$C$35,$A$1,1),0))*F11,2),"")</f>
        <v/>
      </c>
      <c r="I11" s="186"/>
      <c r="J11" s="187"/>
      <c r="K11" s="364" t="str">
        <f t="shared" si="0"/>
        <v/>
      </c>
      <c r="L11" s="366"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188"/>
      <c r="N11" s="189"/>
      <c r="O11" s="379" t="s">
        <v>62</v>
      </c>
      <c r="P11" s="380"/>
      <c r="Q11" s="381">
        <f>P5</f>
        <v>0</v>
      </c>
      <c r="R11" s="382"/>
      <c r="S11" s="361"/>
      <c r="T11" s="361"/>
      <c r="U11" s="361"/>
      <c r="V11" s="361"/>
    </row>
    <row r="12" spans="1:28" ht="21.95" customHeight="1" x14ac:dyDescent="0.35">
      <c r="A12" s="363" t="s">
        <v>63</v>
      </c>
      <c r="B12" s="152"/>
      <c r="C12" s="153"/>
      <c r="D12" s="154"/>
      <c r="E12" s="155"/>
      <c r="F12" s="156"/>
      <c r="G12" s="364" t="str">
        <f>IF(OR(E12="",F12=""),"",PID_KVLohnLookup($A$1,E12,F12,LOHNTABELLE!$H$4))</f>
        <v/>
      </c>
      <c r="H12" s="365" t="str">
        <f>IF(AND(ISNUMBER(D12),ISNUMBER(F12)),ROUNDDOWN(MIN(IF(OR(ISBLANK(I12),I12=""),EOMONTH(DATE(EINSTELLUNG!$C$35,$A$1,1),0),I12)-MAX(D12,DATE(EINSTELLUNG!$C$35,$A$1,1))+1)/DAY(EOMONTH(DATE(EINSTELLUNG!$C$35,$A$1,1),0))*F12,2),"")</f>
        <v/>
      </c>
      <c r="I12" s="158"/>
      <c r="J12" s="165"/>
      <c r="K12" s="364" t="str">
        <f t="shared" si="0"/>
        <v/>
      </c>
      <c r="L12" s="366"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167"/>
      <c r="N12" s="168"/>
      <c r="O12" s="379" t="s">
        <v>64</v>
      </c>
      <c r="P12" s="380"/>
      <c r="Q12" s="199"/>
      <c r="R12" s="200"/>
      <c r="S12" s="361"/>
      <c r="T12" s="361"/>
      <c r="U12" s="361"/>
      <c r="V12" s="361"/>
    </row>
    <row r="13" spans="1:28" ht="21.95" customHeight="1" x14ac:dyDescent="0.35">
      <c r="A13" s="363" t="s">
        <v>65</v>
      </c>
      <c r="B13" s="181"/>
      <c r="C13" s="182"/>
      <c r="D13" s="183"/>
      <c r="E13" s="184"/>
      <c r="F13" s="190"/>
      <c r="G13" s="364" t="str">
        <f>IF(OR(E13="",F13=""),"",PID_KVLohnLookup($A$1,E13,F13,LOHNTABELLE!$H$4))</f>
        <v/>
      </c>
      <c r="H13" s="365" t="str">
        <f>IF(AND(ISNUMBER(D13),ISNUMBER(F13)),ROUNDDOWN(MIN(IF(OR(ISBLANK(I13),I13=""),EOMONTH(DATE(EINSTELLUNG!$C$35,$A$1,1),0),I13)-MAX(D13,DATE(EINSTELLUNG!$C$35,$A$1,1))+1)/DAY(EOMONTH(DATE(EINSTELLUNG!$C$35,$A$1,1),0))*F13,2),"")</f>
        <v/>
      </c>
      <c r="I13" s="186"/>
      <c r="J13" s="187"/>
      <c r="K13" s="364" t="str">
        <f t="shared" si="0"/>
        <v/>
      </c>
      <c r="L13" s="366"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188"/>
      <c r="N13" s="189"/>
      <c r="O13" s="379" t="s">
        <v>66</v>
      </c>
      <c r="P13" s="380"/>
      <c r="Q13" s="381">
        <f>Q8-Q9-Q10-Q11-Q12</f>
        <v>324.38</v>
      </c>
      <c r="R13" s="382"/>
      <c r="S13" s="361"/>
      <c r="T13" s="361"/>
      <c r="U13" s="361"/>
      <c r="V13" s="361"/>
    </row>
    <row r="14" spans="1:28" ht="21.95" customHeight="1" x14ac:dyDescent="0.35">
      <c r="A14" s="363" t="s">
        <v>67</v>
      </c>
      <c r="B14" s="152"/>
      <c r="C14" s="153"/>
      <c r="D14" s="154"/>
      <c r="E14" s="155"/>
      <c r="F14" s="156"/>
      <c r="G14" s="364" t="str">
        <f>IF(OR(E14="",F14=""),"",PID_KVLohnLookup($A$1,E14,F14,LOHNTABELLE!$H$4))</f>
        <v/>
      </c>
      <c r="H14" s="365" t="str">
        <f>IF(AND(ISNUMBER(D14),ISNUMBER(F14)),ROUNDDOWN(MIN(IF(OR(ISBLANK(I14),I14=""),EOMONTH(DATE(EINSTELLUNG!$C$35,$A$1,1),0),I14)-MAX(D14,DATE(EINSTELLUNG!$C$35,$A$1,1))+1)/DAY(EOMONTH(DATE(EINSTELLUNG!$C$35,$A$1,1),0))*F14,2),"")</f>
        <v/>
      </c>
      <c r="I14" s="158"/>
      <c r="J14" s="165"/>
      <c r="K14" s="364" t="str">
        <f t="shared" si="0"/>
        <v/>
      </c>
      <c r="L14" s="366"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167"/>
      <c r="N14" s="168"/>
      <c r="O14" s="379" t="s">
        <v>68</v>
      </c>
      <c r="P14" s="380"/>
      <c r="Q14" s="381">
        <f>EINSTELLUNG!L12</f>
        <v>0</v>
      </c>
      <c r="R14" s="382"/>
      <c r="S14" s="361"/>
      <c r="T14" s="361"/>
      <c r="U14" s="361"/>
      <c r="V14" s="361"/>
    </row>
    <row r="15" spans="1:28" ht="21.95" customHeight="1" x14ac:dyDescent="0.35">
      <c r="A15" s="363" t="s">
        <v>69</v>
      </c>
      <c r="B15" s="181"/>
      <c r="C15" s="182"/>
      <c r="D15" s="186"/>
      <c r="E15" s="184"/>
      <c r="F15" s="190"/>
      <c r="G15" s="364" t="str">
        <f>IF(OR(E15="",F15=""),"",PID_KVLohnLookup($A$1,E15,F15,LOHNTABELLE!$H$4))</f>
        <v/>
      </c>
      <c r="H15" s="365" t="str">
        <f>IF(AND(ISNUMBER(D15),ISNUMBER(F15)),ROUNDDOWN(MIN(IF(OR(ISBLANK(I15),I15=""),EOMONTH(DATE(EINSTELLUNG!$C$35,$A$1,1),0),I15)-MAX(D15,DATE(EINSTELLUNG!$C$35,$A$1,1))+1)/DAY(EOMONTH(DATE(EINSTELLUNG!$C$35,$A$1,1),0))*F15,2),"")</f>
        <v/>
      </c>
      <c r="I15" s="186"/>
      <c r="J15" s="187"/>
      <c r="K15" s="364" t="str">
        <f t="shared" si="0"/>
        <v/>
      </c>
      <c r="L15" s="366"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188"/>
      <c r="N15" s="189"/>
      <c r="O15" s="379" t="s">
        <v>70</v>
      </c>
      <c r="P15" s="380"/>
      <c r="Q15" s="381">
        <f>Q13-Q14</f>
        <v>324.38</v>
      </c>
      <c r="R15" s="382"/>
      <c r="S15" s="384"/>
      <c r="T15" s="384"/>
      <c r="U15" s="384"/>
      <c r="V15" s="361"/>
    </row>
    <row r="16" spans="1:28" ht="21.95" customHeight="1" thickBot="1" x14ac:dyDescent="0.4">
      <c r="A16" s="363" t="s">
        <v>71</v>
      </c>
      <c r="B16" s="152"/>
      <c r="C16" s="153"/>
      <c r="D16" s="154"/>
      <c r="E16" s="155"/>
      <c r="F16" s="156"/>
      <c r="G16" s="364" t="str">
        <f>IF(OR(E16="",F16=""),"",PID_KVLohnLookup($A$1,E16,F16,LOHNTABELLE!$H$4))</f>
        <v/>
      </c>
      <c r="H16" s="365" t="str">
        <f>IF(AND(ISNUMBER(D16),ISNUMBER(F16)),ROUNDDOWN(MIN(IF(OR(ISBLANK(I16),I16=""),EOMONTH(DATE(EINSTELLUNG!$C$35,$A$1,1),0),I16)-MAX(D16,DATE(EINSTELLUNG!$C$35,$A$1,1))+1)/DAY(EOMONTH(DATE(EINSTELLUNG!$C$35,$A$1,1),0))*F16,2),"")</f>
        <v/>
      </c>
      <c r="I16" s="158"/>
      <c r="J16" s="165"/>
      <c r="K16" s="364" t="str">
        <f t="shared" si="0"/>
        <v/>
      </c>
      <c r="L16" s="366"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167"/>
      <c r="N16" s="168"/>
      <c r="O16" s="385" t="str">
        <f>IF(Q15&lt;0, "Schlecht! Zu wenig Stunden für Dienstplan.", IF(Q15&gt;0, "Du hast mehr als genug Stunden für Dienstplan.", ""))</f>
        <v>Du hast mehr als genug Stunden für Dienstplan.</v>
      </c>
      <c r="P16" s="386"/>
      <c r="Q16" s="386"/>
      <c r="R16" s="387"/>
      <c r="S16" s="388"/>
      <c r="T16" s="388"/>
      <c r="U16" s="388"/>
      <c r="V16" s="388"/>
      <c r="W16" s="389"/>
    </row>
    <row r="17" spans="1:29" ht="21.95" customHeight="1" x14ac:dyDescent="0.35">
      <c r="A17" s="363" t="s">
        <v>72</v>
      </c>
      <c r="B17" s="181"/>
      <c r="C17" s="182"/>
      <c r="D17" s="186"/>
      <c r="E17" s="184"/>
      <c r="F17" s="190"/>
      <c r="G17" s="364" t="str">
        <f>IF(OR(E17="",F17=""),"",PID_KVLohnLookup($A$1,E17,F17,LOHNTABELLE!$H$4))</f>
        <v/>
      </c>
      <c r="H17" s="365" t="str">
        <f>IF(AND(ISNUMBER(D17),ISNUMBER(F17)),ROUNDDOWN(MIN(IF(OR(ISBLANK(I17),I17=""),EOMONTH(DATE(EINSTELLUNG!$C$35,$A$1,1),0),I17)-MAX(D17,DATE(EINSTELLUNG!$C$35,$A$1,1))+1)/DAY(EOMONTH(DATE(EINSTELLUNG!$C$35,$A$1,1),0))*F17,2),"")</f>
        <v/>
      </c>
      <c r="I17" s="186"/>
      <c r="J17" s="187"/>
      <c r="K17" s="364" t="str">
        <f t="shared" si="0"/>
        <v/>
      </c>
      <c r="L17" s="366"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188"/>
      <c r="N17" s="189"/>
      <c r="O17" s="375" t="s">
        <v>73</v>
      </c>
      <c r="P17" s="376"/>
      <c r="Q17" s="390">
        <f>SUM(L3:L82)</f>
        <v>3868.38</v>
      </c>
      <c r="R17" s="391"/>
      <c r="S17" s="361"/>
      <c r="T17" s="361"/>
      <c r="U17" s="361"/>
      <c r="V17" s="361"/>
      <c r="W17" s="389"/>
    </row>
    <row r="18" spans="1:29" ht="21.95" customHeight="1" x14ac:dyDescent="0.35">
      <c r="A18" s="363" t="s">
        <v>74</v>
      </c>
      <c r="B18" s="152"/>
      <c r="C18" s="153"/>
      <c r="D18" s="158"/>
      <c r="E18" s="155"/>
      <c r="F18" s="156"/>
      <c r="G18" s="364" t="str">
        <f>IF(OR(E18="",F18=""),"",PID_KVLohnLookup($A$1,E18,F18,LOHNTABELLE!$H$4))</f>
        <v/>
      </c>
      <c r="H18" s="365" t="str">
        <f>IF(AND(ISNUMBER(D18),ISNUMBER(F18)),ROUNDDOWN(MIN(IF(OR(ISBLANK(I18),I18=""),EOMONTH(DATE(EINSTELLUNG!$C$35,$A$1,1),0),I18)-MAX(D18,DATE(EINSTELLUNG!$C$35,$A$1,1))+1)/DAY(EOMONTH(DATE(EINSTELLUNG!$C$35,$A$1,1),0))*F18,2),"")</f>
        <v/>
      </c>
      <c r="I18" s="158"/>
      <c r="J18" s="165"/>
      <c r="K18" s="364" t="str">
        <f t="shared" si="0"/>
        <v/>
      </c>
      <c r="L18" s="366"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167"/>
      <c r="N18" s="168"/>
      <c r="O18" s="472"/>
      <c r="P18" s="196"/>
      <c r="Q18" s="197"/>
      <c r="R18" s="198"/>
      <c r="S18" s="361"/>
      <c r="T18" s="361"/>
      <c r="U18" s="361"/>
      <c r="V18" s="361"/>
    </row>
    <row r="19" spans="1:29" ht="21.95" customHeight="1" x14ac:dyDescent="0.35">
      <c r="A19" s="363" t="s">
        <v>75</v>
      </c>
      <c r="B19" s="181"/>
      <c r="C19" s="182"/>
      <c r="D19" s="186"/>
      <c r="E19" s="184"/>
      <c r="F19" s="190"/>
      <c r="G19" s="364" t="str">
        <f>IF(OR(E19="",F19=""),"",PID_KVLohnLookup($A$1,E19,F19,LOHNTABELLE!$H$4))</f>
        <v/>
      </c>
      <c r="H19" s="365" t="str">
        <f>IF(AND(ISNUMBER(D19),ISNUMBER(F19)),ROUNDDOWN(MIN(IF(OR(ISBLANK(I19),I19=""),EOMONTH(DATE(EINSTELLUNG!$C$35,$A$1,1),0),I19)-MAX(D19,DATE(EINSTELLUNG!$C$35,$A$1,1))+1)/DAY(EOMONTH(DATE(EINSTELLUNG!$C$35,$A$1,1),0))*F19,2),"")</f>
        <v/>
      </c>
      <c r="I19" s="186"/>
      <c r="J19" s="187"/>
      <c r="K19" s="364" t="str">
        <f t="shared" si="0"/>
        <v/>
      </c>
      <c r="L19" s="366"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188"/>
      <c r="N19" s="189"/>
      <c r="O19" s="472"/>
      <c r="P19" s="196"/>
      <c r="Q19" s="197"/>
      <c r="R19" s="198"/>
      <c r="S19" s="361"/>
      <c r="T19" s="361"/>
      <c r="U19" s="361"/>
      <c r="V19" s="361"/>
    </row>
    <row r="20" spans="1:29" ht="21.95" customHeight="1" x14ac:dyDescent="0.35">
      <c r="A20" s="363" t="s">
        <v>76</v>
      </c>
      <c r="B20" s="152"/>
      <c r="C20" s="153"/>
      <c r="D20" s="154"/>
      <c r="E20" s="155"/>
      <c r="F20" s="156"/>
      <c r="G20" s="364" t="str">
        <f>IF(OR(E20="",F20=""),"",PID_KVLohnLookup($A$1,E20,F20,LOHNTABELLE!$H$4))</f>
        <v/>
      </c>
      <c r="H20" s="365" t="str">
        <f>IF(AND(ISNUMBER(D20),ISNUMBER(F20)),ROUNDDOWN(MIN(IF(OR(ISBLANK(I20),I20=""),EOMONTH(DATE(EINSTELLUNG!$C$35,$A$1,1),0),I20)-MAX(D20,DATE(EINSTELLUNG!$C$35,$A$1,1))+1)/DAY(EOMONTH(DATE(EINSTELLUNG!$C$35,$A$1,1),0))*F20,2),"")</f>
        <v/>
      </c>
      <c r="I20" s="158"/>
      <c r="J20" s="165"/>
      <c r="K20" s="364" t="str">
        <f t="shared" si="0"/>
        <v/>
      </c>
      <c r="L20" s="366"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167"/>
      <c r="N20" s="168"/>
      <c r="O20" s="472"/>
      <c r="P20" s="196"/>
      <c r="Q20" s="197"/>
      <c r="R20" s="198"/>
      <c r="S20" s="361"/>
      <c r="T20" s="361"/>
      <c r="U20" s="361"/>
      <c r="V20" s="361"/>
    </row>
    <row r="21" spans="1:29" ht="21.95" customHeight="1" x14ac:dyDescent="0.35">
      <c r="A21" s="363" t="s">
        <v>77</v>
      </c>
      <c r="B21" s="181"/>
      <c r="C21" s="182"/>
      <c r="D21" s="186"/>
      <c r="E21" s="184"/>
      <c r="F21" s="190"/>
      <c r="G21" s="364" t="str">
        <f>IF(OR(E21="",F21=""),"",PID_KVLohnLookup($A$1,E21,F21,LOHNTABELLE!$H$4))</f>
        <v/>
      </c>
      <c r="H21" s="365" t="str">
        <f>IF(AND(ISNUMBER(D21),ISNUMBER(F21)),ROUNDDOWN(MIN(IF(OR(ISBLANK(I21),I21=""),EOMONTH(DATE(EINSTELLUNG!$C$35,$A$1,1),0),I21)-MAX(D21,DATE(EINSTELLUNG!$C$35,$A$1,1))+1)/DAY(EOMONTH(DATE(EINSTELLUNG!$C$35,$A$1,1),0))*F21,2),"")</f>
        <v/>
      </c>
      <c r="I21" s="186"/>
      <c r="J21" s="187"/>
      <c r="K21" s="364" t="str">
        <f t="shared" si="0"/>
        <v/>
      </c>
      <c r="L21" s="366"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188"/>
      <c r="N21" s="189"/>
      <c r="O21" s="472"/>
      <c r="P21" s="196"/>
      <c r="Q21" s="197"/>
      <c r="R21" s="198"/>
      <c r="S21" s="361"/>
      <c r="T21" s="361"/>
      <c r="U21" s="361"/>
      <c r="V21" s="361"/>
    </row>
    <row r="22" spans="1:29" ht="21.95" customHeight="1" x14ac:dyDescent="0.35">
      <c r="A22" s="363" t="s">
        <v>78</v>
      </c>
      <c r="B22" s="152"/>
      <c r="C22" s="153"/>
      <c r="D22" s="154"/>
      <c r="E22" s="155"/>
      <c r="F22" s="156"/>
      <c r="G22" s="364" t="str">
        <f>IF(OR(E22="",F22=""),"",PID_KVLohnLookup($A$1,E22,F22,LOHNTABELLE!$H$4))</f>
        <v/>
      </c>
      <c r="H22" s="365" t="str">
        <f>IF(AND(ISNUMBER(D22),ISNUMBER(F22)),ROUNDDOWN(MIN(IF(OR(ISBLANK(I22),I22=""),EOMONTH(DATE(EINSTELLUNG!$C$35,$A$1,1),0),I22)-MAX(D22,DATE(EINSTELLUNG!$C$35,$A$1,1))+1)/DAY(EOMONTH(DATE(EINSTELLUNG!$C$35,$A$1,1),0))*F22,2),"")</f>
        <v/>
      </c>
      <c r="I22" s="158"/>
      <c r="J22" s="165"/>
      <c r="K22" s="364" t="str">
        <f t="shared" si="0"/>
        <v/>
      </c>
      <c r="L22" s="366"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167"/>
      <c r="N22" s="168"/>
      <c r="O22" s="472"/>
      <c r="P22" s="196"/>
      <c r="Q22" s="197"/>
      <c r="R22" s="198"/>
      <c r="S22" s="361"/>
      <c r="T22" s="361"/>
      <c r="U22" s="361"/>
      <c r="V22" s="361"/>
    </row>
    <row r="23" spans="1:29" ht="21.95" customHeight="1" x14ac:dyDescent="0.35">
      <c r="A23" s="363" t="s">
        <v>79</v>
      </c>
      <c r="B23" s="181"/>
      <c r="C23" s="182"/>
      <c r="D23" s="183"/>
      <c r="E23" s="184"/>
      <c r="F23" s="190"/>
      <c r="G23" s="364" t="str">
        <f>IF(OR(E23="",F23=""),"",PID_KVLohnLookup($A$1,E23,F23,LOHNTABELLE!$H$4))</f>
        <v/>
      </c>
      <c r="H23" s="365" t="str">
        <f>IF(AND(ISNUMBER(D23),ISNUMBER(F23)),ROUNDDOWN(MIN(IF(OR(ISBLANK(I23),I23=""),EOMONTH(DATE(EINSTELLUNG!$C$35,$A$1,1),0),I23)-MAX(D23,DATE(EINSTELLUNG!$C$35,$A$1,1))+1)/DAY(EOMONTH(DATE(EINSTELLUNG!$C$35,$A$1,1),0))*F23,2),"")</f>
        <v/>
      </c>
      <c r="I23" s="186"/>
      <c r="J23" s="187"/>
      <c r="K23" s="364" t="str">
        <f t="shared" si="0"/>
        <v/>
      </c>
      <c r="L23" s="366"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188"/>
      <c r="N23" s="189"/>
      <c r="O23" s="472"/>
      <c r="P23" s="196"/>
      <c r="Q23" s="197"/>
      <c r="R23" s="198"/>
      <c r="S23" s="361"/>
      <c r="T23" s="361"/>
      <c r="U23" s="361"/>
      <c r="V23" s="361"/>
      <c r="W23" s="389"/>
    </row>
    <row r="24" spans="1:29" ht="21.95" customHeight="1" x14ac:dyDescent="0.35">
      <c r="A24" s="363" t="s">
        <v>80</v>
      </c>
      <c r="B24" s="152"/>
      <c r="C24" s="153"/>
      <c r="D24" s="154"/>
      <c r="E24" s="155"/>
      <c r="F24" s="156"/>
      <c r="G24" s="364" t="str">
        <f>IF(OR(E24="",F24=""),"",PID_KVLohnLookup($A$1,E24,F24,LOHNTABELLE!$H$4))</f>
        <v/>
      </c>
      <c r="H24" s="365" t="str">
        <f>IF(AND(ISNUMBER(D24),ISNUMBER(F24)),ROUNDDOWN(MIN(IF(OR(ISBLANK(I24),I24=""),EOMONTH(DATE(EINSTELLUNG!$C$35,$A$1,1),0),I24)-MAX(D24,DATE(EINSTELLUNG!$C$35,$A$1,1))+1)/DAY(EOMONTH(DATE(EINSTELLUNG!$C$35,$A$1,1),0))*F24,2),"")</f>
        <v/>
      </c>
      <c r="I24" s="158"/>
      <c r="J24" s="165"/>
      <c r="K24" s="364" t="str">
        <f t="shared" si="0"/>
        <v/>
      </c>
      <c r="L24" s="366"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167"/>
      <c r="N24" s="168"/>
      <c r="O24" s="472"/>
      <c r="P24" s="196"/>
      <c r="Q24" s="197"/>
      <c r="R24" s="198"/>
      <c r="S24" s="361"/>
      <c r="T24" s="361"/>
      <c r="U24" s="361"/>
      <c r="V24" s="361"/>
      <c r="W24" s="389"/>
    </row>
    <row r="25" spans="1:29" ht="21.95" customHeight="1" x14ac:dyDescent="0.35">
      <c r="A25" s="363" t="s">
        <v>81</v>
      </c>
      <c r="B25" s="181"/>
      <c r="C25" s="182"/>
      <c r="D25" s="183"/>
      <c r="E25" s="184"/>
      <c r="F25" s="190"/>
      <c r="G25" s="364" t="str">
        <f>IF(OR(E25="",F25=""),"",PID_KVLohnLookup($A$1,E25,F25,LOHNTABELLE!$H$4))</f>
        <v/>
      </c>
      <c r="H25" s="365" t="str">
        <f>IF(AND(ISNUMBER(D25),ISNUMBER(F25)),ROUNDDOWN(MIN(IF(OR(ISBLANK(I25),I25=""),EOMONTH(DATE(EINSTELLUNG!$C$35,$A$1,1),0),I25)-MAX(D25,DATE(EINSTELLUNG!$C$35,$A$1,1))+1)/DAY(EOMONTH(DATE(EINSTELLUNG!$C$35,$A$1,1),0))*F25,2),"")</f>
        <v/>
      </c>
      <c r="I25" s="186"/>
      <c r="J25" s="187"/>
      <c r="K25" s="364" t="str">
        <f t="shared" si="0"/>
        <v/>
      </c>
      <c r="L25" s="366"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188"/>
      <c r="N25" s="189"/>
      <c r="O25" s="472"/>
      <c r="P25" s="196"/>
      <c r="Q25" s="197"/>
      <c r="R25" s="198"/>
      <c r="S25" s="361"/>
      <c r="T25" s="361"/>
      <c r="U25" s="361"/>
      <c r="V25" s="361"/>
    </row>
    <row r="26" spans="1:29" ht="21.95" customHeight="1" x14ac:dyDescent="0.35">
      <c r="A26" s="363" t="s">
        <v>82</v>
      </c>
      <c r="B26" s="152"/>
      <c r="C26" s="153"/>
      <c r="D26" s="154"/>
      <c r="E26" s="155"/>
      <c r="F26" s="156"/>
      <c r="G26" s="364" t="str">
        <f>IF(OR(E26="",F26=""),"",PID_KVLohnLookup($A$1,E26,F26,LOHNTABELLE!$H$4))</f>
        <v/>
      </c>
      <c r="H26" s="365" t="str">
        <f>IF(AND(ISNUMBER(D26),ISNUMBER(F26)),ROUNDDOWN(MIN(IF(OR(ISBLANK(I26),I26=""),EOMONTH(DATE(EINSTELLUNG!$C$35,$A$1,1),0),I26)-MAX(D26,DATE(EINSTELLUNG!$C$35,$A$1,1))+1)/DAY(EOMONTH(DATE(EINSTELLUNG!$C$35,$A$1,1),0))*F26,2),"")</f>
        <v/>
      </c>
      <c r="I26" s="158"/>
      <c r="J26" s="165"/>
      <c r="K26" s="364" t="str">
        <f t="shared" si="0"/>
        <v/>
      </c>
      <c r="L26" s="366"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167"/>
      <c r="N26" s="168"/>
      <c r="O26" s="195"/>
      <c r="P26" s="196"/>
      <c r="Q26" s="197"/>
      <c r="R26" s="198"/>
      <c r="S26" s="361"/>
      <c r="T26" s="361"/>
      <c r="U26" s="361"/>
      <c r="V26" s="361"/>
    </row>
    <row r="27" spans="1:29" ht="21.95" customHeight="1" x14ac:dyDescent="0.35">
      <c r="A27" s="363" t="s">
        <v>83</v>
      </c>
      <c r="B27" s="181"/>
      <c r="C27" s="182"/>
      <c r="D27" s="183"/>
      <c r="E27" s="184"/>
      <c r="F27" s="190"/>
      <c r="G27" s="364" t="str">
        <f>IF(OR(E27="",F27=""),"",PID_KVLohnLookup($A$1,E27,F27,LOHNTABELLE!$H$4))</f>
        <v/>
      </c>
      <c r="H27" s="365" t="str">
        <f>IF(AND(ISNUMBER(D27),ISNUMBER(F27)),ROUNDDOWN(MIN(IF(OR(ISBLANK(I27),I27=""),EOMONTH(DATE(EINSTELLUNG!$C$35,$A$1,1),0),I27)-MAX(D27,DATE(EINSTELLUNG!$C$35,$A$1,1))+1)/DAY(EOMONTH(DATE(EINSTELLUNG!$C$35,$A$1,1),0))*F27,2),"")</f>
        <v/>
      </c>
      <c r="I27" s="186"/>
      <c r="J27" s="187"/>
      <c r="K27" s="364" t="str">
        <f t="shared" si="0"/>
        <v/>
      </c>
      <c r="L27" s="366"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188"/>
      <c r="N27" s="189"/>
      <c r="O27" s="195"/>
      <c r="P27" s="196"/>
      <c r="Q27" s="197"/>
      <c r="R27" s="198"/>
      <c r="S27" s="392" t="s">
        <v>84</v>
      </c>
      <c r="T27" s="392"/>
      <c r="U27" s="392"/>
      <c r="V27" s="392"/>
    </row>
    <row r="28" spans="1:29" ht="21.95" customHeight="1" x14ac:dyDescent="0.35">
      <c r="A28" s="363" t="s">
        <v>85</v>
      </c>
      <c r="B28" s="152"/>
      <c r="C28" s="153"/>
      <c r="D28" s="154"/>
      <c r="E28" s="155"/>
      <c r="F28" s="156"/>
      <c r="G28" s="364" t="str">
        <f>IF(OR(E28="",F28=""),"",PID_KVLohnLookup($A$1,E28,F28,LOHNTABELLE!$H$4))</f>
        <v/>
      </c>
      <c r="H28" s="365" t="str">
        <f>IF(AND(ISNUMBER(D28),ISNUMBER(F28)),ROUNDDOWN(MIN(IF(OR(ISBLANK(I28),I28=""),EOMONTH(DATE(EINSTELLUNG!$C$35,$A$1,1),0),I28)-MAX(D28,DATE(EINSTELLUNG!$C$35,$A$1,1))+1)/DAY(EOMONTH(DATE(EINSTELLUNG!$C$35,$A$1,1),0))*F28,2),"")</f>
        <v/>
      </c>
      <c r="I28" s="158"/>
      <c r="J28" s="165"/>
      <c r="K28" s="364" t="str">
        <f t="shared" si="0"/>
        <v/>
      </c>
      <c r="L28" s="366"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167"/>
      <c r="N28" s="168"/>
      <c r="O28" s="195"/>
      <c r="P28" s="196"/>
      <c r="Q28" s="197"/>
      <c r="R28" s="198"/>
      <c r="S28" s="361"/>
      <c r="T28" s="361"/>
      <c r="U28" s="361"/>
      <c r="V28" s="361"/>
    </row>
    <row r="29" spans="1:29" ht="21.95" customHeight="1" thickBot="1" x14ac:dyDescent="0.4">
      <c r="A29" s="363" t="s">
        <v>86</v>
      </c>
      <c r="B29" s="181"/>
      <c r="C29" s="182"/>
      <c r="D29" s="183"/>
      <c r="E29" s="184"/>
      <c r="F29" s="190"/>
      <c r="G29" s="364" t="str">
        <f>IF(OR(E29="",F29=""),"",PID_KVLohnLookup($A$1,E29,F29,LOHNTABELLE!$H$4))</f>
        <v/>
      </c>
      <c r="H29" s="365" t="str">
        <f>IF(AND(ISNUMBER(D29),ISNUMBER(F29)),ROUNDDOWN(MIN(IF(OR(ISBLANK(I29),I29=""),EOMONTH(DATE(EINSTELLUNG!$C$35,$A$1,1),0),I29)-MAX(D29,DATE(EINSTELLUNG!$C$35,$A$1,1))+1)/DAY(EOMONTH(DATE(EINSTELLUNG!$C$35,$A$1,1),0))*F29,2),"")</f>
        <v/>
      </c>
      <c r="I29" s="186"/>
      <c r="J29" s="187"/>
      <c r="K29" s="364" t="str">
        <f t="shared" si="0"/>
        <v/>
      </c>
      <c r="L29" s="366"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188"/>
      <c r="N29" s="189"/>
      <c r="O29" s="393" t="s">
        <v>87</v>
      </c>
      <c r="P29" s="394"/>
      <c r="Q29" s="395">
        <f>EINSTELLUNG!O12</f>
        <v>0</v>
      </c>
      <c r="R29" s="396"/>
      <c r="S29" s="361"/>
      <c r="T29" s="361"/>
      <c r="U29" s="361"/>
      <c r="V29" s="361"/>
    </row>
    <row r="30" spans="1:29" ht="21.95" customHeight="1" thickBot="1" x14ac:dyDescent="0.4">
      <c r="A30" s="363" t="s">
        <v>88</v>
      </c>
      <c r="B30" s="152"/>
      <c r="C30" s="153"/>
      <c r="D30" s="154"/>
      <c r="E30" s="155"/>
      <c r="F30" s="156"/>
      <c r="G30" s="364" t="str">
        <f>IF(OR(E30="",F30=""),"",PID_KVLohnLookup($A$1,E30,F30,LOHNTABELLE!$H$4))</f>
        <v/>
      </c>
      <c r="H30" s="365" t="str">
        <f>IF(AND(ISNUMBER(D30),ISNUMBER(F30)),ROUNDDOWN(MIN(IF(OR(ISBLANK(I30),I30=""),EOMONTH(DATE(EINSTELLUNG!$C$35,$A$1,1),0),I30)-MAX(D30,DATE(EINSTELLUNG!$C$35,$A$1,1))+1)/DAY(EOMONTH(DATE(EINSTELLUNG!$C$35,$A$1,1),0))*F30,2),"")</f>
        <v/>
      </c>
      <c r="I30" s="158"/>
      <c r="J30" s="165"/>
      <c r="K30" s="364" t="str">
        <f t="shared" si="0"/>
        <v/>
      </c>
      <c r="L30" s="366"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167"/>
      <c r="N30" s="168"/>
      <c r="O30" s="361"/>
      <c r="P30" s="361"/>
      <c r="Q30" s="361"/>
      <c r="R30" s="361"/>
      <c r="S30" s="361"/>
      <c r="T30" s="361"/>
      <c r="U30" s="361"/>
      <c r="V30" s="361"/>
      <c r="W30" s="397"/>
      <c r="X30" s="397"/>
      <c r="Y30" s="397"/>
      <c r="Z30" s="397"/>
      <c r="AA30" s="397"/>
      <c r="AB30" s="397"/>
      <c r="AC30" s="397"/>
    </row>
    <row r="31" spans="1:29" ht="21.95" customHeight="1" thickBot="1" x14ac:dyDescent="0.4">
      <c r="A31" s="363" t="s">
        <v>89</v>
      </c>
      <c r="B31" s="181"/>
      <c r="C31" s="182"/>
      <c r="D31" s="183"/>
      <c r="E31" s="184"/>
      <c r="F31" s="190"/>
      <c r="G31" s="364" t="str">
        <f>IF(OR(E31="",F31=""),"",PID_KVLohnLookup($A$1,E31,F31,LOHNTABELLE!$H$4))</f>
        <v/>
      </c>
      <c r="H31" s="365" t="str">
        <f>IF(AND(ISNUMBER(D31),ISNUMBER(F31)),ROUNDDOWN(MIN(IF(OR(ISBLANK(I31),I31=""),EOMONTH(DATE(EINSTELLUNG!$C$35,$A$1,1),0),I31)-MAX(D31,DATE(EINSTELLUNG!$C$35,$A$1,1))+1)/DAY(EOMONTH(DATE(EINSTELLUNG!$C$35,$A$1,1),0))*F31,2),"")</f>
        <v/>
      </c>
      <c r="I31" s="186"/>
      <c r="J31" s="187"/>
      <c r="K31" s="364" t="str">
        <f t="shared" si="0"/>
        <v/>
      </c>
      <c r="L31" s="366"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188"/>
      <c r="N31" s="189"/>
      <c r="O31" s="398" t="s">
        <v>321</v>
      </c>
      <c r="P31" s="399"/>
      <c r="Q31" s="400">
        <v>0</v>
      </c>
      <c r="R31" s="401"/>
      <c r="S31" s="361"/>
      <c r="T31" s="361"/>
      <c r="U31" s="361"/>
      <c r="V31" s="361"/>
    </row>
    <row r="32" spans="1:29" ht="21.95" customHeight="1" thickBot="1" x14ac:dyDescent="0.4">
      <c r="A32" s="363" t="s">
        <v>91</v>
      </c>
      <c r="B32" s="152"/>
      <c r="C32" s="153"/>
      <c r="D32" s="154"/>
      <c r="E32" s="155"/>
      <c r="F32" s="156"/>
      <c r="G32" s="364" t="str">
        <f>IF(OR(E32="",F32=""),"",PID_KVLohnLookup($A$1,E32,F32,LOHNTABELLE!$H$4))</f>
        <v/>
      </c>
      <c r="H32" s="365" t="str">
        <f>IF(AND(ISNUMBER(D32),ISNUMBER(F32)),ROUNDDOWN(MIN(IF(OR(ISBLANK(I32),I32=""),EOMONTH(DATE(EINSTELLUNG!$C$35,$A$1,1),0),I32)-MAX(D32,DATE(EINSTELLUNG!$C$35,$A$1,1))+1)/DAY(EOMONTH(DATE(EINSTELLUNG!$C$35,$A$1,1),0))*F32,2),"")</f>
        <v/>
      </c>
      <c r="I32" s="158"/>
      <c r="J32" s="165"/>
      <c r="K32" s="364" t="str">
        <f t="shared" si="0"/>
        <v/>
      </c>
      <c r="L32" s="366"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167"/>
      <c r="N32" s="168"/>
      <c r="O32" s="361"/>
      <c r="P32" s="361"/>
      <c r="Q32" s="361"/>
      <c r="R32" s="361"/>
      <c r="S32" s="361"/>
      <c r="T32" s="361"/>
      <c r="U32" s="361"/>
      <c r="V32" s="361"/>
    </row>
    <row r="33" spans="1:22" ht="21.95" customHeight="1" x14ac:dyDescent="0.35">
      <c r="A33" s="363" t="s">
        <v>92</v>
      </c>
      <c r="B33" s="181"/>
      <c r="C33" s="182"/>
      <c r="D33" s="183"/>
      <c r="E33" s="184"/>
      <c r="F33" s="190"/>
      <c r="G33" s="364" t="str">
        <f>IF(OR(E33="",F33=""),"",PID_KVLohnLookup($A$1,E33,F33,LOHNTABELLE!$H$4))</f>
        <v/>
      </c>
      <c r="H33" s="365" t="str">
        <f>IF(AND(ISNUMBER(D33),ISNUMBER(F33)),ROUNDDOWN(MIN(IF(OR(ISBLANK(I33),I33=""),EOMONTH(DATE(EINSTELLUNG!$C$35,$A$1,1),0),I33)-MAX(D33,DATE(EINSTELLUNG!$C$35,$A$1,1))+1)/DAY(EOMONTH(DATE(EINSTELLUNG!$C$35,$A$1,1),0))*F33,2),"")</f>
        <v/>
      </c>
      <c r="I33" s="186"/>
      <c r="J33" s="187"/>
      <c r="K33" s="364" t="str">
        <f t="shared" si="0"/>
        <v/>
      </c>
      <c r="L33" s="366"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188"/>
      <c r="N33" s="189"/>
      <c r="O33" s="402"/>
      <c r="P33" s="403"/>
      <c r="Q33" s="346" t="str">
        <f>EINSTELLUNG!B3</f>
        <v>Budget</v>
      </c>
      <c r="R33" s="346"/>
      <c r="S33" s="346" t="str">
        <f>EINSTELLUNG!B19</f>
        <v>Projection/Aktuell Zahlen</v>
      </c>
      <c r="T33" s="346"/>
      <c r="U33" s="346" t="s">
        <v>95</v>
      </c>
      <c r="V33" s="347"/>
    </row>
    <row r="34" spans="1:22" ht="21.95" customHeight="1" x14ac:dyDescent="0.35">
      <c r="A34" s="363" t="s">
        <v>96</v>
      </c>
      <c r="B34" s="152"/>
      <c r="C34" s="153"/>
      <c r="D34" s="154"/>
      <c r="E34" s="155"/>
      <c r="F34" s="156"/>
      <c r="G34" s="364" t="str">
        <f>IF(OR(E34="",F34=""),"",PID_KVLohnLookup($A$1,E34,F34,LOHNTABELLE!$H$4))</f>
        <v/>
      </c>
      <c r="H34" s="365" t="str">
        <f>IF(AND(ISNUMBER(D34),ISNUMBER(F34)),ROUNDDOWN(MIN(IF(OR(ISBLANK(I34),I34=""),EOMONTH(DATE(EINSTELLUNG!$C$35,$A$1,1),0),I34)-MAX(D34,DATE(EINSTELLUNG!$C$35,$A$1,1))+1)/DAY(EOMONTH(DATE(EINSTELLUNG!$C$35,$A$1,1),0))*F34,2),"")</f>
        <v/>
      </c>
      <c r="I34" s="158"/>
      <c r="J34" s="165"/>
      <c r="K34" s="364" t="str">
        <f t="shared" si="0"/>
        <v/>
      </c>
      <c r="L34" s="366"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167"/>
      <c r="N34" s="168"/>
      <c r="O34" s="404"/>
      <c r="P34" s="405"/>
      <c r="Q34" s="406"/>
      <c r="R34" s="406"/>
      <c r="S34" s="406"/>
      <c r="T34" s="406"/>
      <c r="U34" s="406"/>
      <c r="V34" s="407"/>
    </row>
    <row r="35" spans="1:22" ht="21.95" customHeight="1" x14ac:dyDescent="0.35">
      <c r="A35" s="363" t="s">
        <v>97</v>
      </c>
      <c r="B35" s="181"/>
      <c r="C35" s="182"/>
      <c r="D35" s="183"/>
      <c r="E35" s="184"/>
      <c r="F35" s="190"/>
      <c r="G35" s="364" t="str">
        <f>IF(OR(E35="",F35=""),"",PID_KVLohnLookup($A$1,E35,F35,LOHNTABELLE!$H$4))</f>
        <v/>
      </c>
      <c r="H35" s="365" t="str">
        <f>IF(AND(ISNUMBER(D35),ISNUMBER(F35)),ROUNDDOWN(MIN(IF(OR(ISBLANK(I35),I35=""),EOMONTH(DATE(EINSTELLUNG!$C$35,$A$1,1),0),I35)-MAX(D35,DATE(EINSTELLUNG!$C$35,$A$1,1))+1)/DAY(EOMONTH(DATE(EINSTELLUNG!$C$35,$A$1,1),0))*F35,2),"")</f>
        <v/>
      </c>
      <c r="I35" s="186"/>
      <c r="J35" s="187"/>
      <c r="K35" s="364" t="str">
        <f t="shared" ref="K35:K66" si="1">IF(OR(B35="",C35=""),"",IFERROR(IF(OR(MONTH(D35)=1,MONTH(D35)=3,MONTH(D35)=5,MONTH(D35)=7,MONTH(D35)=8,MONTH(D35)=10,MONTH(D35)=12),(G35/31)*J35,IF(OR(MONTH(D35)=4,MONTH(D35)=6,MONTH(D35)=9,MONTH(D35)=11),(G35/30)*J35,(G35/DAY(EOMONTH(D35,0)))*J35)),0))</f>
        <v/>
      </c>
      <c r="L35" s="366"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188"/>
      <c r="N35" s="189"/>
      <c r="O35" s="379" t="s">
        <v>98</v>
      </c>
      <c r="P35" s="380"/>
      <c r="Q35" s="408">
        <f>EINSTELLUNG!C12</f>
        <v>0</v>
      </c>
      <c r="R35" s="408"/>
      <c r="S35" s="408">
        <f>EINSTELLUNG!C28</f>
        <v>0</v>
      </c>
      <c r="T35" s="408"/>
      <c r="U35" s="408">
        <f>S35-Q35</f>
        <v>0</v>
      </c>
      <c r="V35" s="409"/>
    </row>
    <row r="36" spans="1:22" ht="21.95" customHeight="1" x14ac:dyDescent="0.35">
      <c r="A36" s="363" t="s">
        <v>99</v>
      </c>
      <c r="B36" s="152"/>
      <c r="C36" s="153"/>
      <c r="D36" s="158"/>
      <c r="E36" s="155"/>
      <c r="F36" s="156"/>
      <c r="G36" s="364" t="str">
        <f>IF(OR(E36="",F36=""),"",PID_KVLohnLookup($A$1,E36,F36,LOHNTABELLE!$H$4))</f>
        <v/>
      </c>
      <c r="H36" s="365" t="str">
        <f>IF(AND(ISNUMBER(D36),ISNUMBER(F36)),ROUNDDOWN(MIN(IF(OR(ISBLANK(I36),I36=""),EOMONTH(DATE(EINSTELLUNG!$C$35,$A$1,1),0),I36)-MAX(D36,DATE(EINSTELLUNG!$C$35,$A$1,1))+1)/DAY(EOMONTH(DATE(EINSTELLUNG!$C$35,$A$1,1),0))*F36,2),"")</f>
        <v/>
      </c>
      <c r="I36" s="158"/>
      <c r="J36" s="165"/>
      <c r="K36" s="364" t="str">
        <f t="shared" si="1"/>
        <v/>
      </c>
      <c r="L36" s="366"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167"/>
      <c r="N36" s="168"/>
      <c r="O36" s="379" t="s">
        <v>100</v>
      </c>
      <c r="P36" s="380"/>
      <c r="Q36" s="408">
        <f>EINSTELLUNG!D12</f>
        <v>0</v>
      </c>
      <c r="R36" s="408"/>
      <c r="S36" s="408">
        <f ca="1">SumMergedCells(Q17:R29)</f>
        <v>3868.38</v>
      </c>
      <c r="T36" s="408"/>
      <c r="U36" s="408">
        <f t="shared" ref="U36:U41" ca="1" si="2">S36-Q36</f>
        <v>3868.38</v>
      </c>
      <c r="V36" s="409"/>
    </row>
    <row r="37" spans="1:22" ht="21.95" customHeight="1" x14ac:dyDescent="0.35">
      <c r="A37" s="363" t="s">
        <v>101</v>
      </c>
      <c r="B37" s="181"/>
      <c r="C37" s="182"/>
      <c r="D37" s="183"/>
      <c r="E37" s="184"/>
      <c r="F37" s="190"/>
      <c r="G37" s="364" t="str">
        <f>IF(OR(E37="",F37=""),"",PID_KVLohnLookup($A$1,E37,F37,LOHNTABELLE!$H$4))</f>
        <v/>
      </c>
      <c r="H37" s="365" t="str">
        <f>IF(AND(ISNUMBER(D37),ISNUMBER(F37)),ROUNDDOWN(MIN(IF(OR(ISBLANK(I37),I37=""),EOMONTH(DATE(EINSTELLUNG!$C$35,$A$1,1),0),I37)-MAX(D37,DATE(EINSTELLUNG!$C$35,$A$1,1))+1)/DAY(EOMONTH(DATE(EINSTELLUNG!$C$35,$A$1,1),0))*F37,2),"")</f>
        <v/>
      </c>
      <c r="I37" s="186"/>
      <c r="J37" s="187"/>
      <c r="K37" s="364" t="str">
        <f t="shared" si="1"/>
        <v/>
      </c>
      <c r="L37" s="366"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188"/>
      <c r="N37" s="189"/>
      <c r="O37" s="379" t="s">
        <v>102</v>
      </c>
      <c r="P37" s="380"/>
      <c r="Q37" s="410">
        <f>IF(ISERROR(Q36/Q35), 0, Q36/Q35)</f>
        <v>0</v>
      </c>
      <c r="R37" s="410"/>
      <c r="S37" s="410">
        <f ca="1">IF(ISERROR(S36/S35), 0, S36/S35)</f>
        <v>0</v>
      </c>
      <c r="T37" s="410"/>
      <c r="U37" s="410">
        <f t="shared" ca="1" si="2"/>
        <v>0</v>
      </c>
      <c r="V37" s="411"/>
    </row>
    <row r="38" spans="1:22" ht="21.95" customHeight="1" x14ac:dyDescent="0.35">
      <c r="A38" s="363" t="s">
        <v>103</v>
      </c>
      <c r="B38" s="152"/>
      <c r="C38" s="153"/>
      <c r="D38" s="154"/>
      <c r="E38" s="155"/>
      <c r="F38" s="156"/>
      <c r="G38" s="364" t="str">
        <f>IF(OR(E38="",F38=""),"",PID_KVLohnLookup($A$1,E38,F38,LOHNTABELLE!$H$4))</f>
        <v/>
      </c>
      <c r="H38" s="365" t="str">
        <f>IF(AND(ISNUMBER(D38),ISNUMBER(F38)),ROUNDDOWN(MIN(IF(OR(ISBLANK(I38),I38=""),EOMONTH(DATE(EINSTELLUNG!$C$35,$A$1,1),0),I38)-MAX(D38,DATE(EINSTELLUNG!$C$35,$A$1,1))+1)/DAY(EOMONTH(DATE(EINSTELLUNG!$C$35,$A$1,1),0))*F38,2),"")</f>
        <v/>
      </c>
      <c r="I38" s="158"/>
      <c r="J38" s="165"/>
      <c r="K38" s="364" t="str">
        <f t="shared" si="1"/>
        <v/>
      </c>
      <c r="L38" s="366"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167"/>
      <c r="N38" s="168"/>
      <c r="O38" s="379" t="s">
        <v>104</v>
      </c>
      <c r="P38" s="380"/>
      <c r="Q38" s="381">
        <f>EINSTELLUNG!F12</f>
        <v>0</v>
      </c>
      <c r="R38" s="381"/>
      <c r="S38" s="381">
        <f>EINSTELLUNG!F28</f>
        <v>0</v>
      </c>
      <c r="T38" s="381"/>
      <c r="U38" s="381">
        <f t="shared" si="2"/>
        <v>0</v>
      </c>
      <c r="V38" s="382"/>
    </row>
    <row r="39" spans="1:22" ht="21.95" customHeight="1" x14ac:dyDescent="0.35">
      <c r="A39" s="363" t="s">
        <v>105</v>
      </c>
      <c r="B39" s="181"/>
      <c r="C39" s="182"/>
      <c r="D39" s="183"/>
      <c r="E39" s="184"/>
      <c r="F39" s="190"/>
      <c r="G39" s="364" t="str">
        <f>IF(OR(E39="",F39=""),"",PID_KVLohnLookup($A$1,E39,F39,LOHNTABELLE!$H$4))</f>
        <v/>
      </c>
      <c r="H39" s="365" t="str">
        <f>IF(AND(ISNUMBER(D39),ISNUMBER(F39)),ROUNDDOWN(MIN(IF(OR(ISBLANK(I39),I39=""),EOMONTH(DATE(EINSTELLUNG!$C$35,$A$1,1),0),I39)-MAX(D39,DATE(EINSTELLUNG!$C$35,$A$1,1))+1)/DAY(EOMONTH(DATE(EINSTELLUNG!$C$35,$A$1,1),0))*F39,2),"")</f>
        <v/>
      </c>
      <c r="I39" s="186"/>
      <c r="J39" s="187"/>
      <c r="K39" s="364" t="str">
        <f t="shared" si="1"/>
        <v/>
      </c>
      <c r="L39" s="366"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188"/>
      <c r="N39" s="189"/>
      <c r="O39" s="379" t="s">
        <v>106</v>
      </c>
      <c r="P39" s="380"/>
      <c r="Q39" s="408">
        <f>IF(Q38=0, 0, Q35/Q38)</f>
        <v>0</v>
      </c>
      <c r="R39" s="408"/>
      <c r="S39" s="408">
        <f>IF(S38=0, 0, S35/S38)</f>
        <v>0</v>
      </c>
      <c r="T39" s="408"/>
      <c r="U39" s="408">
        <f t="shared" si="2"/>
        <v>0</v>
      </c>
      <c r="V39" s="409"/>
    </row>
    <row r="40" spans="1:22" ht="21.95" customHeight="1" x14ac:dyDescent="0.35">
      <c r="A40" s="363" t="s">
        <v>107</v>
      </c>
      <c r="B40" s="152"/>
      <c r="C40" s="153"/>
      <c r="D40" s="154"/>
      <c r="E40" s="155"/>
      <c r="F40" s="156"/>
      <c r="G40" s="364" t="str">
        <f>IF(OR(E40="",F40=""),"",PID_KVLohnLookup($A$1,E40,F40,LOHNTABELLE!$H$4))</f>
        <v/>
      </c>
      <c r="H40" s="365" t="str">
        <f>IF(AND(ISNUMBER(D40),ISNUMBER(F40)),ROUNDDOWN(MIN(IF(OR(ISBLANK(I40),I40=""),EOMONTH(DATE(EINSTELLUNG!$C$35,$A$1,1),0),I40)-MAX(D40,DATE(EINSTELLUNG!$C$35,$A$1,1))+1)/DAY(EOMONTH(DATE(EINSTELLUNG!$C$35,$A$1,1),0))*F40,2),"")</f>
        <v/>
      </c>
      <c r="I40" s="158"/>
      <c r="J40" s="165"/>
      <c r="K40" s="364" t="str">
        <f t="shared" si="1"/>
        <v/>
      </c>
      <c r="L40" s="366"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167"/>
      <c r="N40" s="168"/>
      <c r="O40" s="379" t="s">
        <v>108</v>
      </c>
      <c r="P40" s="380"/>
      <c r="Q40" s="408">
        <f>IF(Q13=0, 0, Q35/Q13)</f>
        <v>0</v>
      </c>
      <c r="R40" s="408"/>
      <c r="S40" s="408">
        <f>IF(Q13=0, 0, S35/Q13)</f>
        <v>0</v>
      </c>
      <c r="T40" s="408"/>
      <c r="U40" s="408">
        <f t="shared" si="2"/>
        <v>0</v>
      </c>
      <c r="V40" s="409"/>
    </row>
    <row r="41" spans="1:22" ht="21.95" customHeight="1" x14ac:dyDescent="0.35">
      <c r="A41" s="363" t="s">
        <v>109</v>
      </c>
      <c r="B41" s="181"/>
      <c r="C41" s="182"/>
      <c r="D41" s="183"/>
      <c r="E41" s="184"/>
      <c r="F41" s="190"/>
      <c r="G41" s="364" t="str">
        <f>IF(OR(E41="",F41=""),"",PID_KVLohnLookup($A$1,E41,F41,LOHNTABELLE!$H$4))</f>
        <v/>
      </c>
      <c r="H41" s="365" t="str">
        <f>IF(AND(ISNUMBER(D41),ISNUMBER(F41)),ROUNDDOWN(MIN(IF(OR(ISBLANK(I41),I41=""),EOMONTH(DATE(EINSTELLUNG!$C$35,$A$1,1),0),I41)-MAX(D41,DATE(EINSTELLUNG!$C$35,$A$1,1))+1)/DAY(EOMONTH(DATE(EINSTELLUNG!$C$35,$A$1,1),0))*F41,2),"")</f>
        <v/>
      </c>
      <c r="I41" s="186"/>
      <c r="J41" s="187"/>
      <c r="K41" s="364" t="str">
        <f t="shared" si="1"/>
        <v/>
      </c>
      <c r="L41" s="366"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188"/>
      <c r="N41" s="189"/>
      <c r="O41" s="412" t="s">
        <v>110</v>
      </c>
      <c r="P41" s="413"/>
      <c r="Q41" s="414">
        <f>IF(Q13=0, 0, Q38/Q13)</f>
        <v>0</v>
      </c>
      <c r="R41" s="414"/>
      <c r="S41" s="414">
        <f>IF(Q13=0, 0, S38/Q13)</f>
        <v>0</v>
      </c>
      <c r="T41" s="414"/>
      <c r="U41" s="414">
        <f t="shared" si="2"/>
        <v>0</v>
      </c>
      <c r="V41" s="415"/>
    </row>
    <row r="42" spans="1:22" ht="21.95" customHeight="1" thickBot="1" x14ac:dyDescent="0.4">
      <c r="A42" s="363" t="s">
        <v>111</v>
      </c>
      <c r="B42" s="152"/>
      <c r="C42" s="153"/>
      <c r="D42" s="154"/>
      <c r="E42" s="155"/>
      <c r="F42" s="156"/>
      <c r="G42" s="364" t="str">
        <f>IF(OR(E42="",F42=""),"",PID_KVLohnLookup($A$1,E42,F42,LOHNTABELLE!$H$4))</f>
        <v/>
      </c>
      <c r="H42" s="365" t="str">
        <f>IF(AND(ISNUMBER(D42),ISNUMBER(F42)),ROUNDDOWN(MIN(IF(OR(ISBLANK(I42),I42=""),EOMONTH(DATE(EINSTELLUNG!$C$35,$A$1,1),0),I42)-MAX(D42,DATE(EINSTELLUNG!$C$35,$A$1,1))+1)/DAY(EOMONTH(DATE(EINSTELLUNG!$C$35,$A$1,1),0))*F42,2),"")</f>
        <v/>
      </c>
      <c r="I42" s="158"/>
      <c r="J42" s="165"/>
      <c r="K42" s="364" t="str">
        <f t="shared" si="1"/>
        <v/>
      </c>
      <c r="L42" s="366"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167"/>
      <c r="N42" s="169"/>
      <c r="O42" s="416" t="s">
        <v>112</v>
      </c>
      <c r="P42" s="394"/>
      <c r="Q42" s="417">
        <f>IFERROR(Q17/Q8, 0)</f>
        <v>11.925457796411617</v>
      </c>
      <c r="R42" s="418"/>
      <c r="S42" s="417"/>
      <c r="T42" s="417"/>
      <c r="U42" s="417"/>
      <c r="V42" s="396"/>
    </row>
    <row r="43" spans="1:22" ht="21.95" customHeight="1" x14ac:dyDescent="0.35">
      <c r="A43" s="363" t="s">
        <v>113</v>
      </c>
      <c r="B43" s="181"/>
      <c r="C43" s="182"/>
      <c r="D43" s="183"/>
      <c r="E43" s="184"/>
      <c r="F43" s="190"/>
      <c r="G43" s="364" t="str">
        <f>IF(OR(E43="",F43=""),"",PID_KVLohnLookup($A$1,E43,F43,LOHNTABELLE!$H$4))</f>
        <v/>
      </c>
      <c r="H43" s="365" t="str">
        <f>IF(AND(ISNUMBER(D43),ISNUMBER(F43)),ROUNDDOWN(MIN(IF(OR(ISBLANK(I43),I43=""),EOMONTH(DATE(EINSTELLUNG!$C$35,$A$1,1),0),I43)-MAX(D43,DATE(EINSTELLUNG!$C$35,$A$1,1))+1)/DAY(EOMONTH(DATE(EINSTELLUNG!$C$35,$A$1,1),0))*F43,2),"")</f>
        <v/>
      </c>
      <c r="I43" s="186"/>
      <c r="J43" s="187"/>
      <c r="K43" s="364" t="str">
        <f t="shared" si="1"/>
        <v/>
      </c>
      <c r="L43" s="366"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91"/>
      <c r="N43" s="189"/>
      <c r="O43" s="419"/>
      <c r="P43" s="419"/>
      <c r="Q43" s="419"/>
      <c r="R43" s="361"/>
      <c r="S43" s="361"/>
      <c r="T43" s="361"/>
      <c r="U43" s="361"/>
      <c r="V43" s="361"/>
    </row>
    <row r="44" spans="1:22" ht="21.95" customHeight="1" x14ac:dyDescent="0.35">
      <c r="A44" s="363" t="s">
        <v>114</v>
      </c>
      <c r="B44" s="152"/>
      <c r="C44" s="153"/>
      <c r="D44" s="154"/>
      <c r="E44" s="155"/>
      <c r="F44" s="156"/>
      <c r="G44" s="364" t="str">
        <f>IF(OR(E44="",F44=""),"",PID_KVLohnLookup($A$1,E44,F44,LOHNTABELLE!$H$4))</f>
        <v/>
      </c>
      <c r="H44" s="365" t="str">
        <f>IF(AND(ISNUMBER(D44),ISNUMBER(F44)),ROUNDDOWN(MIN(IF(OR(ISBLANK(I44),I44=""),EOMONTH(DATE(EINSTELLUNG!$C$35,$A$1,1),0),I44)-MAX(D44,DATE(EINSTELLUNG!$C$35,$A$1,1))+1)/DAY(EOMONTH(DATE(EINSTELLUNG!$C$35,$A$1,1),0))*F44,2),"")</f>
        <v/>
      </c>
      <c r="I44" s="158"/>
      <c r="J44" s="165"/>
      <c r="K44" s="364" t="str">
        <f t="shared" si="1"/>
        <v/>
      </c>
      <c r="L44" s="366"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70"/>
      <c r="N44" s="168"/>
      <c r="O44" s="420" t="s">
        <v>115</v>
      </c>
      <c r="P44" s="420"/>
      <c r="Q44" s="420"/>
      <c r="R44" s="420"/>
      <c r="S44" s="420"/>
      <c r="T44" s="420"/>
      <c r="U44" s="420"/>
      <c r="V44" s="420"/>
    </row>
    <row r="45" spans="1:22" ht="21.95" customHeight="1" x14ac:dyDescent="0.35">
      <c r="A45" s="363" t="s">
        <v>116</v>
      </c>
      <c r="B45" s="181"/>
      <c r="C45" s="182"/>
      <c r="D45" s="183"/>
      <c r="E45" s="184"/>
      <c r="F45" s="190"/>
      <c r="G45" s="364" t="str">
        <f>IF(OR(E45="",F45=""),"",PID_KVLohnLookup($A$1,E45,F45,LOHNTABELLE!$H$4))</f>
        <v/>
      </c>
      <c r="H45" s="365" t="str">
        <f>IF(AND(ISNUMBER(D45),ISNUMBER(F45)),ROUNDDOWN(MIN(IF(OR(ISBLANK(I45),I45=""),EOMONTH(DATE(EINSTELLUNG!$C$35,$A$1,1),0),I45)-MAX(D45,DATE(EINSTELLUNG!$C$35,$A$1,1))+1)/DAY(EOMONTH(DATE(EINSTELLUNG!$C$35,$A$1,1),0))*F45,2),"")</f>
        <v/>
      </c>
      <c r="I45" s="186"/>
      <c r="J45" s="187"/>
      <c r="K45" s="364" t="str">
        <f t="shared" si="1"/>
        <v/>
      </c>
      <c r="L45" s="366"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91"/>
      <c r="N45" s="189"/>
      <c r="O45" s="421"/>
      <c r="P45" s="421"/>
      <c r="Q45" s="421"/>
      <c r="R45" s="422"/>
      <c r="S45" s="422"/>
      <c r="T45" s="422"/>
      <c r="U45" s="422"/>
      <c r="V45" s="361"/>
    </row>
    <row r="46" spans="1:22" ht="21.95" customHeight="1" x14ac:dyDescent="0.35">
      <c r="A46" s="363" t="s">
        <v>117</v>
      </c>
      <c r="B46" s="152"/>
      <c r="C46" s="153"/>
      <c r="D46" s="158"/>
      <c r="E46" s="155"/>
      <c r="F46" s="156"/>
      <c r="G46" s="364" t="str">
        <f>IF(OR(E46="",F46=""),"",PID_KVLohnLookup($A$1,E46,F46,LOHNTABELLE!$H$4))</f>
        <v/>
      </c>
      <c r="H46" s="365" t="str">
        <f>IF(AND(ISNUMBER(D46),ISNUMBER(F46)),ROUNDDOWN(MIN(IF(OR(ISBLANK(I46),I46=""),EOMONTH(DATE(EINSTELLUNG!$C$35,$A$1,1),0),I46)-MAX(D46,DATE(EINSTELLUNG!$C$35,$A$1,1))+1)/DAY(EOMONTH(DATE(EINSTELLUNG!$C$35,$A$1,1),0))*F46,2),"")</f>
        <v/>
      </c>
      <c r="I46" s="158"/>
      <c r="J46" s="165"/>
      <c r="K46" s="364" t="str">
        <f t="shared" si="1"/>
        <v/>
      </c>
      <c r="L46" s="366"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70"/>
      <c r="N46" s="168"/>
      <c r="O46" s="361"/>
      <c r="P46" s="361"/>
      <c r="Q46" s="361"/>
      <c r="R46" s="361"/>
      <c r="S46" s="361"/>
      <c r="T46" s="361"/>
      <c r="U46" s="361"/>
      <c r="V46" s="361"/>
    </row>
    <row r="47" spans="1:22" ht="21.95" customHeight="1" x14ac:dyDescent="0.35">
      <c r="A47" s="363" t="s">
        <v>118</v>
      </c>
      <c r="B47" s="181"/>
      <c r="C47" s="182"/>
      <c r="D47" s="183"/>
      <c r="E47" s="184"/>
      <c r="F47" s="190"/>
      <c r="G47" s="364" t="str">
        <f>IF(OR(E47="",F47=""),"",PID_KVLohnLookup($A$1,E47,F47,LOHNTABELLE!$H$4))</f>
        <v/>
      </c>
      <c r="H47" s="365" t="str">
        <f>IF(AND(ISNUMBER(D47),ISNUMBER(F47)),ROUNDDOWN(MIN(IF(OR(ISBLANK(I47),I47=""),EOMONTH(DATE(EINSTELLUNG!$C$35,$A$1,1),0),I47)-MAX(D47,DATE(EINSTELLUNG!$C$35,$A$1,1))+1)/DAY(EOMONTH(DATE(EINSTELLUNG!$C$35,$A$1,1),0))*F47,2),"")</f>
        <v/>
      </c>
      <c r="I47" s="186"/>
      <c r="J47" s="187"/>
      <c r="K47" s="364" t="str">
        <f t="shared" si="1"/>
        <v/>
      </c>
      <c r="L47" s="366"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91"/>
      <c r="N47" s="189"/>
      <c r="O47" s="361"/>
      <c r="P47" s="361"/>
      <c r="Q47" s="361"/>
      <c r="R47" s="361"/>
      <c r="S47" s="361"/>
      <c r="T47" s="361"/>
      <c r="U47" s="361"/>
      <c r="V47" s="361"/>
    </row>
    <row r="48" spans="1:22" ht="21.95" customHeight="1" x14ac:dyDescent="0.35">
      <c r="A48" s="363" t="s">
        <v>119</v>
      </c>
      <c r="B48" s="152"/>
      <c r="C48" s="153"/>
      <c r="D48" s="154"/>
      <c r="E48" s="155"/>
      <c r="F48" s="156"/>
      <c r="G48" s="364" t="str">
        <f>IF(OR(E48="",F48=""),"",PID_KVLohnLookup($A$1,E48,F48,LOHNTABELLE!$H$4))</f>
        <v/>
      </c>
      <c r="H48" s="365" t="str">
        <f>IF(AND(ISNUMBER(D48),ISNUMBER(F48)),ROUNDDOWN(MIN(IF(OR(ISBLANK(I48),I48=""),EOMONTH(DATE(EINSTELLUNG!$C$35,$A$1,1),0),I48)-MAX(D48,DATE(EINSTELLUNG!$C$35,$A$1,1))+1)/DAY(EOMONTH(DATE(EINSTELLUNG!$C$35,$A$1,1),0))*F48,2),"")</f>
        <v/>
      </c>
      <c r="I48" s="158"/>
      <c r="J48" s="165"/>
      <c r="K48" s="364" t="str">
        <f t="shared" si="1"/>
        <v/>
      </c>
      <c r="L48" s="366"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70"/>
      <c r="N48" s="168"/>
      <c r="O48" s="361"/>
      <c r="P48" s="361"/>
      <c r="Q48" s="361"/>
      <c r="R48" s="361"/>
      <c r="S48" s="361"/>
      <c r="T48" s="361"/>
      <c r="U48" s="361"/>
      <c r="V48" s="361"/>
    </row>
    <row r="49" spans="1:22" ht="21.95" customHeight="1" x14ac:dyDescent="0.35">
      <c r="A49" s="363" t="s">
        <v>120</v>
      </c>
      <c r="B49" s="181"/>
      <c r="C49" s="182"/>
      <c r="D49" s="183"/>
      <c r="E49" s="184"/>
      <c r="F49" s="190"/>
      <c r="G49" s="364" t="str">
        <f>IF(OR(E49="",F49=""),"",PID_KVLohnLookup($A$1,E49,F49,LOHNTABELLE!$H$4))</f>
        <v/>
      </c>
      <c r="H49" s="365" t="str">
        <f>IF(AND(ISNUMBER(D49),ISNUMBER(F49)),ROUNDDOWN(MIN(IF(OR(ISBLANK(I49),I49=""),EOMONTH(DATE(EINSTELLUNG!$C$35,$A$1,1),0),I49)-MAX(D49,DATE(EINSTELLUNG!$C$35,$A$1,1))+1)/DAY(EOMONTH(DATE(EINSTELLUNG!$C$35,$A$1,1),0))*F49,2),"")</f>
        <v/>
      </c>
      <c r="I49" s="186"/>
      <c r="J49" s="187"/>
      <c r="K49" s="364" t="str">
        <f t="shared" si="1"/>
        <v/>
      </c>
      <c r="L49" s="366"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91"/>
      <c r="N49" s="189"/>
      <c r="O49" s="361"/>
      <c r="P49" s="361"/>
      <c r="Q49" s="361"/>
      <c r="R49" s="361"/>
      <c r="S49" s="361"/>
      <c r="T49" s="361"/>
      <c r="U49" s="361"/>
      <c r="V49" s="361"/>
    </row>
    <row r="50" spans="1:22" ht="21.95" customHeight="1" x14ac:dyDescent="0.35">
      <c r="A50" s="363" t="s">
        <v>121</v>
      </c>
      <c r="B50" s="152"/>
      <c r="C50" s="153"/>
      <c r="D50" s="154"/>
      <c r="E50" s="155"/>
      <c r="F50" s="156"/>
      <c r="G50" s="364" t="str">
        <f>IF(OR(E50="",F50=""),"",PID_KVLohnLookup($A$1,E50,F50,LOHNTABELLE!$H$4))</f>
        <v/>
      </c>
      <c r="H50" s="365" t="str">
        <f>IF(AND(ISNUMBER(D50),ISNUMBER(F50)),ROUNDDOWN(MIN(IF(OR(ISBLANK(I50),I50=""),EOMONTH(DATE(EINSTELLUNG!$C$35,$A$1,1),0),I50)-MAX(D50,DATE(EINSTELLUNG!$C$35,$A$1,1))+1)/DAY(EOMONTH(DATE(EINSTELLUNG!$C$35,$A$1,1),0))*F50,2),"")</f>
        <v/>
      </c>
      <c r="I50" s="158"/>
      <c r="J50" s="165"/>
      <c r="K50" s="364" t="str">
        <f t="shared" si="1"/>
        <v/>
      </c>
      <c r="L50" s="366"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70"/>
      <c r="N50" s="168"/>
      <c r="O50" s="361"/>
      <c r="P50" s="361"/>
      <c r="Q50" s="361"/>
      <c r="R50" s="361"/>
      <c r="S50" s="361"/>
      <c r="T50" s="361"/>
      <c r="U50" s="361"/>
      <c r="V50" s="361"/>
    </row>
    <row r="51" spans="1:22" ht="21.95" customHeight="1" x14ac:dyDescent="0.35">
      <c r="A51" s="363" t="s">
        <v>122</v>
      </c>
      <c r="B51" s="181"/>
      <c r="C51" s="182"/>
      <c r="D51" s="183"/>
      <c r="E51" s="184"/>
      <c r="F51" s="190"/>
      <c r="G51" s="364" t="str">
        <f>IF(OR(E51="",F51=""),"",PID_KVLohnLookup($A$1,E51,F51,LOHNTABELLE!$H$4))</f>
        <v/>
      </c>
      <c r="H51" s="365" t="str">
        <f>IF(AND(ISNUMBER(D51),ISNUMBER(F51)),ROUNDDOWN(MIN(IF(OR(ISBLANK(I51),I51=""),EOMONTH(DATE(EINSTELLUNG!$C$35,$A$1,1),0),I51)-MAX(D51,DATE(EINSTELLUNG!$C$35,$A$1,1))+1)/DAY(EOMONTH(DATE(EINSTELLUNG!$C$35,$A$1,1),0))*F51,2),"")</f>
        <v/>
      </c>
      <c r="I51" s="186"/>
      <c r="J51" s="187"/>
      <c r="K51" s="364" t="str">
        <f t="shared" si="1"/>
        <v/>
      </c>
      <c r="L51" s="366"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188"/>
      <c r="N51" s="192"/>
    </row>
    <row r="52" spans="1:22" ht="21.95" customHeight="1" x14ac:dyDescent="0.35">
      <c r="A52" s="363" t="s">
        <v>123</v>
      </c>
      <c r="B52" s="152"/>
      <c r="C52" s="153"/>
      <c r="D52" s="154"/>
      <c r="E52" s="155"/>
      <c r="F52" s="156"/>
      <c r="G52" s="364" t="str">
        <f>IF(OR(E52="",F52=""),"",PID_KVLohnLookup($A$1,E52,F52,LOHNTABELLE!$H$4))</f>
        <v/>
      </c>
      <c r="H52" s="365" t="str">
        <f>IF(AND(ISNUMBER(D52),ISNUMBER(F52)),ROUNDDOWN(MIN(IF(OR(ISBLANK(I52),I52=""),EOMONTH(DATE(EINSTELLUNG!$C$35,$A$1,1),0),I52)-MAX(D52,DATE(EINSTELLUNG!$C$35,$A$1,1))+1)/DAY(EOMONTH(DATE(EINSTELLUNG!$C$35,$A$1,1),0))*F52,2),"")</f>
        <v/>
      </c>
      <c r="I52" s="158"/>
      <c r="J52" s="165"/>
      <c r="K52" s="364" t="str">
        <f t="shared" si="1"/>
        <v/>
      </c>
      <c r="L52" s="366"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167"/>
      <c r="N52" s="168"/>
    </row>
    <row r="53" spans="1:22" ht="21.95" customHeight="1" x14ac:dyDescent="0.35">
      <c r="A53" s="363" t="s">
        <v>124</v>
      </c>
      <c r="B53" s="181"/>
      <c r="C53" s="182"/>
      <c r="D53" s="183"/>
      <c r="E53" s="184"/>
      <c r="F53" s="185"/>
      <c r="G53" s="364" t="str">
        <f>IF(OR(E53="",F53=""),"",PID_KVLohnLookup($A$1,E53,F53,LOHNTABELLE!$H$4))</f>
        <v/>
      </c>
      <c r="H53" s="365" t="str">
        <f>IF(AND(ISNUMBER(D53),ISNUMBER(F53)),ROUNDDOWN(MIN(IF(OR(ISBLANK(I53),I53=""),EOMONTH(DATE(EINSTELLUNG!$C$35,$A$1,1),0),I53)-MAX(D53,DATE(EINSTELLUNG!$C$35,$A$1,1))+1)/DAY(EOMONTH(DATE(EINSTELLUNG!$C$35,$A$1,1),0))*F53,2),"")</f>
        <v/>
      </c>
      <c r="I53" s="186"/>
      <c r="J53" s="187"/>
      <c r="K53" s="364" t="str">
        <f t="shared" si="1"/>
        <v/>
      </c>
      <c r="L53" s="366"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188"/>
      <c r="N53" s="189"/>
    </row>
    <row r="54" spans="1:22" ht="21.95" customHeight="1" x14ac:dyDescent="0.35">
      <c r="A54" s="363" t="s">
        <v>125</v>
      </c>
      <c r="B54" s="152"/>
      <c r="C54" s="153"/>
      <c r="D54" s="154"/>
      <c r="E54" s="155"/>
      <c r="F54" s="156"/>
      <c r="G54" s="364" t="str">
        <f>IF(OR(E54="",F54=""),"",PID_KVLohnLookup($A$1,E54,F54,LOHNTABELLE!$H$4))</f>
        <v/>
      </c>
      <c r="H54" s="365" t="str">
        <f>IF(AND(ISNUMBER(D54),ISNUMBER(F54)),ROUNDDOWN(MIN(IF(OR(ISBLANK(I54),I54=""),EOMONTH(DATE(EINSTELLUNG!$C$35,$A$1,1),0),I54)-MAX(D54,DATE(EINSTELLUNG!$C$35,$A$1,1))+1)/DAY(EOMONTH(DATE(EINSTELLUNG!$C$35,$A$1,1),0))*F54,2),"")</f>
        <v/>
      </c>
      <c r="I54" s="158"/>
      <c r="J54" s="165"/>
      <c r="K54" s="364" t="str">
        <f t="shared" si="1"/>
        <v/>
      </c>
      <c r="L54" s="366"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167"/>
      <c r="N54" s="168"/>
    </row>
    <row r="55" spans="1:22" ht="21.95" customHeight="1" x14ac:dyDescent="0.35">
      <c r="A55" s="363" t="s">
        <v>126</v>
      </c>
      <c r="B55" s="181"/>
      <c r="C55" s="182"/>
      <c r="D55" s="186"/>
      <c r="E55" s="184"/>
      <c r="F55" s="190"/>
      <c r="G55" s="364" t="str">
        <f>IF(OR(E55="",F55=""),"",PID_KVLohnLookup($A$1,E55,F55,LOHNTABELLE!$H$4))</f>
        <v/>
      </c>
      <c r="H55" s="365" t="str">
        <f>IF(AND(ISNUMBER(D55),ISNUMBER(F55)),ROUNDDOWN(MIN(IF(OR(ISBLANK(I55),I55=""),EOMONTH(DATE(EINSTELLUNG!$C$35,$A$1,1),0),I55)-MAX(D55,DATE(EINSTELLUNG!$C$35,$A$1,1))+1)/DAY(EOMONTH(DATE(EINSTELLUNG!$C$35,$A$1,1),0))*F55,2),"")</f>
        <v/>
      </c>
      <c r="I55" s="186"/>
      <c r="J55" s="187"/>
      <c r="K55" s="364" t="str">
        <f t="shared" si="1"/>
        <v/>
      </c>
      <c r="L55" s="366"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188"/>
      <c r="N55" s="189"/>
    </row>
    <row r="56" spans="1:22" ht="21.95" customHeight="1" x14ac:dyDescent="0.35">
      <c r="A56" s="363" t="s">
        <v>127</v>
      </c>
      <c r="B56" s="152"/>
      <c r="C56" s="153"/>
      <c r="D56" s="154"/>
      <c r="E56" s="155"/>
      <c r="F56" s="156"/>
      <c r="G56" s="364" t="str">
        <f>IF(OR(E56="",F56=""),"",PID_KVLohnLookup($A$1,E56,F56,LOHNTABELLE!$H$4))</f>
        <v/>
      </c>
      <c r="H56" s="365" t="str">
        <f>IF(AND(ISNUMBER(D56),ISNUMBER(F56)),ROUNDDOWN(MIN(IF(OR(ISBLANK(I56),I56=""),EOMONTH(DATE(EINSTELLUNG!$C$35,$A$1,1),0),I56)-MAX(D56,DATE(EINSTELLUNG!$C$35,$A$1,1))+1)/DAY(EOMONTH(DATE(EINSTELLUNG!$C$35,$A$1,1),0))*F56,2),"")</f>
        <v/>
      </c>
      <c r="I56" s="158"/>
      <c r="J56" s="165"/>
      <c r="K56" s="364" t="str">
        <f t="shared" si="1"/>
        <v/>
      </c>
      <c r="L56" s="366"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167"/>
      <c r="N56" s="168"/>
    </row>
    <row r="57" spans="1:22" ht="21.95" customHeight="1" x14ac:dyDescent="0.35">
      <c r="A57" s="363" t="s">
        <v>128</v>
      </c>
      <c r="B57" s="181"/>
      <c r="C57" s="182"/>
      <c r="D57" s="186"/>
      <c r="E57" s="184"/>
      <c r="F57" s="190"/>
      <c r="G57" s="364" t="str">
        <f>IF(OR(E57="",F57=""),"",PID_KVLohnLookup($A$1,E57,F57,LOHNTABELLE!$H$4))</f>
        <v/>
      </c>
      <c r="H57" s="365" t="str">
        <f>IF(AND(ISNUMBER(D57),ISNUMBER(F57)),ROUNDDOWN(MIN(IF(OR(ISBLANK(I57),I57=""),EOMONTH(DATE(EINSTELLUNG!$C$35,$A$1,1),0),I57)-MAX(D57,DATE(EINSTELLUNG!$C$35,$A$1,1))+1)/DAY(EOMONTH(DATE(EINSTELLUNG!$C$35,$A$1,1),0))*F57,2),"")</f>
        <v/>
      </c>
      <c r="I57" s="186"/>
      <c r="J57" s="187"/>
      <c r="K57" s="364" t="str">
        <f t="shared" si="1"/>
        <v/>
      </c>
      <c r="L57" s="366"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188"/>
      <c r="N57" s="189"/>
    </row>
    <row r="58" spans="1:22" ht="21.95" customHeight="1" x14ac:dyDescent="0.35">
      <c r="A58" s="363" t="s">
        <v>129</v>
      </c>
      <c r="B58" s="152"/>
      <c r="C58" s="153"/>
      <c r="D58" s="158"/>
      <c r="E58" s="155"/>
      <c r="F58" s="156"/>
      <c r="G58" s="364" t="str">
        <f>IF(OR(E58="",F58=""),"",PID_KVLohnLookup($A$1,E58,F58,LOHNTABELLE!$H$4))</f>
        <v/>
      </c>
      <c r="H58" s="365" t="str">
        <f>IF(AND(ISNUMBER(D58),ISNUMBER(F58)),ROUNDDOWN(MIN(IF(OR(ISBLANK(I58),I58=""),EOMONTH(DATE(EINSTELLUNG!$C$35,$A$1,1),0),I58)-MAX(D58,DATE(EINSTELLUNG!$C$35,$A$1,1))+1)/DAY(EOMONTH(DATE(EINSTELLUNG!$C$35,$A$1,1),0))*F58,2),"")</f>
        <v/>
      </c>
      <c r="I58" s="158"/>
      <c r="J58" s="165"/>
      <c r="K58" s="364" t="str">
        <f t="shared" si="1"/>
        <v/>
      </c>
      <c r="L58" s="366"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167"/>
      <c r="N58" s="168"/>
    </row>
    <row r="59" spans="1:22" ht="21.95" customHeight="1" x14ac:dyDescent="0.35">
      <c r="A59" s="363" t="s">
        <v>130</v>
      </c>
      <c r="B59" s="181"/>
      <c r="C59" s="182"/>
      <c r="D59" s="186"/>
      <c r="E59" s="184"/>
      <c r="F59" s="190"/>
      <c r="G59" s="364" t="str">
        <f>IF(OR(E59="",F59=""),"",PID_KVLohnLookup($A$1,E59,F59,LOHNTABELLE!$H$4))</f>
        <v/>
      </c>
      <c r="H59" s="365" t="str">
        <f>IF(AND(ISNUMBER(D59),ISNUMBER(F59)),ROUNDDOWN(MIN(IF(OR(ISBLANK(I59),I59=""),EOMONTH(DATE(EINSTELLUNG!$C$35,$A$1,1),0),I59)-MAX(D59,DATE(EINSTELLUNG!$C$35,$A$1,1))+1)/DAY(EOMONTH(DATE(EINSTELLUNG!$C$35,$A$1,1),0))*F59,2),"")</f>
        <v/>
      </c>
      <c r="I59" s="186"/>
      <c r="J59" s="187"/>
      <c r="K59" s="364" t="str">
        <f t="shared" si="1"/>
        <v/>
      </c>
      <c r="L59" s="366"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188"/>
      <c r="N59" s="189"/>
    </row>
    <row r="60" spans="1:22" ht="21.95" customHeight="1" x14ac:dyDescent="0.35">
      <c r="A60" s="363" t="s">
        <v>131</v>
      </c>
      <c r="B60" s="152"/>
      <c r="C60" s="153"/>
      <c r="D60" s="158"/>
      <c r="E60" s="155"/>
      <c r="F60" s="156"/>
      <c r="G60" s="364" t="str">
        <f>IF(OR(E60="",F60=""),"",PID_KVLohnLookup($A$1,E60,F60,LOHNTABELLE!$H$4))</f>
        <v/>
      </c>
      <c r="H60" s="365" t="str">
        <f>IF(AND(ISNUMBER(D60),ISNUMBER(F60)),ROUNDDOWN(MIN(IF(OR(ISBLANK(I60),I60=""),EOMONTH(DATE(EINSTELLUNG!$C$35,$A$1,1),0),I60)-MAX(D60,DATE(EINSTELLUNG!$C$35,$A$1,1))+1)/DAY(EOMONTH(DATE(EINSTELLUNG!$C$35,$A$1,1),0))*F60,2),"")</f>
        <v/>
      </c>
      <c r="I60" s="158"/>
      <c r="J60" s="165"/>
      <c r="K60" s="364" t="str">
        <f t="shared" si="1"/>
        <v/>
      </c>
      <c r="L60" s="366"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167"/>
      <c r="N60" s="168"/>
    </row>
    <row r="61" spans="1:22" ht="21.95" customHeight="1" x14ac:dyDescent="0.35">
      <c r="A61" s="363" t="s">
        <v>132</v>
      </c>
      <c r="B61" s="181"/>
      <c r="C61" s="182"/>
      <c r="D61" s="186"/>
      <c r="E61" s="184"/>
      <c r="F61" s="190"/>
      <c r="G61" s="364" t="str">
        <f>IF(OR(E61="",F61=""),"",PID_KVLohnLookup($A$1,E61,F61,LOHNTABELLE!$H$4))</f>
        <v/>
      </c>
      <c r="H61" s="365" t="str">
        <f>IF(AND(ISNUMBER(D61),ISNUMBER(F61)),ROUNDDOWN(MIN(IF(OR(ISBLANK(I61),I61=""),EOMONTH(DATE(EINSTELLUNG!$C$35,$A$1,1),0),I61)-MAX(D61,DATE(EINSTELLUNG!$C$35,$A$1,1))+1)/DAY(EOMONTH(DATE(EINSTELLUNG!$C$35,$A$1,1),0))*F61,2),"")</f>
        <v/>
      </c>
      <c r="I61" s="186"/>
      <c r="J61" s="187"/>
      <c r="K61" s="364" t="str">
        <f t="shared" si="1"/>
        <v/>
      </c>
      <c r="L61" s="366"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88"/>
      <c r="N61" s="189"/>
    </row>
    <row r="62" spans="1:22" ht="21.95" customHeight="1" x14ac:dyDescent="0.35">
      <c r="A62" s="363" t="s">
        <v>133</v>
      </c>
      <c r="B62" s="152"/>
      <c r="C62" s="153"/>
      <c r="D62" s="158"/>
      <c r="E62" s="155"/>
      <c r="F62" s="156"/>
      <c r="G62" s="364" t="str">
        <f>IF(OR(E62="",F62=""),"",PID_KVLohnLookup($A$1,E62,F62,LOHNTABELLE!$H$4))</f>
        <v/>
      </c>
      <c r="H62" s="365" t="str">
        <f>IF(AND(ISNUMBER(D62),ISNUMBER(F62)),ROUNDDOWN(MIN(IF(OR(ISBLANK(I62),I62=""),EOMONTH(DATE(EINSTELLUNG!$C$35,$A$1,1),0),I62)-MAX(D62,DATE(EINSTELLUNG!$C$35,$A$1,1))+1)/DAY(EOMONTH(DATE(EINSTELLUNG!$C$35,$A$1,1),0))*F62,2),"")</f>
        <v/>
      </c>
      <c r="I62" s="158"/>
      <c r="J62" s="165"/>
      <c r="K62" s="364" t="str">
        <f t="shared" si="1"/>
        <v/>
      </c>
      <c r="L62" s="366"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167"/>
      <c r="N62" s="168"/>
    </row>
    <row r="63" spans="1:22" ht="21.95" customHeight="1" x14ac:dyDescent="0.35">
      <c r="A63" s="363" t="s">
        <v>134</v>
      </c>
      <c r="B63" s="181"/>
      <c r="C63" s="193"/>
      <c r="D63" s="186"/>
      <c r="E63" s="184"/>
      <c r="F63" s="190"/>
      <c r="G63" s="364" t="str">
        <f>IF(OR(E63="",F63=""),"",PID_KVLohnLookup($A$1,E63,F63,LOHNTABELLE!$H$4))</f>
        <v/>
      </c>
      <c r="H63" s="365" t="str">
        <f>IF(AND(ISNUMBER(D63),ISNUMBER(F63)),ROUNDDOWN(MIN(IF(OR(ISBLANK(I63),I63=""),EOMONTH(DATE(EINSTELLUNG!$C$35,$A$1,1),0),I63)-MAX(D63,DATE(EINSTELLUNG!$C$35,$A$1,1))+1)/DAY(EOMONTH(DATE(EINSTELLUNG!$C$35,$A$1,1),0))*F63,2),"")</f>
        <v/>
      </c>
      <c r="I63" s="186"/>
      <c r="J63" s="187"/>
      <c r="K63" s="364" t="str">
        <f t="shared" si="1"/>
        <v/>
      </c>
      <c r="L63" s="366"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88"/>
      <c r="N63" s="189"/>
    </row>
    <row r="64" spans="1:22" ht="21.95" customHeight="1" x14ac:dyDescent="0.35">
      <c r="A64" s="363" t="s">
        <v>135</v>
      </c>
      <c r="B64" s="152"/>
      <c r="C64" s="153"/>
      <c r="D64" s="158"/>
      <c r="E64" s="155"/>
      <c r="F64" s="156"/>
      <c r="G64" s="364" t="str">
        <f>IF(OR(E64="",F64=""),"",PID_KVLohnLookup($A$1,E64,F64,LOHNTABELLE!$H$4))</f>
        <v/>
      </c>
      <c r="H64" s="365" t="str">
        <f>IF(AND(ISNUMBER(D64),ISNUMBER(F64)),ROUNDDOWN(MIN(IF(OR(ISBLANK(I64),I64=""),EOMONTH(DATE(EINSTELLUNG!$C$35,$A$1,1),0),I64)-MAX(D64,DATE(EINSTELLUNG!$C$35,$A$1,1))+1)/DAY(EOMONTH(DATE(EINSTELLUNG!$C$35,$A$1,1),0))*F64,2),"")</f>
        <v/>
      </c>
      <c r="I64" s="158"/>
      <c r="J64" s="165"/>
      <c r="K64" s="364" t="str">
        <f t="shared" si="1"/>
        <v/>
      </c>
      <c r="L64" s="366"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167"/>
      <c r="N64" s="168"/>
    </row>
    <row r="65" spans="1:14" ht="21.95" customHeight="1" x14ac:dyDescent="0.35">
      <c r="A65" s="363" t="s">
        <v>136</v>
      </c>
      <c r="B65" s="181"/>
      <c r="C65" s="182"/>
      <c r="D65" s="186"/>
      <c r="E65" s="184"/>
      <c r="F65" s="190"/>
      <c r="G65" s="364" t="str">
        <f>IF(OR(E65="",F65=""),"",PID_KVLohnLookup($A$1,E65,F65,LOHNTABELLE!$H$4))</f>
        <v/>
      </c>
      <c r="H65" s="365" t="str">
        <f>IF(AND(ISNUMBER(D65),ISNUMBER(F65)),ROUNDDOWN(MIN(IF(OR(ISBLANK(I65),I65=""),EOMONTH(DATE(EINSTELLUNG!$C$35,$A$1,1),0),I65)-MAX(D65,DATE(EINSTELLUNG!$C$35,$A$1,1))+1)/DAY(EOMONTH(DATE(EINSTELLUNG!$C$35,$A$1,1),0))*F65,2),"")</f>
        <v/>
      </c>
      <c r="I65" s="186"/>
      <c r="J65" s="187"/>
      <c r="K65" s="364" t="str">
        <f t="shared" si="1"/>
        <v/>
      </c>
      <c r="L65" s="366"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88"/>
      <c r="N65" s="189"/>
    </row>
    <row r="66" spans="1:14" ht="21.95" customHeight="1" x14ac:dyDescent="0.35">
      <c r="A66" s="363" t="s">
        <v>137</v>
      </c>
      <c r="B66" s="152"/>
      <c r="C66" s="153"/>
      <c r="D66" s="158"/>
      <c r="E66" s="155"/>
      <c r="F66" s="156"/>
      <c r="G66" s="364" t="str">
        <f>IF(OR(E66="",F66=""),"",PID_KVLohnLookup($A$1,E66,F66,LOHNTABELLE!$H$4))</f>
        <v/>
      </c>
      <c r="H66" s="365" t="str">
        <f>IF(AND(ISNUMBER(D66),ISNUMBER(F66)),ROUNDDOWN(MIN(IF(OR(ISBLANK(I66),I66=""),EOMONTH(DATE(EINSTELLUNG!$C$35,$A$1,1),0),I66)-MAX(D66,DATE(EINSTELLUNG!$C$35,$A$1,1))+1)/DAY(EOMONTH(DATE(EINSTELLUNG!$C$35,$A$1,1),0))*F66,2),"")</f>
        <v/>
      </c>
      <c r="I66" s="158"/>
      <c r="J66" s="165"/>
      <c r="K66" s="364" t="str">
        <f t="shared" si="1"/>
        <v/>
      </c>
      <c r="L66" s="366"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167"/>
      <c r="N66" s="168"/>
    </row>
    <row r="67" spans="1:14" ht="21.95" customHeight="1" x14ac:dyDescent="0.35">
      <c r="A67" s="363" t="s">
        <v>138</v>
      </c>
      <c r="B67" s="181"/>
      <c r="C67" s="182"/>
      <c r="D67" s="186"/>
      <c r="E67" s="184"/>
      <c r="F67" s="190"/>
      <c r="G67" s="364" t="str">
        <f>IF(OR(E67="",F67=""),"",PID_KVLohnLookup($A$1,E67,F67,LOHNTABELLE!$H$4))</f>
        <v/>
      </c>
      <c r="H67" s="365" t="str">
        <f>IF(AND(ISNUMBER(D67),ISNUMBER(F67)),ROUNDDOWN(MIN(IF(OR(ISBLANK(I67),I67=""),EOMONTH(DATE(EINSTELLUNG!$C$35,$A$1,1),0),I67)-MAX(D67,DATE(EINSTELLUNG!$C$35,$A$1,1))+1)/DAY(EOMONTH(DATE(EINSTELLUNG!$C$35,$A$1,1),0))*F67,2),"")</f>
        <v/>
      </c>
      <c r="I67" s="186"/>
      <c r="J67" s="187"/>
      <c r="K67" s="364" t="str">
        <f t="shared" ref="K67:K98" si="3">IF(OR(B67="",C67=""),"",IFERROR(IF(OR(MONTH(D67)=1,MONTH(D67)=3,MONTH(D67)=5,MONTH(D67)=7,MONTH(D67)=8,MONTH(D67)=10,MONTH(D67)=12),(G67/31)*J67,IF(OR(MONTH(D67)=4,MONTH(D67)=6,MONTH(D67)=9,MONTH(D67)=11),(G67/30)*J67,(G67/DAY(EOMONTH(D67,0)))*J67)),0))</f>
        <v/>
      </c>
      <c r="L67" s="366"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88"/>
      <c r="N67" s="189"/>
    </row>
    <row r="68" spans="1:14" ht="21.95" customHeight="1" x14ac:dyDescent="0.35">
      <c r="A68" s="363" t="s">
        <v>139</v>
      </c>
      <c r="B68" s="152"/>
      <c r="C68" s="153"/>
      <c r="D68" s="158"/>
      <c r="E68" s="155"/>
      <c r="F68" s="156"/>
      <c r="G68" s="364" t="str">
        <f>IF(OR(E68="",F68=""),"",PID_KVLohnLookup($A$1,E68,F68,LOHNTABELLE!$H$4))</f>
        <v/>
      </c>
      <c r="H68" s="365" t="str">
        <f>IF(AND(ISNUMBER(D68),ISNUMBER(F68)),ROUNDDOWN(MIN(IF(OR(ISBLANK(I68),I68=""),EOMONTH(DATE(EINSTELLUNG!$C$35,$A$1,1),0),I68)-MAX(D68,DATE(EINSTELLUNG!$C$35,$A$1,1))+1)/DAY(EOMONTH(DATE(EINSTELLUNG!$C$35,$A$1,1),0))*F68,2),"")</f>
        <v/>
      </c>
      <c r="I68" s="158"/>
      <c r="J68" s="165"/>
      <c r="K68" s="364" t="str">
        <f t="shared" si="3"/>
        <v/>
      </c>
      <c r="L68" s="366"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167"/>
      <c r="N68" s="168"/>
    </row>
    <row r="69" spans="1:14" ht="21.95" customHeight="1" x14ac:dyDescent="0.35">
      <c r="A69" s="363" t="s">
        <v>140</v>
      </c>
      <c r="B69" s="181"/>
      <c r="C69" s="182"/>
      <c r="D69" s="186"/>
      <c r="E69" s="184"/>
      <c r="F69" s="190"/>
      <c r="G69" s="364" t="str">
        <f>IF(OR(E69="",F69=""),"",PID_KVLohnLookup($A$1,E69,F69,LOHNTABELLE!$H$4))</f>
        <v/>
      </c>
      <c r="H69" s="365" t="str">
        <f>IF(AND(ISNUMBER(D69),ISNUMBER(F69)),ROUNDDOWN(MIN(IF(OR(ISBLANK(I69),I69=""),EOMONTH(DATE(EINSTELLUNG!$C$35,$A$1,1),0),I69)-MAX(D69,DATE(EINSTELLUNG!$C$35,$A$1,1))+1)/DAY(EOMONTH(DATE(EINSTELLUNG!$C$35,$A$1,1),0))*F69,2),"")</f>
        <v/>
      </c>
      <c r="I69" s="186"/>
      <c r="J69" s="187"/>
      <c r="K69" s="364" t="str">
        <f t="shared" si="3"/>
        <v/>
      </c>
      <c r="L69" s="366"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88"/>
      <c r="N69" s="189"/>
    </row>
    <row r="70" spans="1:14" ht="21.95" customHeight="1" x14ac:dyDescent="0.35">
      <c r="A70" s="363" t="s">
        <v>141</v>
      </c>
      <c r="B70" s="152"/>
      <c r="C70" s="153"/>
      <c r="D70" s="158"/>
      <c r="E70" s="155"/>
      <c r="F70" s="156"/>
      <c r="G70" s="364" t="str">
        <f>IF(OR(E70="",F70=""),"",PID_KVLohnLookup($A$1,E70,F70,LOHNTABELLE!$H$4))</f>
        <v/>
      </c>
      <c r="H70" s="365" t="str">
        <f>IF(AND(ISNUMBER(D70),ISNUMBER(F70)),ROUNDDOWN(MIN(IF(OR(ISBLANK(I70),I70=""),EOMONTH(DATE(EINSTELLUNG!$C$35,$A$1,1),0),I70)-MAX(D70,DATE(EINSTELLUNG!$C$35,$A$1,1))+1)/DAY(EOMONTH(DATE(EINSTELLUNG!$C$35,$A$1,1),0))*F70,2),"")</f>
        <v/>
      </c>
      <c r="I70" s="158"/>
      <c r="J70" s="165"/>
      <c r="K70" s="364" t="str">
        <f t="shared" si="3"/>
        <v/>
      </c>
      <c r="L70" s="366"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167"/>
      <c r="N70" s="168"/>
    </row>
    <row r="71" spans="1:14" ht="21.95" customHeight="1" x14ac:dyDescent="0.35">
      <c r="A71" s="363" t="s">
        <v>142</v>
      </c>
      <c r="B71" s="181"/>
      <c r="C71" s="182"/>
      <c r="D71" s="186"/>
      <c r="E71" s="184"/>
      <c r="F71" s="190"/>
      <c r="G71" s="364" t="str">
        <f>IF(OR(E71="",F71=""),"",PID_KVLohnLookup($A$1,E71,F71,LOHNTABELLE!$H$4))</f>
        <v/>
      </c>
      <c r="H71" s="365" t="str">
        <f>IF(AND(ISNUMBER(D71),ISNUMBER(F71)),ROUNDDOWN(MIN(IF(OR(ISBLANK(I71),I71=""),EOMONTH(DATE(EINSTELLUNG!$C$35,$A$1,1),0),I71)-MAX(D71,DATE(EINSTELLUNG!$C$35,$A$1,1))+1)/DAY(EOMONTH(DATE(EINSTELLUNG!$C$35,$A$1,1),0))*F71,2),"")</f>
        <v/>
      </c>
      <c r="I71" s="186"/>
      <c r="J71" s="187"/>
      <c r="K71" s="364" t="str">
        <f t="shared" si="3"/>
        <v/>
      </c>
      <c r="L71" s="366"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88"/>
      <c r="N71" s="189"/>
    </row>
    <row r="72" spans="1:14" ht="21.95" customHeight="1" x14ac:dyDescent="0.35">
      <c r="A72" s="363" t="s">
        <v>143</v>
      </c>
      <c r="B72" s="152"/>
      <c r="C72" s="153"/>
      <c r="D72" s="158"/>
      <c r="E72" s="155"/>
      <c r="F72" s="156"/>
      <c r="G72" s="364" t="str">
        <f>IF(OR(E72="",F72=""),"",PID_KVLohnLookup($A$1,E72,F72,LOHNTABELLE!$H$4))</f>
        <v/>
      </c>
      <c r="H72" s="365" t="str">
        <f>IF(AND(ISNUMBER(D72),ISNUMBER(F72)),ROUNDDOWN(MIN(IF(OR(ISBLANK(I72),I72=""),EOMONTH(DATE(EINSTELLUNG!$C$35,$A$1,1),0),I72)-MAX(D72,DATE(EINSTELLUNG!$C$35,$A$1,1))+1)/DAY(EOMONTH(DATE(EINSTELLUNG!$C$35,$A$1,1),0))*F72,2),"")</f>
        <v/>
      </c>
      <c r="I72" s="158"/>
      <c r="J72" s="165"/>
      <c r="K72" s="364" t="str">
        <f t="shared" si="3"/>
        <v/>
      </c>
      <c r="L72" s="366"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167"/>
      <c r="N72" s="168"/>
    </row>
    <row r="73" spans="1:14" ht="21.95" customHeight="1" x14ac:dyDescent="0.35">
      <c r="A73" s="363" t="s">
        <v>144</v>
      </c>
      <c r="B73" s="181"/>
      <c r="C73" s="182"/>
      <c r="D73" s="186"/>
      <c r="E73" s="184"/>
      <c r="F73" s="190"/>
      <c r="G73" s="364" t="str">
        <f>IF(OR(E73="",F73=""),"",PID_KVLohnLookup($A$1,E73,F73,LOHNTABELLE!$H$4))</f>
        <v/>
      </c>
      <c r="H73" s="365" t="str">
        <f>IF(AND(ISNUMBER(D73),ISNUMBER(F73)),ROUNDDOWN(MIN(IF(OR(ISBLANK(I73),I73=""),EOMONTH(DATE(EINSTELLUNG!$C$35,$A$1,1),0),I73)-MAX(D73,DATE(EINSTELLUNG!$C$35,$A$1,1))+1)/DAY(EOMONTH(DATE(EINSTELLUNG!$C$35,$A$1,1),0))*F73,2),"")</f>
        <v/>
      </c>
      <c r="I73" s="186"/>
      <c r="J73" s="187"/>
      <c r="K73" s="364" t="str">
        <f t="shared" si="3"/>
        <v/>
      </c>
      <c r="L73" s="366"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88"/>
      <c r="N73" s="189"/>
    </row>
    <row r="74" spans="1:14" ht="21.95" customHeight="1" x14ac:dyDescent="0.35">
      <c r="A74" s="363" t="s">
        <v>145</v>
      </c>
      <c r="B74" s="152"/>
      <c r="C74" s="153"/>
      <c r="D74" s="158"/>
      <c r="E74" s="155"/>
      <c r="F74" s="156"/>
      <c r="G74" s="364" t="str">
        <f>IF(OR(E74="",F74=""),"",PID_KVLohnLookup($A$1,E74,F74,LOHNTABELLE!$H$4))</f>
        <v/>
      </c>
      <c r="H74" s="365" t="str">
        <f>IF(AND(ISNUMBER(D74),ISNUMBER(F74)),ROUNDDOWN(MIN(IF(OR(ISBLANK(I74),I74=""),EOMONTH(DATE(EINSTELLUNG!$C$35,$A$1,1),0),I74)-MAX(D74,DATE(EINSTELLUNG!$C$35,$A$1,1))+1)/DAY(EOMONTH(DATE(EINSTELLUNG!$C$35,$A$1,1),0))*F74,2),"")</f>
        <v/>
      </c>
      <c r="I74" s="158"/>
      <c r="J74" s="165"/>
      <c r="K74" s="364" t="str">
        <f t="shared" si="3"/>
        <v/>
      </c>
      <c r="L74" s="366"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167"/>
      <c r="N74" s="168"/>
    </row>
    <row r="75" spans="1:14" ht="21.95" customHeight="1" x14ac:dyDescent="0.35">
      <c r="A75" s="363" t="s">
        <v>146</v>
      </c>
      <c r="B75" s="181"/>
      <c r="C75" s="182"/>
      <c r="D75" s="186"/>
      <c r="E75" s="184"/>
      <c r="F75" s="190"/>
      <c r="G75" s="364" t="str">
        <f>IF(OR(E75="",F75=""),"",PID_KVLohnLookup($A$1,E75,F75,LOHNTABELLE!$H$4))</f>
        <v/>
      </c>
      <c r="H75" s="365" t="str">
        <f>IF(AND(ISNUMBER(D75),ISNUMBER(F75)),ROUNDDOWN(MIN(IF(OR(ISBLANK(I75),I75=""),EOMONTH(DATE(EINSTELLUNG!$C$35,$A$1,1),0),I75)-MAX(D75,DATE(EINSTELLUNG!$C$35,$A$1,1))+1)/DAY(EOMONTH(DATE(EINSTELLUNG!$C$35,$A$1,1),0))*F75,2),"")</f>
        <v/>
      </c>
      <c r="I75" s="186"/>
      <c r="J75" s="187"/>
      <c r="K75" s="364" t="str">
        <f t="shared" si="3"/>
        <v/>
      </c>
      <c r="L75" s="366"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88"/>
      <c r="N75" s="189"/>
    </row>
    <row r="76" spans="1:14" ht="21.95" customHeight="1" x14ac:dyDescent="0.35">
      <c r="A76" s="363" t="s">
        <v>147</v>
      </c>
      <c r="B76" s="152"/>
      <c r="C76" s="153"/>
      <c r="D76" s="158"/>
      <c r="E76" s="155"/>
      <c r="F76" s="156"/>
      <c r="G76" s="364" t="str">
        <f>IF(OR(E76="",F76=""),"",PID_KVLohnLookup($A$1,E76,F76,LOHNTABELLE!$H$4))</f>
        <v/>
      </c>
      <c r="H76" s="365" t="str">
        <f>IF(AND(ISNUMBER(D76),ISNUMBER(F76)),ROUNDDOWN(MIN(IF(OR(ISBLANK(I76),I76=""),EOMONTH(DATE(EINSTELLUNG!$C$35,$A$1,1),0),I76)-MAX(D76,DATE(EINSTELLUNG!$C$35,$A$1,1))+1)/DAY(EOMONTH(DATE(EINSTELLUNG!$C$35,$A$1,1),0))*F76,2),"")</f>
        <v/>
      </c>
      <c r="I76" s="158"/>
      <c r="J76" s="165"/>
      <c r="K76" s="364" t="str">
        <f t="shared" si="3"/>
        <v/>
      </c>
      <c r="L76" s="366"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167"/>
      <c r="N76" s="168"/>
    </row>
    <row r="77" spans="1:14" ht="21.95" customHeight="1" x14ac:dyDescent="0.35">
      <c r="A77" s="363" t="s">
        <v>148</v>
      </c>
      <c r="B77" s="181"/>
      <c r="C77" s="182"/>
      <c r="D77" s="186"/>
      <c r="E77" s="184"/>
      <c r="F77" s="190"/>
      <c r="G77" s="364" t="str">
        <f>IF(OR(E77="",F77=""),"",PID_KVLohnLookup($A$1,E77,F77,LOHNTABELLE!$H$4))</f>
        <v/>
      </c>
      <c r="H77" s="365" t="str">
        <f>IF(AND(ISNUMBER(D77),ISNUMBER(F77)),ROUNDDOWN(MIN(IF(OR(ISBLANK(I77),I77=""),EOMONTH(DATE(EINSTELLUNG!$C$35,$A$1,1),0),I77)-MAX(D77,DATE(EINSTELLUNG!$C$35,$A$1,1))+1)/DAY(EOMONTH(DATE(EINSTELLUNG!$C$35,$A$1,1),0))*F77,2),"")</f>
        <v/>
      </c>
      <c r="I77" s="186"/>
      <c r="J77" s="187"/>
      <c r="K77" s="364" t="str">
        <f t="shared" si="3"/>
        <v/>
      </c>
      <c r="L77" s="366"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88"/>
      <c r="N77" s="189"/>
    </row>
    <row r="78" spans="1:14" ht="21.95" customHeight="1" x14ac:dyDescent="0.35">
      <c r="A78" s="363" t="s">
        <v>149</v>
      </c>
      <c r="B78" s="152"/>
      <c r="C78" s="153"/>
      <c r="D78" s="158"/>
      <c r="E78" s="155"/>
      <c r="F78" s="156"/>
      <c r="G78" s="364" t="str">
        <f>IF(OR(E78="",F78=""),"",PID_KVLohnLookup($A$1,E78,F78,LOHNTABELLE!$H$4))</f>
        <v/>
      </c>
      <c r="H78" s="365" t="str">
        <f>IF(AND(ISNUMBER(D78),ISNUMBER(F78)),ROUNDDOWN(MIN(IF(OR(ISBLANK(I78),I78=""),EOMONTH(DATE(EINSTELLUNG!$C$35,$A$1,1),0),I78)-MAX(D78,DATE(EINSTELLUNG!$C$35,$A$1,1))+1)/DAY(EOMONTH(DATE(EINSTELLUNG!$C$35,$A$1,1),0))*F78,2),"")</f>
        <v/>
      </c>
      <c r="I78" s="158"/>
      <c r="J78" s="165"/>
      <c r="K78" s="364" t="str">
        <f t="shared" si="3"/>
        <v/>
      </c>
      <c r="L78" s="366"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167"/>
      <c r="N78" s="168"/>
    </row>
    <row r="79" spans="1:14" ht="21.95" customHeight="1" x14ac:dyDescent="0.35">
      <c r="A79" s="363" t="s">
        <v>150</v>
      </c>
      <c r="B79" s="181"/>
      <c r="C79" s="182"/>
      <c r="D79" s="186"/>
      <c r="E79" s="184"/>
      <c r="F79" s="190"/>
      <c r="G79" s="364" t="str">
        <f>IF(OR(E79="",F79=""),"",PID_KVLohnLookup($A$1,E79,F79,LOHNTABELLE!$H$4))</f>
        <v/>
      </c>
      <c r="H79" s="365" t="str">
        <f>IF(AND(ISNUMBER(D79),ISNUMBER(F79)),ROUNDDOWN(MIN(IF(OR(ISBLANK(I79),I79=""),EOMONTH(DATE(EINSTELLUNG!$C$35,$A$1,1),0),I79)-MAX(D79,DATE(EINSTELLUNG!$C$35,$A$1,1))+1)/DAY(EOMONTH(DATE(EINSTELLUNG!$C$35,$A$1,1),0))*F79,2),"")</f>
        <v/>
      </c>
      <c r="I79" s="186"/>
      <c r="J79" s="187"/>
      <c r="K79" s="364" t="str">
        <f t="shared" si="3"/>
        <v/>
      </c>
      <c r="L79" s="366"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88"/>
      <c r="N79" s="189"/>
    </row>
    <row r="80" spans="1:14" ht="21.95" customHeight="1" x14ac:dyDescent="0.35">
      <c r="A80" s="363" t="s">
        <v>151</v>
      </c>
      <c r="B80" s="152"/>
      <c r="C80" s="153"/>
      <c r="D80" s="158"/>
      <c r="E80" s="155"/>
      <c r="F80" s="156"/>
      <c r="G80" s="364" t="str">
        <f>IF(OR(E80="",F80=""),"",PID_KVLohnLookup($A$1,E80,F80,LOHNTABELLE!$H$4))</f>
        <v/>
      </c>
      <c r="H80" s="365" t="str">
        <f>IF(AND(ISNUMBER(D80),ISNUMBER(F80)),ROUNDDOWN(MIN(IF(OR(ISBLANK(I80),I80=""),EOMONTH(DATE(EINSTELLUNG!$C$35,$A$1,1),0),I80)-MAX(D80,DATE(EINSTELLUNG!$C$35,$A$1,1))+1)/DAY(EOMONTH(DATE(EINSTELLUNG!$C$35,$A$1,1),0))*F80,2),"")</f>
        <v/>
      </c>
      <c r="I80" s="158"/>
      <c r="J80" s="165"/>
      <c r="K80" s="364" t="str">
        <f t="shared" si="3"/>
        <v/>
      </c>
      <c r="L80" s="366"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167"/>
      <c r="N80" s="168"/>
    </row>
    <row r="81" spans="1:14" ht="21.95" customHeight="1" x14ac:dyDescent="0.35">
      <c r="A81" s="363" t="s">
        <v>152</v>
      </c>
      <c r="B81" s="181"/>
      <c r="C81" s="182"/>
      <c r="D81" s="186"/>
      <c r="E81" s="184"/>
      <c r="F81" s="190"/>
      <c r="G81" s="364" t="str">
        <f>IF(OR(E81="",F81=""),"",PID_KVLohnLookup($A$1,E81,F81,LOHNTABELLE!$H$4))</f>
        <v/>
      </c>
      <c r="H81" s="365" t="str">
        <f>IF(AND(ISNUMBER(D81),ISNUMBER(F81)),ROUNDDOWN(MIN(IF(OR(ISBLANK(I81),I81=""),EOMONTH(DATE(EINSTELLUNG!$C$35,$A$1,1),0),I81)-MAX(D81,DATE(EINSTELLUNG!$C$35,$A$1,1))+1)/DAY(EOMONTH(DATE(EINSTELLUNG!$C$35,$A$1,1),0))*F81,2),"")</f>
        <v/>
      </c>
      <c r="I81" s="186"/>
      <c r="J81" s="187"/>
      <c r="K81" s="364" t="str">
        <f t="shared" si="3"/>
        <v/>
      </c>
      <c r="L81" s="366"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88"/>
      <c r="N81" s="189"/>
    </row>
    <row r="82" spans="1:14" ht="21.95" customHeight="1" thickBot="1" x14ac:dyDescent="0.4">
      <c r="A82" s="423" t="s">
        <v>153</v>
      </c>
      <c r="B82" s="160"/>
      <c r="C82" s="161"/>
      <c r="D82" s="162"/>
      <c r="E82" s="163"/>
      <c r="F82" s="164"/>
      <c r="G82" s="424" t="str">
        <f>IF(OR(E82="",F82=""),"",PID_KVLohnLookup($A$1,E82,F82,LOHNTABELLE!$H$4))</f>
        <v/>
      </c>
      <c r="H82" s="425" t="str">
        <f>IF(AND(ISNUMBER(D82),ISNUMBER(F82)),ROUNDDOWN(MIN(IF(OR(ISBLANK(I82),I82=""),EOMONTH(DATE(EINSTELLUNG!$C$35,$A$1,1),0),I82)-MAX(D82,DATE(EINSTELLUNG!$C$35,$A$1,1))+1)/DAY(EOMONTH(DATE(EINSTELLUNG!$C$35,$A$1,1),0))*F82,2),"")</f>
        <v/>
      </c>
      <c r="I82" s="162"/>
      <c r="J82" s="166"/>
      <c r="K82" s="424" t="str">
        <f t="shared" si="3"/>
        <v/>
      </c>
      <c r="L82" s="42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71"/>
      <c r="N82" s="172"/>
    </row>
    <row r="83" spans="1:14" ht="15.95" customHeight="1" x14ac:dyDescent="0.3">
      <c r="A83" s="462"/>
      <c r="B83" s="462"/>
    </row>
    <row r="100" spans="26:26" ht="15.95" customHeight="1" x14ac:dyDescent="0.3">
      <c r="Z100" s="343"/>
    </row>
  </sheetData>
  <sheetProtection algorithmName="SHA-512" hashValue="t+5iiyo1XcwxzjGji/hMem7RE5zWvecyEDU8Or67I6ev8O/IzFCgs7AJv4UkAQkmxE3A3/W7bqQM+GbRz5UVEg==" saltValue="5x3Pe8qhxs+KlwRJ7ayNkQ=="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041AC7D-EBC6-4C0A-8EBE-7616DF8F502B}">
          <x14:formula1>
            <xm:f>KV_DROPDOWN_HELPER!$AJY$1:$AJY$12</xm:f>
          </x14:formula1>
          <xm:sqref>E3:E82</xm:sqref>
        </x14:dataValidation>
        <x14:dataValidation type="list" allowBlank="1" showInputMessage="1" showErrorMessage="1" xr:uid="{B9D0D6D5-62CC-414F-B494-F237DF6F9663}">
          <x14:formula1>
            <xm:f>KV_DROPDOWN_HELPER!$RM$1:$RM$13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40625" defaultRowHeight="15.95" customHeight="1" x14ac:dyDescent="0.3"/>
  <cols>
    <col min="1" max="1" width="4.42578125" style="427" customWidth="1"/>
    <col min="2" max="2" width="9.140625" style="427" customWidth="1"/>
    <col min="3" max="3" width="35.5703125" style="263" customWidth="1"/>
    <col min="4" max="4" width="13.5703125" style="263" customWidth="1"/>
    <col min="5" max="5" width="9.5703125" style="263" customWidth="1"/>
    <col min="6" max="6" width="10.5703125" style="263" customWidth="1"/>
    <col min="7" max="7" width="13.5703125" style="263" customWidth="1"/>
    <col min="8" max="8" width="11.5703125" style="263" customWidth="1"/>
    <col min="9" max="10" width="13.5703125" style="263" customWidth="1"/>
    <col min="11" max="11" width="14.5703125" style="263" customWidth="1"/>
    <col min="12" max="12" width="14.5703125" style="389" customWidth="1"/>
    <col min="13" max="13" width="17.85546875" style="263" customWidth="1"/>
    <col min="14" max="14" width="34.5703125" style="263" customWidth="1"/>
    <col min="15" max="15" width="12.5703125" style="263" customWidth="1"/>
    <col min="16" max="16" width="16.5703125" style="263" customWidth="1"/>
    <col min="17" max="17" width="14.5703125" style="263" customWidth="1"/>
    <col min="18" max="18" width="13.5703125" style="263" customWidth="1"/>
    <col min="19" max="19" width="9.5703125" style="263" customWidth="1"/>
    <col min="20" max="20" width="10.5703125" style="263" customWidth="1"/>
    <col min="21" max="21" width="7.5703125" style="263" customWidth="1"/>
    <col min="22" max="27" width="9.140625" style="263"/>
    <col min="28" max="28" width="10.5703125" style="263" bestFit="1" customWidth="1"/>
    <col min="29" max="16384" width="9.140625" style="263"/>
  </cols>
  <sheetData>
    <row r="1" spans="1:28" ht="18" customHeight="1" x14ac:dyDescent="0.3">
      <c r="A1" s="344">
        <v>8</v>
      </c>
      <c r="B1" s="345" t="s">
        <v>179</v>
      </c>
      <c r="C1" s="346" t="s">
        <v>39</v>
      </c>
      <c r="D1" s="346" t="s">
        <v>180</v>
      </c>
      <c r="E1" s="346" t="s">
        <v>0</v>
      </c>
      <c r="F1" s="346" t="s">
        <v>40</v>
      </c>
      <c r="G1" s="346" t="s">
        <v>41</v>
      </c>
      <c r="H1" s="346" t="s">
        <v>42</v>
      </c>
      <c r="I1" s="346" t="s">
        <v>181</v>
      </c>
      <c r="J1" s="346" t="s">
        <v>43</v>
      </c>
      <c r="K1" s="346" t="s">
        <v>44</v>
      </c>
      <c r="L1" s="346" t="s">
        <v>45</v>
      </c>
      <c r="M1" s="346" t="s">
        <v>46</v>
      </c>
      <c r="N1" s="347" t="s">
        <v>182</v>
      </c>
      <c r="AB1" s="348">
        <f>DATE(EINSTELLUNG!$C$35,$A$1,1)</f>
        <v>46235</v>
      </c>
    </row>
    <row r="2" spans="1:28" ht="18" customHeight="1" thickBot="1" x14ac:dyDescent="0.35">
      <c r="A2" s="349"/>
      <c r="B2" s="350"/>
      <c r="C2" s="351"/>
      <c r="D2" s="351"/>
      <c r="E2" s="351"/>
      <c r="F2" s="351"/>
      <c r="G2" s="351"/>
      <c r="H2" s="351"/>
      <c r="I2" s="351"/>
      <c r="J2" s="351"/>
      <c r="K2" s="351"/>
      <c r="L2" s="351"/>
      <c r="M2" s="351"/>
      <c r="N2" s="352"/>
      <c r="O2" s="353"/>
      <c r="P2" s="353"/>
      <c r="Q2" s="353"/>
      <c r="S2" s="354" t="s">
        <v>291</v>
      </c>
      <c r="T2" s="354"/>
      <c r="U2" s="354"/>
      <c r="V2" s="354"/>
      <c r="AB2" s="348">
        <f>EOMONTH(DATE(EINSTELLUNG!$C$35,$A$1,1),0)</f>
        <v>46265</v>
      </c>
    </row>
    <row r="3" spans="1:28" ht="21.95" customHeight="1" x14ac:dyDescent="0.35">
      <c r="A3" s="355" t="s">
        <v>292</v>
      </c>
      <c r="B3" s="173">
        <v>21867</v>
      </c>
      <c r="C3" s="151" t="s">
        <v>385</v>
      </c>
      <c r="D3" s="177">
        <v>46023</v>
      </c>
      <c r="E3" s="175" t="s">
        <v>2</v>
      </c>
      <c r="F3" s="176">
        <v>173</v>
      </c>
      <c r="G3" s="356">
        <f>IF(OR(E3="",F3=""),"",PID_KVLohnLookup($A$1,E3,F3,LOHNTABELLE!$H$4))</f>
        <v>2100</v>
      </c>
      <c r="H3" s="357">
        <f>IF(AND(ISNUMBER(D3),ISNUMBER(F3)),ROUNDDOWN(MIN(IF(OR(ISBLANK(I3),I3=""),EOMONTH(DATE(EINSTELLUNG!$C$35,$A$1,1),0),I3)-MAX(D3,DATE(EINSTELLUNG!$C$35,$A$1,1))+1)/DAY(EOMONTH(DATE(EINSTELLUNG!$C$35,$A$1,1),0))*F3,2),"")</f>
        <v>173</v>
      </c>
      <c r="I3" s="177"/>
      <c r="J3" s="178"/>
      <c r="K3" s="356">
        <f t="shared" ref="K3:K34" si="0">IF(OR(B3="",C3=""),"",IFERROR(IF(OR(MONTH(D3)=1,MONTH(D3)=3,MONTH(D3)=5,MONTH(D3)=7,MONTH(D3)=8,MONTH(D3)=10,MONTH(D3)=12),(G3/31)*J3,IF(OR(MONTH(D3)=4,MONTH(D3)=6,MONTH(D3)=9,MONTH(D3)=11),(G3/30)*J3,(G3/DAY(EOMONTH(D3,0)))*J3)),0))</f>
        <v>0</v>
      </c>
      <c r="L3" s="35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2100</v>
      </c>
      <c r="M3" s="179"/>
      <c r="N3" s="180"/>
      <c r="O3" s="359" t="s">
        <v>47</v>
      </c>
      <c r="P3" s="359" t="s">
        <v>48</v>
      </c>
      <c r="Q3" s="359" t="s">
        <v>49</v>
      </c>
      <c r="R3" s="360" t="s">
        <v>50</v>
      </c>
      <c r="S3" s="361"/>
      <c r="T3" s="361"/>
      <c r="U3" s="361"/>
      <c r="V3" s="361"/>
      <c r="AB3" s="362"/>
    </row>
    <row r="4" spans="1:28" ht="21.95" customHeight="1" x14ac:dyDescent="0.35">
      <c r="A4" s="363" t="s">
        <v>51</v>
      </c>
      <c r="B4" s="152">
        <v>221340</v>
      </c>
      <c r="C4" s="153" t="s">
        <v>333</v>
      </c>
      <c r="D4" s="154">
        <v>32994</v>
      </c>
      <c r="E4" s="155" t="s">
        <v>2</v>
      </c>
      <c r="F4" s="156">
        <v>151.38</v>
      </c>
      <c r="G4" s="364">
        <f>IF(OR(E4="",F4=""),"",PID_KVLohnLookup($A$1,E4,F4,LOHNTABELLE!$H$4))</f>
        <v>1768.38</v>
      </c>
      <c r="H4" s="365">
        <f>IF(AND(ISNUMBER(D4),ISNUMBER(F4)),ROUNDDOWN(MIN(IF(OR(ISBLANK(I4),I4=""),EOMONTH(DATE(EINSTELLUNG!$C$35,$A$1,1),0),I4)-MAX(D4,DATE(EINSTELLUNG!$C$35,$A$1,1))+1)/DAY(EOMONTH(DATE(EINSTELLUNG!$C$35,$A$1,1),0))*F4,2),"")</f>
        <v>151.38</v>
      </c>
      <c r="I4" s="158"/>
      <c r="J4" s="165"/>
      <c r="K4" s="364">
        <f t="shared" si="0"/>
        <v>0</v>
      </c>
      <c r="L4" s="366">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1768.38</v>
      </c>
      <c r="M4" s="167"/>
      <c r="N4" s="168"/>
      <c r="O4" s="367"/>
      <c r="P4" s="367"/>
      <c r="Q4" s="367"/>
      <c r="R4" s="368"/>
      <c r="S4" s="361"/>
      <c r="T4" s="361"/>
      <c r="U4" s="361"/>
      <c r="V4" s="361"/>
    </row>
    <row r="5" spans="1:28" ht="21.95" customHeight="1" x14ac:dyDescent="0.35">
      <c r="A5" s="363" t="s">
        <v>52</v>
      </c>
      <c r="B5" s="181"/>
      <c r="C5" s="182"/>
      <c r="D5" s="183"/>
      <c r="E5" s="184"/>
      <c r="F5" s="190"/>
      <c r="G5" s="364" t="str">
        <f>IF(OR(E5="",F5=""),"",PID_KVLohnLookup($A$1,E5,F5,LOHNTABELLE!$H$4))</f>
        <v/>
      </c>
      <c r="H5" s="365" t="str">
        <f>IF(AND(ISNUMBER(D5),ISNUMBER(F5)),ROUNDDOWN(MIN(IF(OR(ISBLANK(I5),I5=""),EOMONTH(DATE(EINSTELLUNG!$C$35,$A$1,1),0),I5)-MAX(D5,DATE(EINSTELLUNG!$C$35,$A$1,1))+1)/DAY(EOMONTH(DATE(EINSTELLUNG!$C$35,$A$1,1),0))*F5,2),"")</f>
        <v/>
      </c>
      <c r="I5" s="186"/>
      <c r="J5" s="187"/>
      <c r="K5" s="364" t="str">
        <f t="shared" si="0"/>
        <v/>
      </c>
      <c r="L5" s="366"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188"/>
      <c r="N5" s="189"/>
      <c r="O5" s="369" cm="1">
        <f t="array" ref="O5">SUMPRODUCT((F3:F82/4.310808)/5*2.08)</f>
        <v>31.303198843465079</v>
      </c>
      <c r="P5" s="370">
        <f>EINSTELLUNG!I13</f>
        <v>0</v>
      </c>
      <c r="Q5" s="370">
        <f>P5-O5</f>
        <v>-31.303198843465079</v>
      </c>
      <c r="R5" s="371">
        <f>IFERROR(Q5*Q42, 0)</f>
        <v>-373.30497670042377</v>
      </c>
      <c r="S5" s="361"/>
      <c r="T5" s="361"/>
      <c r="U5" s="361"/>
      <c r="V5" s="361"/>
    </row>
    <row r="6" spans="1:28" ht="21.95" customHeight="1" x14ac:dyDescent="0.35">
      <c r="A6" s="363" t="s">
        <v>53</v>
      </c>
      <c r="B6" s="152"/>
      <c r="C6" s="153"/>
      <c r="D6" s="154"/>
      <c r="E6" s="155"/>
      <c r="F6" s="156"/>
      <c r="G6" s="364" t="str">
        <f>IF(OR(E6="",F6=""),"",PID_KVLohnLookup($A$1,E6,F6,LOHNTABELLE!$H$4))</f>
        <v/>
      </c>
      <c r="H6" s="365" t="str">
        <f>IF(AND(ISNUMBER(D6),ISNUMBER(F6)),ROUNDDOWN(MIN(IF(OR(ISBLANK(I6),I6=""),EOMONTH(DATE(EINSTELLUNG!$C$35,$A$1,1),0),I6)-MAX(D6,DATE(EINSTELLUNG!$C$35,$A$1,1))+1)/DAY(EOMONTH(DATE(EINSTELLUNG!$C$35,$A$1,1),0))*F6,2),"")</f>
        <v/>
      </c>
      <c r="I6" s="158"/>
      <c r="J6" s="165"/>
      <c r="K6" s="364" t="str">
        <f t="shared" si="0"/>
        <v/>
      </c>
      <c r="L6" s="366"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167"/>
      <c r="N6" s="168"/>
      <c r="O6" s="372" t="str">
        <f>IF(Q5&lt;0, "Schlecht! Zu wenig Urlaub abgebaut.", IF(Q5&gt;0, "Gut! Mehr Urlaub abgebaut als aufgebaut.", ""))</f>
        <v>Schlecht! Zu wenig Urlaub abgebaut.</v>
      </c>
      <c r="P6" s="373"/>
      <c r="Q6" s="373"/>
      <c r="R6" s="374"/>
      <c r="S6" s="361"/>
      <c r="T6" s="361"/>
      <c r="U6" s="361"/>
      <c r="V6" s="361"/>
    </row>
    <row r="7" spans="1:28" ht="21.95" customHeight="1" thickBot="1" x14ac:dyDescent="0.4">
      <c r="A7" s="363" t="s">
        <v>54</v>
      </c>
      <c r="B7" s="181"/>
      <c r="C7" s="182"/>
      <c r="D7" s="183"/>
      <c r="E7" s="184"/>
      <c r="F7" s="190"/>
      <c r="G7" s="364" t="str">
        <f>IF(OR(E7="",F7=""),"",PID_KVLohnLookup($A$1,E7,F7,LOHNTABELLE!$H$4))</f>
        <v/>
      </c>
      <c r="H7" s="365" t="str">
        <f>IF(AND(ISNUMBER(D7),ISNUMBER(F7)),ROUNDDOWN(MIN(IF(OR(ISBLANK(I7),I7=""),EOMONTH(DATE(EINSTELLUNG!$C$35,$A$1,1),0),I7)-MAX(D7,DATE(EINSTELLUNG!$C$35,$A$1,1))+1)/DAY(EOMONTH(DATE(EINSTELLUNG!$C$35,$A$1,1),0))*F7,2),"")</f>
        <v/>
      </c>
      <c r="I7" s="186"/>
      <c r="J7" s="187"/>
      <c r="K7" s="364" t="str">
        <f t="shared" si="0"/>
        <v/>
      </c>
      <c r="L7" s="366"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188"/>
      <c r="N7" s="189"/>
      <c r="O7" s="361"/>
      <c r="P7" s="361"/>
      <c r="Q7" s="361"/>
      <c r="R7" s="361"/>
      <c r="S7" s="361"/>
      <c r="T7" s="361"/>
      <c r="U7" s="361"/>
      <c r="V7" s="361"/>
    </row>
    <row r="8" spans="1:28" ht="21.95" customHeight="1" x14ac:dyDescent="0.35">
      <c r="A8" s="363" t="s">
        <v>55</v>
      </c>
      <c r="B8" s="152"/>
      <c r="C8" s="153"/>
      <c r="D8" s="154"/>
      <c r="E8" s="155"/>
      <c r="F8" s="156"/>
      <c r="G8" s="364" t="str">
        <f>IF(OR(E8="",F8=""),"",PID_KVLohnLookup($A$1,E8,F8,LOHNTABELLE!$H$4))</f>
        <v/>
      </c>
      <c r="H8" s="365" t="str">
        <f>IF(AND(ISNUMBER(D8),ISNUMBER(F8)),ROUNDDOWN(MIN(IF(OR(ISBLANK(I8),I8=""),EOMONTH(DATE(EINSTELLUNG!$C$35,$A$1,1),0),I8)-MAX(D8,DATE(EINSTELLUNG!$C$35,$A$1,1))+1)/DAY(EOMONTH(DATE(EINSTELLUNG!$C$35,$A$1,1),0))*F8,2),"")</f>
        <v/>
      </c>
      <c r="I8" s="158"/>
      <c r="J8" s="165"/>
      <c r="K8" s="364" t="str">
        <f t="shared" si="0"/>
        <v/>
      </c>
      <c r="L8" s="366"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167"/>
      <c r="N8" s="168"/>
      <c r="O8" s="375" t="s">
        <v>56</v>
      </c>
      <c r="P8" s="376"/>
      <c r="Q8" s="377">
        <f>SUM(H3:H82)</f>
        <v>324.38</v>
      </c>
      <c r="R8" s="378"/>
      <c r="S8" s="361"/>
      <c r="T8" s="361"/>
      <c r="U8" s="361"/>
      <c r="V8" s="361"/>
    </row>
    <row r="9" spans="1:28" ht="21.95" customHeight="1" x14ac:dyDescent="0.35">
      <c r="A9" s="363" t="s">
        <v>57</v>
      </c>
      <c r="B9" s="181"/>
      <c r="C9" s="182"/>
      <c r="D9" s="183"/>
      <c r="E9" s="184"/>
      <c r="F9" s="190"/>
      <c r="G9" s="364" t="str">
        <f>IF(OR(E9="",F9=""),"",PID_KVLohnLookup($A$1,E9,F9,LOHNTABELLE!$H$4))</f>
        <v/>
      </c>
      <c r="H9" s="365" t="str">
        <f>IF(AND(ISNUMBER(D9),ISNUMBER(F9)),ROUNDDOWN(MIN(IF(OR(ISBLANK(I9),I9=""),EOMONTH(DATE(EINSTELLUNG!$C$35,$A$1,1),0),I9)-MAX(D9,DATE(EINSTELLUNG!$C$35,$A$1,1))+1)/DAY(EOMONTH(DATE(EINSTELLUNG!$C$35,$A$1,1),0))*F9,2),"")</f>
        <v/>
      </c>
      <c r="I9" s="186"/>
      <c r="J9" s="187"/>
      <c r="K9" s="364" t="str">
        <f t="shared" si="0"/>
        <v/>
      </c>
      <c r="L9" s="366"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188"/>
      <c r="N9" s="189"/>
      <c r="O9" s="379" t="s">
        <v>58</v>
      </c>
      <c r="P9" s="380"/>
      <c r="Q9" s="381">
        <f>EINSTELLUNG!L29</f>
        <v>0</v>
      </c>
      <c r="R9" s="382"/>
      <c r="S9" s="383">
        <f>IFERROR(Q9/Q8, 0)</f>
        <v>0</v>
      </c>
      <c r="T9" s="361"/>
      <c r="U9" s="361"/>
      <c r="V9" s="361"/>
    </row>
    <row r="10" spans="1:28" ht="21.95" customHeight="1" x14ac:dyDescent="0.35">
      <c r="A10" s="363" t="s">
        <v>59</v>
      </c>
      <c r="B10" s="152"/>
      <c r="C10" s="153"/>
      <c r="D10" s="154"/>
      <c r="E10" s="155"/>
      <c r="F10" s="156"/>
      <c r="G10" s="364" t="str">
        <f>IF(OR(E10="",F10=""),"",PID_KVLohnLookup($A$1,E10,F10,LOHNTABELLE!$H$4))</f>
        <v/>
      </c>
      <c r="H10" s="365" t="str">
        <f>IF(AND(ISNUMBER(D10),ISNUMBER(F10)),ROUNDDOWN(MIN(IF(OR(ISBLANK(I10),I10=""),EOMONTH(DATE(EINSTELLUNG!$C$35,$A$1,1),0),I10)-MAX(D10,DATE(EINSTELLUNG!$C$35,$A$1,1))+1)/DAY(EOMONTH(DATE(EINSTELLUNG!$C$35,$A$1,1),0))*F10,2),"")</f>
        <v/>
      </c>
      <c r="I10" s="158"/>
      <c r="J10" s="165"/>
      <c r="K10" s="364" t="str">
        <f t="shared" si="0"/>
        <v/>
      </c>
      <c r="L10" s="366"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167"/>
      <c r="N10" s="168"/>
      <c r="O10" s="379" t="s">
        <v>60</v>
      </c>
      <c r="P10" s="380"/>
      <c r="Q10" s="381">
        <f>EINSTELLUNG!I29</f>
        <v>0</v>
      </c>
      <c r="R10" s="382"/>
      <c r="S10" s="361"/>
      <c r="T10" s="361"/>
      <c r="U10" s="361"/>
      <c r="V10" s="361"/>
    </row>
    <row r="11" spans="1:28" ht="21.95" customHeight="1" x14ac:dyDescent="0.35">
      <c r="A11" s="363" t="s">
        <v>61</v>
      </c>
      <c r="B11" s="181"/>
      <c r="C11" s="182"/>
      <c r="D11" s="183"/>
      <c r="E11" s="184"/>
      <c r="F11" s="190"/>
      <c r="G11" s="364" t="str">
        <f>IF(OR(E11="",F11=""),"",PID_KVLohnLookup($A$1,E11,F11,LOHNTABELLE!$H$4))</f>
        <v/>
      </c>
      <c r="H11" s="365" t="str">
        <f>IF(AND(ISNUMBER(D11),ISNUMBER(F11)),ROUNDDOWN(MIN(IF(OR(ISBLANK(I11),I11=""),EOMONTH(DATE(EINSTELLUNG!$C$35,$A$1,1),0),I11)-MAX(D11,DATE(EINSTELLUNG!$C$35,$A$1,1))+1)/DAY(EOMONTH(DATE(EINSTELLUNG!$C$35,$A$1,1),0))*F11,2),"")</f>
        <v/>
      </c>
      <c r="I11" s="186"/>
      <c r="J11" s="187"/>
      <c r="K11" s="364" t="str">
        <f t="shared" si="0"/>
        <v/>
      </c>
      <c r="L11" s="366"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188"/>
      <c r="N11" s="189"/>
      <c r="O11" s="379" t="s">
        <v>62</v>
      </c>
      <c r="P11" s="380"/>
      <c r="Q11" s="381">
        <f>P5</f>
        <v>0</v>
      </c>
      <c r="R11" s="382"/>
      <c r="S11" s="361"/>
      <c r="T11" s="361"/>
      <c r="U11" s="361"/>
      <c r="V11" s="361"/>
    </row>
    <row r="12" spans="1:28" ht="21.95" customHeight="1" x14ac:dyDescent="0.35">
      <c r="A12" s="363" t="s">
        <v>63</v>
      </c>
      <c r="B12" s="152"/>
      <c r="C12" s="153"/>
      <c r="D12" s="154"/>
      <c r="E12" s="155"/>
      <c r="F12" s="157"/>
      <c r="G12" s="364" t="str">
        <f>IF(OR(E12="",F12=""),"",PID_KVLohnLookup($A$1,E12,F12,LOHNTABELLE!$H$4))</f>
        <v/>
      </c>
      <c r="H12" s="365" t="str">
        <f>IF(AND(ISNUMBER(D12),ISNUMBER(F12)),ROUNDDOWN(MIN(IF(OR(ISBLANK(I12),I12=""),EOMONTH(DATE(EINSTELLUNG!$C$35,$A$1,1),0),I12)-MAX(D12,DATE(EINSTELLUNG!$C$35,$A$1,1))+1)/DAY(EOMONTH(DATE(EINSTELLUNG!$C$35,$A$1,1),0))*F12,2),"")</f>
        <v/>
      </c>
      <c r="I12" s="158"/>
      <c r="J12" s="165"/>
      <c r="K12" s="364" t="str">
        <f t="shared" si="0"/>
        <v/>
      </c>
      <c r="L12" s="366"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167"/>
      <c r="N12" s="168"/>
      <c r="O12" s="379" t="s">
        <v>66</v>
      </c>
      <c r="P12" s="380"/>
      <c r="Q12" s="381">
        <f>Q8-Q9-Q10-Q11</f>
        <v>324.38</v>
      </c>
      <c r="R12" s="382"/>
      <c r="S12" s="361"/>
      <c r="T12" s="361"/>
      <c r="U12" s="361"/>
      <c r="V12" s="361"/>
    </row>
    <row r="13" spans="1:28" ht="21.95" customHeight="1" x14ac:dyDescent="0.35">
      <c r="A13" s="363" t="s">
        <v>65</v>
      </c>
      <c r="B13" s="181"/>
      <c r="C13" s="182"/>
      <c r="D13" s="183"/>
      <c r="E13" s="184"/>
      <c r="F13" s="190"/>
      <c r="G13" s="364" t="str">
        <f>IF(OR(E13="",F13=""),"",PID_KVLohnLookup($A$1,E13,F13,LOHNTABELLE!$H$4))</f>
        <v/>
      </c>
      <c r="H13" s="365" t="str">
        <f>IF(AND(ISNUMBER(D13),ISNUMBER(F13)),ROUNDDOWN(MIN(IF(OR(ISBLANK(I13),I13=""),EOMONTH(DATE(EINSTELLUNG!$C$35,$A$1,1),0),I13)-MAX(D13,DATE(EINSTELLUNG!$C$35,$A$1,1))+1)/DAY(EOMONTH(DATE(EINSTELLUNG!$C$35,$A$1,1),0))*F13,2),"")</f>
        <v/>
      </c>
      <c r="I13" s="186"/>
      <c r="J13" s="187"/>
      <c r="K13" s="364" t="str">
        <f t="shared" si="0"/>
        <v/>
      </c>
      <c r="L13" s="366"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188"/>
      <c r="N13" s="189"/>
      <c r="O13" s="379" t="s">
        <v>68</v>
      </c>
      <c r="P13" s="380"/>
      <c r="Q13" s="381">
        <f>EINSTELLUNG!L13</f>
        <v>0</v>
      </c>
      <c r="R13" s="382"/>
      <c r="S13" s="361"/>
      <c r="T13" s="361"/>
      <c r="U13" s="361"/>
      <c r="V13" s="361"/>
    </row>
    <row r="14" spans="1:28" ht="21.95" customHeight="1" x14ac:dyDescent="0.35">
      <c r="A14" s="363" t="s">
        <v>67</v>
      </c>
      <c r="B14" s="152"/>
      <c r="C14" s="153"/>
      <c r="D14" s="154"/>
      <c r="E14" s="155"/>
      <c r="F14" s="156"/>
      <c r="G14" s="364" t="str">
        <f>IF(OR(E14="",F14=""),"",PID_KVLohnLookup($A$1,E14,F14,LOHNTABELLE!$H$4))</f>
        <v/>
      </c>
      <c r="H14" s="365" t="str">
        <f>IF(AND(ISNUMBER(D14),ISNUMBER(F14)),ROUNDDOWN(MIN(IF(OR(ISBLANK(I14),I14=""),EOMONTH(DATE(EINSTELLUNG!$C$35,$A$1,1),0),I14)-MAX(D14,DATE(EINSTELLUNG!$C$35,$A$1,1))+1)/DAY(EOMONTH(DATE(EINSTELLUNG!$C$35,$A$1,1),0))*F14,2),"")</f>
        <v/>
      </c>
      <c r="I14" s="158"/>
      <c r="J14" s="165"/>
      <c r="K14" s="364" t="str">
        <f t="shared" si="0"/>
        <v/>
      </c>
      <c r="L14" s="366"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167"/>
      <c r="N14" s="168"/>
      <c r="O14" s="379" t="s">
        <v>70</v>
      </c>
      <c r="P14" s="380"/>
      <c r="Q14" s="381">
        <f>Q12-Q13</f>
        <v>324.38</v>
      </c>
      <c r="R14" s="382"/>
      <c r="S14" s="361"/>
      <c r="T14" s="361"/>
      <c r="U14" s="361"/>
      <c r="V14" s="361"/>
    </row>
    <row r="15" spans="1:28" ht="21.95" customHeight="1" x14ac:dyDescent="0.35">
      <c r="A15" s="363" t="s">
        <v>69</v>
      </c>
      <c r="B15" s="181"/>
      <c r="C15" s="182"/>
      <c r="D15" s="186"/>
      <c r="E15" s="184"/>
      <c r="F15" s="190"/>
      <c r="G15" s="364" t="str">
        <f>IF(OR(E15="",F15=""),"",PID_KVLohnLookup($A$1,E15,F15,LOHNTABELLE!$H$4))</f>
        <v/>
      </c>
      <c r="H15" s="365" t="str">
        <f>IF(AND(ISNUMBER(D15),ISNUMBER(F15)),ROUNDDOWN(MIN(IF(OR(ISBLANK(I15),I15=""),EOMONTH(DATE(EINSTELLUNG!$C$35,$A$1,1),0),I15)-MAX(D15,DATE(EINSTELLUNG!$C$35,$A$1,1))+1)/DAY(EOMONTH(DATE(EINSTELLUNG!$C$35,$A$1,1),0))*F15,2),"")</f>
        <v/>
      </c>
      <c r="I15" s="186"/>
      <c r="J15" s="187"/>
      <c r="K15" s="364" t="str">
        <f t="shared" si="0"/>
        <v/>
      </c>
      <c r="L15" s="366"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188"/>
      <c r="N15" s="189"/>
      <c r="O15" s="455" t="str">
        <f>IF(Q14&lt;0, "Schlecht! Zu wenig Stunden für Dienstplan.", IF(Q14&gt;0, "Du hast mehr als genug Stunden für Dienstplan.", ""))</f>
        <v>Du hast mehr als genug Stunden für Dienstplan.</v>
      </c>
      <c r="P15" s="456"/>
      <c r="Q15" s="456"/>
      <c r="R15" s="457"/>
      <c r="S15" s="384"/>
      <c r="T15" s="384"/>
      <c r="U15" s="384"/>
      <c r="V15" s="361"/>
    </row>
    <row r="16" spans="1:28" ht="21.95" customHeight="1" thickBot="1" x14ac:dyDescent="0.4">
      <c r="A16" s="363" t="s">
        <v>71</v>
      </c>
      <c r="B16" s="152"/>
      <c r="C16" s="153"/>
      <c r="D16" s="154"/>
      <c r="E16" s="155"/>
      <c r="F16" s="156"/>
      <c r="G16" s="364" t="str">
        <f>IF(OR(E16="",F16=""),"",PID_KVLohnLookup($A$1,E16,F16,LOHNTABELLE!$H$4))</f>
        <v/>
      </c>
      <c r="H16" s="365" t="str">
        <f>IF(AND(ISNUMBER(D16),ISNUMBER(F16)),ROUNDDOWN(MIN(IF(OR(ISBLANK(I16),I16=""),EOMONTH(DATE(EINSTELLUNG!$C$35,$A$1,1),0),I16)-MAX(D16,DATE(EINSTELLUNG!$C$35,$A$1,1))+1)/DAY(EOMONTH(DATE(EINSTELLUNG!$C$35,$A$1,1),0))*F16,2),"")</f>
        <v/>
      </c>
      <c r="I16" s="158"/>
      <c r="J16" s="165"/>
      <c r="K16" s="364" t="str">
        <f t="shared" si="0"/>
        <v/>
      </c>
      <c r="L16" s="366"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167"/>
      <c r="N16" s="168"/>
      <c r="O16" s="458"/>
      <c r="P16" s="459"/>
      <c r="Q16" s="459"/>
      <c r="R16" s="460"/>
      <c r="S16" s="388"/>
      <c r="T16" s="388"/>
      <c r="U16" s="388"/>
      <c r="V16" s="388"/>
      <c r="W16" s="389"/>
    </row>
    <row r="17" spans="1:29" ht="21.95" customHeight="1" x14ac:dyDescent="0.35">
      <c r="A17" s="363" t="s">
        <v>72</v>
      </c>
      <c r="B17" s="181"/>
      <c r="C17" s="182"/>
      <c r="D17" s="186"/>
      <c r="E17" s="184"/>
      <c r="F17" s="190"/>
      <c r="G17" s="364" t="str">
        <f>IF(OR(E17="",F17=""),"",PID_KVLohnLookup($A$1,E17,F17,LOHNTABELLE!$H$4))</f>
        <v/>
      </c>
      <c r="H17" s="365" t="str">
        <f>IF(AND(ISNUMBER(D17),ISNUMBER(F17)),ROUNDDOWN(MIN(IF(OR(ISBLANK(I17),I17=""),EOMONTH(DATE(EINSTELLUNG!$C$35,$A$1,1),0),I17)-MAX(D17,DATE(EINSTELLUNG!$C$35,$A$1,1))+1)/DAY(EOMONTH(DATE(EINSTELLUNG!$C$35,$A$1,1),0))*F17,2),"")</f>
        <v/>
      </c>
      <c r="I17" s="186"/>
      <c r="J17" s="187"/>
      <c r="K17" s="364" t="str">
        <f t="shared" si="0"/>
        <v/>
      </c>
      <c r="L17" s="366"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188"/>
      <c r="N17" s="189"/>
      <c r="O17" s="375" t="s">
        <v>73</v>
      </c>
      <c r="P17" s="376"/>
      <c r="Q17" s="390">
        <f>SUM(L3:L82)</f>
        <v>3868.38</v>
      </c>
      <c r="R17" s="391"/>
      <c r="S17" s="361"/>
      <c r="T17" s="361"/>
      <c r="U17" s="361"/>
      <c r="V17" s="361"/>
      <c r="W17" s="389"/>
    </row>
    <row r="18" spans="1:29" ht="21.95" customHeight="1" x14ac:dyDescent="0.35">
      <c r="A18" s="363" t="s">
        <v>74</v>
      </c>
      <c r="B18" s="152"/>
      <c r="C18" s="153"/>
      <c r="D18" s="158"/>
      <c r="E18" s="155"/>
      <c r="F18" s="156"/>
      <c r="G18" s="364" t="str">
        <f>IF(OR(E18="",F18=""),"",PID_KVLohnLookup($A$1,E18,F18,LOHNTABELLE!$H$4))</f>
        <v/>
      </c>
      <c r="H18" s="365" t="str">
        <f>IF(AND(ISNUMBER(D18),ISNUMBER(F18)),ROUNDDOWN(MIN(IF(OR(ISBLANK(I18),I18=""),EOMONTH(DATE(EINSTELLUNG!$C$35,$A$1,1),0),I18)-MAX(D18,DATE(EINSTELLUNG!$C$35,$A$1,1))+1)/DAY(EOMONTH(DATE(EINSTELLUNG!$C$35,$A$1,1),0))*F18,2),"")</f>
        <v/>
      </c>
      <c r="I18" s="158"/>
      <c r="J18" s="165"/>
      <c r="K18" s="364" t="str">
        <f t="shared" si="0"/>
        <v/>
      </c>
      <c r="L18" s="366"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167"/>
      <c r="N18" s="168"/>
      <c r="O18" s="472"/>
      <c r="P18" s="196"/>
      <c r="Q18" s="197"/>
      <c r="R18" s="198"/>
      <c r="S18" s="361"/>
      <c r="T18" s="361"/>
      <c r="U18" s="361"/>
      <c r="V18" s="361"/>
    </row>
    <row r="19" spans="1:29" ht="21.95" customHeight="1" x14ac:dyDescent="0.35">
      <c r="A19" s="363" t="s">
        <v>75</v>
      </c>
      <c r="B19" s="181"/>
      <c r="C19" s="182"/>
      <c r="D19" s="186"/>
      <c r="E19" s="184"/>
      <c r="F19" s="190"/>
      <c r="G19" s="364" t="str">
        <f>IF(OR(E19="",F19=""),"",PID_KVLohnLookup($A$1,E19,F19,LOHNTABELLE!$H$4))</f>
        <v/>
      </c>
      <c r="H19" s="365" t="str">
        <f>IF(AND(ISNUMBER(D19),ISNUMBER(F19)),ROUNDDOWN(MIN(IF(OR(ISBLANK(I19),I19=""),EOMONTH(DATE(EINSTELLUNG!$C$35,$A$1,1),0),I19)-MAX(D19,DATE(EINSTELLUNG!$C$35,$A$1,1))+1)/DAY(EOMONTH(DATE(EINSTELLUNG!$C$35,$A$1,1),0))*F19,2),"")</f>
        <v/>
      </c>
      <c r="I19" s="186"/>
      <c r="J19" s="187"/>
      <c r="K19" s="364" t="str">
        <f t="shared" si="0"/>
        <v/>
      </c>
      <c r="L19" s="366"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188"/>
      <c r="N19" s="189"/>
      <c r="O19" s="472"/>
      <c r="P19" s="196"/>
      <c r="Q19" s="197"/>
      <c r="R19" s="198"/>
      <c r="S19" s="361"/>
      <c r="T19" s="361"/>
      <c r="U19" s="361"/>
      <c r="V19" s="361"/>
    </row>
    <row r="20" spans="1:29" ht="21.95" customHeight="1" x14ac:dyDescent="0.35">
      <c r="A20" s="363" t="s">
        <v>76</v>
      </c>
      <c r="B20" s="152"/>
      <c r="C20" s="153"/>
      <c r="D20" s="154"/>
      <c r="E20" s="155"/>
      <c r="F20" s="156"/>
      <c r="G20" s="364" t="str">
        <f>IF(OR(E20="",F20=""),"",PID_KVLohnLookup($A$1,E20,F20,LOHNTABELLE!$H$4))</f>
        <v/>
      </c>
      <c r="H20" s="365" t="str">
        <f>IF(AND(ISNUMBER(D20),ISNUMBER(F20)),ROUNDDOWN(MIN(IF(OR(ISBLANK(I20),I20=""),EOMONTH(DATE(EINSTELLUNG!$C$35,$A$1,1),0),I20)-MAX(D20,DATE(EINSTELLUNG!$C$35,$A$1,1))+1)/DAY(EOMONTH(DATE(EINSTELLUNG!$C$35,$A$1,1),0))*F20,2),"")</f>
        <v/>
      </c>
      <c r="I20" s="158"/>
      <c r="J20" s="165"/>
      <c r="K20" s="364" t="str">
        <f t="shared" si="0"/>
        <v/>
      </c>
      <c r="L20" s="366"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167"/>
      <c r="N20" s="168"/>
      <c r="O20" s="472"/>
      <c r="P20" s="196"/>
      <c r="Q20" s="197"/>
      <c r="R20" s="198"/>
      <c r="S20" s="361"/>
      <c r="T20" s="361"/>
      <c r="U20" s="361"/>
      <c r="V20" s="361"/>
    </row>
    <row r="21" spans="1:29" ht="21.95" customHeight="1" x14ac:dyDescent="0.35">
      <c r="A21" s="363" t="s">
        <v>77</v>
      </c>
      <c r="B21" s="181"/>
      <c r="C21" s="182"/>
      <c r="D21" s="186"/>
      <c r="E21" s="184"/>
      <c r="F21" s="190"/>
      <c r="G21" s="364" t="str">
        <f>IF(OR(E21="",F21=""),"",PID_KVLohnLookup($A$1,E21,F21,LOHNTABELLE!$H$4))</f>
        <v/>
      </c>
      <c r="H21" s="365" t="str">
        <f>IF(AND(ISNUMBER(D21),ISNUMBER(F21)),ROUNDDOWN(MIN(IF(OR(ISBLANK(I21),I21=""),EOMONTH(DATE(EINSTELLUNG!$C$35,$A$1,1),0),I21)-MAX(D21,DATE(EINSTELLUNG!$C$35,$A$1,1))+1)/DAY(EOMONTH(DATE(EINSTELLUNG!$C$35,$A$1,1),0))*F21,2),"")</f>
        <v/>
      </c>
      <c r="I21" s="186"/>
      <c r="J21" s="187"/>
      <c r="K21" s="364" t="str">
        <f t="shared" si="0"/>
        <v/>
      </c>
      <c r="L21" s="366"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188"/>
      <c r="N21" s="189"/>
      <c r="O21" s="472"/>
      <c r="P21" s="196"/>
      <c r="Q21" s="197"/>
      <c r="R21" s="198"/>
      <c r="S21" s="361"/>
      <c r="T21" s="361"/>
      <c r="U21" s="361"/>
      <c r="V21" s="361"/>
    </row>
    <row r="22" spans="1:29" ht="21.95" customHeight="1" x14ac:dyDescent="0.35">
      <c r="A22" s="363" t="s">
        <v>78</v>
      </c>
      <c r="B22" s="152"/>
      <c r="C22" s="153"/>
      <c r="D22" s="154"/>
      <c r="E22" s="155"/>
      <c r="F22" s="156"/>
      <c r="G22" s="364" t="str">
        <f>IF(OR(E22="",F22=""),"",PID_KVLohnLookup($A$1,E22,F22,LOHNTABELLE!$H$4))</f>
        <v/>
      </c>
      <c r="H22" s="365" t="str">
        <f>IF(AND(ISNUMBER(D22),ISNUMBER(F22)),ROUNDDOWN(MIN(IF(OR(ISBLANK(I22),I22=""),EOMONTH(DATE(EINSTELLUNG!$C$35,$A$1,1),0),I22)-MAX(D22,DATE(EINSTELLUNG!$C$35,$A$1,1))+1)/DAY(EOMONTH(DATE(EINSTELLUNG!$C$35,$A$1,1),0))*F22,2),"")</f>
        <v/>
      </c>
      <c r="I22" s="158"/>
      <c r="J22" s="165"/>
      <c r="K22" s="364" t="str">
        <f t="shared" si="0"/>
        <v/>
      </c>
      <c r="L22" s="366"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167"/>
      <c r="N22" s="168"/>
      <c r="O22" s="472"/>
      <c r="P22" s="196"/>
      <c r="Q22" s="197"/>
      <c r="R22" s="198"/>
      <c r="S22" s="361"/>
      <c r="T22" s="361"/>
      <c r="U22" s="361"/>
      <c r="V22" s="361"/>
    </row>
    <row r="23" spans="1:29" ht="21.95" customHeight="1" x14ac:dyDescent="0.35">
      <c r="A23" s="363" t="s">
        <v>79</v>
      </c>
      <c r="B23" s="181"/>
      <c r="C23" s="182"/>
      <c r="D23" s="183"/>
      <c r="E23" s="184"/>
      <c r="F23" s="190"/>
      <c r="G23" s="364" t="str">
        <f>IF(OR(E23="",F23=""),"",PID_KVLohnLookup($A$1,E23,F23,LOHNTABELLE!$H$4))</f>
        <v/>
      </c>
      <c r="H23" s="365" t="str">
        <f>IF(AND(ISNUMBER(D23),ISNUMBER(F23)),ROUNDDOWN(MIN(IF(OR(ISBLANK(I23),I23=""),EOMONTH(DATE(EINSTELLUNG!$C$35,$A$1,1),0),I23)-MAX(D23,DATE(EINSTELLUNG!$C$35,$A$1,1))+1)/DAY(EOMONTH(DATE(EINSTELLUNG!$C$35,$A$1,1),0))*F23,2),"")</f>
        <v/>
      </c>
      <c r="I23" s="186"/>
      <c r="J23" s="187"/>
      <c r="K23" s="364" t="str">
        <f t="shared" si="0"/>
        <v/>
      </c>
      <c r="L23" s="366"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188"/>
      <c r="N23" s="189"/>
      <c r="O23" s="472"/>
      <c r="P23" s="196"/>
      <c r="Q23" s="197"/>
      <c r="R23" s="198"/>
      <c r="S23" s="361"/>
      <c r="T23" s="361"/>
      <c r="U23" s="361"/>
      <c r="V23" s="361"/>
      <c r="W23" s="389"/>
    </row>
    <row r="24" spans="1:29" ht="21.95" customHeight="1" x14ac:dyDescent="0.35">
      <c r="A24" s="363" t="s">
        <v>80</v>
      </c>
      <c r="B24" s="152"/>
      <c r="C24" s="153"/>
      <c r="D24" s="154"/>
      <c r="E24" s="155"/>
      <c r="F24" s="156"/>
      <c r="G24" s="364" t="str">
        <f>IF(OR(E24="",F24=""),"",PID_KVLohnLookup($A$1,E24,F24,LOHNTABELLE!$H$4))</f>
        <v/>
      </c>
      <c r="H24" s="365" t="str">
        <f>IF(AND(ISNUMBER(D24),ISNUMBER(F24)),ROUNDDOWN(MIN(IF(OR(ISBLANK(I24),I24=""),EOMONTH(DATE(EINSTELLUNG!$C$35,$A$1,1),0),I24)-MAX(D24,DATE(EINSTELLUNG!$C$35,$A$1,1))+1)/DAY(EOMONTH(DATE(EINSTELLUNG!$C$35,$A$1,1),0))*F24,2),"")</f>
        <v/>
      </c>
      <c r="I24" s="158"/>
      <c r="J24" s="165"/>
      <c r="K24" s="364" t="str">
        <f t="shared" si="0"/>
        <v/>
      </c>
      <c r="L24" s="366"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167"/>
      <c r="N24" s="168"/>
      <c r="O24" s="472"/>
      <c r="P24" s="196"/>
      <c r="Q24" s="197"/>
      <c r="R24" s="198"/>
      <c r="S24" s="361"/>
      <c r="T24" s="361"/>
      <c r="U24" s="361"/>
      <c r="V24" s="361"/>
      <c r="W24" s="389"/>
    </row>
    <row r="25" spans="1:29" ht="21.95" customHeight="1" x14ac:dyDescent="0.35">
      <c r="A25" s="363" t="s">
        <v>81</v>
      </c>
      <c r="B25" s="181"/>
      <c r="C25" s="182"/>
      <c r="D25" s="183"/>
      <c r="E25" s="184"/>
      <c r="F25" s="190"/>
      <c r="G25" s="364" t="str">
        <f>IF(OR(E25="",F25=""),"",PID_KVLohnLookup($A$1,E25,F25,LOHNTABELLE!$H$4))</f>
        <v/>
      </c>
      <c r="H25" s="365" t="str">
        <f>IF(AND(ISNUMBER(D25),ISNUMBER(F25)),ROUNDDOWN(MIN(IF(OR(ISBLANK(I25),I25=""),EOMONTH(DATE(EINSTELLUNG!$C$35,$A$1,1),0),I25)-MAX(D25,DATE(EINSTELLUNG!$C$35,$A$1,1))+1)/DAY(EOMONTH(DATE(EINSTELLUNG!$C$35,$A$1,1),0))*F25,2),"")</f>
        <v/>
      </c>
      <c r="I25" s="186"/>
      <c r="J25" s="187"/>
      <c r="K25" s="364" t="str">
        <f t="shared" si="0"/>
        <v/>
      </c>
      <c r="L25" s="366"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188"/>
      <c r="N25" s="189"/>
      <c r="O25" s="472"/>
      <c r="P25" s="196"/>
      <c r="Q25" s="197"/>
      <c r="R25" s="198"/>
      <c r="S25" s="361"/>
      <c r="T25" s="361"/>
      <c r="U25" s="361"/>
      <c r="V25" s="361"/>
    </row>
    <row r="26" spans="1:29" ht="21.95" customHeight="1" x14ac:dyDescent="0.35">
      <c r="A26" s="363" t="s">
        <v>82</v>
      </c>
      <c r="B26" s="152"/>
      <c r="C26" s="153"/>
      <c r="D26" s="154"/>
      <c r="E26" s="155"/>
      <c r="F26" s="156"/>
      <c r="G26" s="364" t="str">
        <f>IF(OR(E26="",F26=""),"",PID_KVLohnLookup($A$1,E26,F26,LOHNTABELLE!$H$4))</f>
        <v/>
      </c>
      <c r="H26" s="365" t="str">
        <f>IF(AND(ISNUMBER(D26),ISNUMBER(F26)),ROUNDDOWN(MIN(IF(OR(ISBLANK(I26),I26=""),EOMONTH(DATE(EINSTELLUNG!$C$35,$A$1,1),0),I26)-MAX(D26,DATE(EINSTELLUNG!$C$35,$A$1,1))+1)/DAY(EOMONTH(DATE(EINSTELLUNG!$C$35,$A$1,1),0))*F26,2),"")</f>
        <v/>
      </c>
      <c r="I26" s="158"/>
      <c r="J26" s="165"/>
      <c r="K26" s="364" t="str">
        <f t="shared" si="0"/>
        <v/>
      </c>
      <c r="L26" s="366"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167"/>
      <c r="N26" s="168"/>
      <c r="O26" s="195"/>
      <c r="P26" s="196"/>
      <c r="Q26" s="197"/>
      <c r="R26" s="198"/>
      <c r="S26" s="361"/>
      <c r="T26" s="361"/>
      <c r="U26" s="361"/>
      <c r="V26" s="361"/>
    </row>
    <row r="27" spans="1:29" ht="21.95" customHeight="1" x14ac:dyDescent="0.35">
      <c r="A27" s="363" t="s">
        <v>83</v>
      </c>
      <c r="B27" s="181"/>
      <c r="C27" s="182"/>
      <c r="D27" s="183"/>
      <c r="E27" s="184"/>
      <c r="F27" s="190"/>
      <c r="G27" s="364" t="str">
        <f>IF(OR(E27="",F27=""),"",PID_KVLohnLookup($A$1,E27,F27,LOHNTABELLE!$H$4))</f>
        <v/>
      </c>
      <c r="H27" s="365" t="str">
        <f>IF(AND(ISNUMBER(D27),ISNUMBER(F27)),ROUNDDOWN(MIN(IF(OR(ISBLANK(I27),I27=""),EOMONTH(DATE(EINSTELLUNG!$C$35,$A$1,1),0),I27)-MAX(D27,DATE(EINSTELLUNG!$C$35,$A$1,1))+1)/DAY(EOMONTH(DATE(EINSTELLUNG!$C$35,$A$1,1),0))*F27,2),"")</f>
        <v/>
      </c>
      <c r="I27" s="186"/>
      <c r="J27" s="187"/>
      <c r="K27" s="364" t="str">
        <f t="shared" si="0"/>
        <v/>
      </c>
      <c r="L27" s="366"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188"/>
      <c r="N27" s="189"/>
      <c r="O27" s="195"/>
      <c r="P27" s="196"/>
      <c r="Q27" s="197"/>
      <c r="R27" s="198"/>
      <c r="S27" s="392" t="s">
        <v>84</v>
      </c>
      <c r="T27" s="392"/>
      <c r="U27" s="392"/>
      <c r="V27" s="392"/>
    </row>
    <row r="28" spans="1:29" ht="21.95" customHeight="1" x14ac:dyDescent="0.35">
      <c r="A28" s="363" t="s">
        <v>85</v>
      </c>
      <c r="B28" s="152"/>
      <c r="C28" s="153"/>
      <c r="D28" s="154"/>
      <c r="E28" s="155"/>
      <c r="F28" s="156"/>
      <c r="G28" s="364" t="str">
        <f>IF(OR(E28="",F28=""),"",PID_KVLohnLookup($A$1,E28,F28,LOHNTABELLE!$H$4))</f>
        <v/>
      </c>
      <c r="H28" s="365" t="str">
        <f>IF(AND(ISNUMBER(D28),ISNUMBER(F28)),ROUNDDOWN(MIN(IF(OR(ISBLANK(I28),I28=""),EOMONTH(DATE(EINSTELLUNG!$C$35,$A$1,1),0),I28)-MAX(D28,DATE(EINSTELLUNG!$C$35,$A$1,1))+1)/DAY(EOMONTH(DATE(EINSTELLUNG!$C$35,$A$1,1),0))*F28,2),"")</f>
        <v/>
      </c>
      <c r="I28" s="158"/>
      <c r="J28" s="165"/>
      <c r="K28" s="364" t="str">
        <f t="shared" si="0"/>
        <v/>
      </c>
      <c r="L28" s="366"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167"/>
      <c r="N28" s="168"/>
      <c r="O28" s="195"/>
      <c r="P28" s="196"/>
      <c r="Q28" s="197"/>
      <c r="R28" s="198"/>
      <c r="S28" s="361"/>
      <c r="T28" s="361"/>
      <c r="U28" s="361"/>
      <c r="V28" s="361"/>
    </row>
    <row r="29" spans="1:29" ht="21.95" customHeight="1" thickBot="1" x14ac:dyDescent="0.4">
      <c r="A29" s="363" t="s">
        <v>86</v>
      </c>
      <c r="B29" s="181"/>
      <c r="C29" s="182"/>
      <c r="D29" s="183"/>
      <c r="E29" s="184"/>
      <c r="F29" s="190"/>
      <c r="G29" s="364" t="str">
        <f>IF(OR(E29="",F29=""),"",PID_KVLohnLookup($A$1,E29,F29,LOHNTABELLE!$H$4))</f>
        <v/>
      </c>
      <c r="H29" s="365" t="str">
        <f>IF(AND(ISNUMBER(D29),ISNUMBER(F29)),ROUNDDOWN(MIN(IF(OR(ISBLANK(I29),I29=""),EOMONTH(DATE(EINSTELLUNG!$C$35,$A$1,1),0),I29)-MAX(D29,DATE(EINSTELLUNG!$C$35,$A$1,1))+1)/DAY(EOMONTH(DATE(EINSTELLUNG!$C$35,$A$1,1),0))*F29,2),"")</f>
        <v/>
      </c>
      <c r="I29" s="186"/>
      <c r="J29" s="187"/>
      <c r="K29" s="364" t="str">
        <f t="shared" si="0"/>
        <v/>
      </c>
      <c r="L29" s="366"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188"/>
      <c r="N29" s="189"/>
      <c r="O29" s="393" t="s">
        <v>87</v>
      </c>
      <c r="P29" s="394"/>
      <c r="Q29" s="395">
        <f>EINSTELLUNG!O13</f>
        <v>0</v>
      </c>
      <c r="R29" s="396"/>
      <c r="S29" s="361"/>
      <c r="T29" s="361"/>
      <c r="U29" s="361"/>
      <c r="V29" s="361"/>
    </row>
    <row r="30" spans="1:29" ht="21.95" customHeight="1" thickBot="1" x14ac:dyDescent="0.4">
      <c r="A30" s="363" t="s">
        <v>88</v>
      </c>
      <c r="B30" s="152"/>
      <c r="C30" s="153"/>
      <c r="D30" s="154"/>
      <c r="E30" s="155"/>
      <c r="F30" s="156"/>
      <c r="G30" s="364" t="str">
        <f>IF(OR(E30="",F30=""),"",PID_KVLohnLookup($A$1,E30,F30,LOHNTABELLE!$H$4))</f>
        <v/>
      </c>
      <c r="H30" s="365" t="str">
        <f>IF(AND(ISNUMBER(D30),ISNUMBER(F30)),ROUNDDOWN(MIN(IF(OR(ISBLANK(I30),I30=""),EOMONTH(DATE(EINSTELLUNG!$C$35,$A$1,1),0),I30)-MAX(D30,DATE(EINSTELLUNG!$C$35,$A$1,1))+1)/DAY(EOMONTH(DATE(EINSTELLUNG!$C$35,$A$1,1),0))*F30,2),"")</f>
        <v/>
      </c>
      <c r="I30" s="158"/>
      <c r="J30" s="165"/>
      <c r="K30" s="364" t="str">
        <f t="shared" si="0"/>
        <v/>
      </c>
      <c r="L30" s="366"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167"/>
      <c r="N30" s="168"/>
      <c r="O30" s="361"/>
      <c r="P30" s="361"/>
      <c r="Q30" s="361"/>
      <c r="R30" s="361"/>
      <c r="S30" s="361"/>
      <c r="T30" s="361"/>
      <c r="U30" s="361"/>
      <c r="V30" s="361"/>
      <c r="W30" s="397"/>
      <c r="X30" s="397"/>
      <c r="Y30" s="397"/>
      <c r="Z30" s="397"/>
      <c r="AA30" s="397"/>
      <c r="AB30" s="397"/>
      <c r="AC30" s="397"/>
    </row>
    <row r="31" spans="1:29" ht="21.95" customHeight="1" thickBot="1" x14ac:dyDescent="0.4">
      <c r="A31" s="363" t="s">
        <v>89</v>
      </c>
      <c r="B31" s="181"/>
      <c r="C31" s="182"/>
      <c r="D31" s="183"/>
      <c r="E31" s="184"/>
      <c r="F31" s="190"/>
      <c r="G31" s="364" t="str">
        <f>IF(OR(E31="",F31=""),"",PID_KVLohnLookup($A$1,E31,F31,LOHNTABELLE!$H$4))</f>
        <v/>
      </c>
      <c r="H31" s="365" t="str">
        <f>IF(AND(ISNUMBER(D31),ISNUMBER(F31)),ROUNDDOWN(MIN(IF(OR(ISBLANK(I31),I31=""),EOMONTH(DATE(EINSTELLUNG!$C$35,$A$1,1),0),I31)-MAX(D31,DATE(EINSTELLUNG!$C$35,$A$1,1))+1)/DAY(EOMONTH(DATE(EINSTELLUNG!$C$35,$A$1,1),0))*F31,2),"")</f>
        <v/>
      </c>
      <c r="I31" s="186"/>
      <c r="J31" s="187"/>
      <c r="K31" s="364" t="str">
        <f t="shared" si="0"/>
        <v/>
      </c>
      <c r="L31" s="366"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188"/>
      <c r="N31" s="189"/>
      <c r="O31" s="398" t="s">
        <v>321</v>
      </c>
      <c r="P31" s="399"/>
      <c r="Q31" s="400">
        <v>0</v>
      </c>
      <c r="R31" s="401"/>
      <c r="S31" s="361"/>
      <c r="T31" s="361"/>
      <c r="U31" s="361"/>
      <c r="V31" s="361"/>
    </row>
    <row r="32" spans="1:29" ht="21.95" customHeight="1" thickBot="1" x14ac:dyDescent="0.4">
      <c r="A32" s="363" t="s">
        <v>91</v>
      </c>
      <c r="B32" s="152"/>
      <c r="C32" s="153"/>
      <c r="D32" s="154"/>
      <c r="E32" s="155"/>
      <c r="F32" s="156"/>
      <c r="G32" s="364" t="str">
        <f>IF(OR(E32="",F32=""),"",PID_KVLohnLookup($A$1,E32,F32,LOHNTABELLE!$H$4))</f>
        <v/>
      </c>
      <c r="H32" s="365" t="str">
        <f>IF(AND(ISNUMBER(D32),ISNUMBER(F32)),ROUNDDOWN(MIN(IF(OR(ISBLANK(I32),I32=""),EOMONTH(DATE(EINSTELLUNG!$C$35,$A$1,1),0),I32)-MAX(D32,DATE(EINSTELLUNG!$C$35,$A$1,1))+1)/DAY(EOMONTH(DATE(EINSTELLUNG!$C$35,$A$1,1),0))*F32,2),"")</f>
        <v/>
      </c>
      <c r="I32" s="158"/>
      <c r="J32" s="165"/>
      <c r="K32" s="364" t="str">
        <f t="shared" si="0"/>
        <v/>
      </c>
      <c r="L32" s="366"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167"/>
      <c r="N32" s="168"/>
      <c r="O32" s="361"/>
      <c r="P32" s="361"/>
      <c r="Q32" s="361"/>
      <c r="R32" s="361"/>
      <c r="S32" s="361"/>
      <c r="T32" s="361"/>
      <c r="U32" s="361"/>
      <c r="V32" s="361"/>
    </row>
    <row r="33" spans="1:22" ht="21.95" customHeight="1" x14ac:dyDescent="0.35">
      <c r="A33" s="363" t="s">
        <v>92</v>
      </c>
      <c r="B33" s="181"/>
      <c r="C33" s="182"/>
      <c r="D33" s="183"/>
      <c r="E33" s="184"/>
      <c r="F33" s="190"/>
      <c r="G33" s="364" t="str">
        <f>IF(OR(E33="",F33=""),"",PID_KVLohnLookup($A$1,E33,F33,LOHNTABELLE!$H$4))</f>
        <v/>
      </c>
      <c r="H33" s="365" t="str">
        <f>IF(AND(ISNUMBER(D33),ISNUMBER(F33)),ROUNDDOWN(MIN(IF(OR(ISBLANK(I33),I33=""),EOMONTH(DATE(EINSTELLUNG!$C$35,$A$1,1),0),I33)-MAX(D33,DATE(EINSTELLUNG!$C$35,$A$1,1))+1)/DAY(EOMONTH(DATE(EINSTELLUNG!$C$35,$A$1,1),0))*F33,2),"")</f>
        <v/>
      </c>
      <c r="I33" s="186"/>
      <c r="J33" s="187"/>
      <c r="K33" s="364" t="str">
        <f t="shared" si="0"/>
        <v/>
      </c>
      <c r="L33" s="366"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188"/>
      <c r="N33" s="189"/>
      <c r="O33" s="402"/>
      <c r="P33" s="403"/>
      <c r="Q33" s="346" t="str">
        <f>EINSTELLUNG!B3</f>
        <v>Budget</v>
      </c>
      <c r="R33" s="346"/>
      <c r="S33" s="346" t="str">
        <f>EINSTELLUNG!B19</f>
        <v>Projection/Aktuell Zahlen</v>
      </c>
      <c r="T33" s="346"/>
      <c r="U33" s="346" t="s">
        <v>95</v>
      </c>
      <c r="V33" s="347"/>
    </row>
    <row r="34" spans="1:22" ht="21.95" customHeight="1" x14ac:dyDescent="0.35">
      <c r="A34" s="363" t="s">
        <v>96</v>
      </c>
      <c r="B34" s="152"/>
      <c r="C34" s="153"/>
      <c r="D34" s="154"/>
      <c r="E34" s="155"/>
      <c r="F34" s="156"/>
      <c r="G34" s="364" t="str">
        <f>IF(OR(E34="",F34=""),"",PID_KVLohnLookup($A$1,E34,F34,LOHNTABELLE!$H$4))</f>
        <v/>
      </c>
      <c r="H34" s="365" t="str">
        <f>IF(AND(ISNUMBER(D34),ISNUMBER(F34)),ROUNDDOWN(MIN(IF(OR(ISBLANK(I34),I34=""),EOMONTH(DATE(EINSTELLUNG!$C$35,$A$1,1),0),I34)-MAX(D34,DATE(EINSTELLUNG!$C$35,$A$1,1))+1)/DAY(EOMONTH(DATE(EINSTELLUNG!$C$35,$A$1,1),0))*F34,2),"")</f>
        <v/>
      </c>
      <c r="I34" s="158"/>
      <c r="J34" s="165"/>
      <c r="K34" s="364" t="str">
        <f t="shared" si="0"/>
        <v/>
      </c>
      <c r="L34" s="366"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167"/>
      <c r="N34" s="168"/>
      <c r="O34" s="404"/>
      <c r="P34" s="405"/>
      <c r="Q34" s="406"/>
      <c r="R34" s="406"/>
      <c r="S34" s="406"/>
      <c r="T34" s="406"/>
      <c r="U34" s="406"/>
      <c r="V34" s="407"/>
    </row>
    <row r="35" spans="1:22" ht="21.95" customHeight="1" x14ac:dyDescent="0.35">
      <c r="A35" s="363" t="s">
        <v>97</v>
      </c>
      <c r="B35" s="181"/>
      <c r="C35" s="182"/>
      <c r="D35" s="183"/>
      <c r="E35" s="184"/>
      <c r="F35" s="190"/>
      <c r="G35" s="364" t="str">
        <f>IF(OR(E35="",F35=""),"",PID_KVLohnLookup($A$1,E35,F35,LOHNTABELLE!$H$4))</f>
        <v/>
      </c>
      <c r="H35" s="365" t="str">
        <f>IF(AND(ISNUMBER(D35),ISNUMBER(F35)),ROUNDDOWN(MIN(IF(OR(ISBLANK(I35),I35=""),EOMONTH(DATE(EINSTELLUNG!$C$35,$A$1,1),0),I35)-MAX(D35,DATE(EINSTELLUNG!$C$35,$A$1,1))+1)/DAY(EOMONTH(DATE(EINSTELLUNG!$C$35,$A$1,1),0))*F35,2),"")</f>
        <v/>
      </c>
      <c r="I35" s="186"/>
      <c r="J35" s="187"/>
      <c r="K35" s="364" t="str">
        <f t="shared" ref="K35:K66" si="1">IF(OR(B35="",C35=""),"",IFERROR(IF(OR(MONTH(D35)=1,MONTH(D35)=3,MONTH(D35)=5,MONTH(D35)=7,MONTH(D35)=8,MONTH(D35)=10,MONTH(D35)=12),(G35/31)*J35,IF(OR(MONTH(D35)=4,MONTH(D35)=6,MONTH(D35)=9,MONTH(D35)=11),(G35/30)*J35,(G35/DAY(EOMONTH(D35,0)))*J35)),0))</f>
        <v/>
      </c>
      <c r="L35" s="366"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188"/>
      <c r="N35" s="189"/>
      <c r="O35" s="379" t="s">
        <v>98</v>
      </c>
      <c r="P35" s="380"/>
      <c r="Q35" s="408">
        <f>EINSTELLUNG!C13</f>
        <v>0</v>
      </c>
      <c r="R35" s="408"/>
      <c r="S35" s="408">
        <f>EINSTELLUNG!C29</f>
        <v>0</v>
      </c>
      <c r="T35" s="408"/>
      <c r="U35" s="408">
        <f>S35-Q35</f>
        <v>0</v>
      </c>
      <c r="V35" s="409"/>
    </row>
    <row r="36" spans="1:22" ht="21.95" customHeight="1" x14ac:dyDescent="0.35">
      <c r="A36" s="363" t="s">
        <v>99</v>
      </c>
      <c r="B36" s="152"/>
      <c r="C36" s="153"/>
      <c r="D36" s="158"/>
      <c r="E36" s="155"/>
      <c r="F36" s="156"/>
      <c r="G36" s="364" t="str">
        <f>IF(OR(E36="",F36=""),"",PID_KVLohnLookup($A$1,E36,F36,LOHNTABELLE!$H$4))</f>
        <v/>
      </c>
      <c r="H36" s="365" t="str">
        <f>IF(AND(ISNUMBER(D36),ISNUMBER(F36)),ROUNDDOWN(MIN(IF(OR(ISBLANK(I36),I36=""),EOMONTH(DATE(EINSTELLUNG!$C$35,$A$1,1),0),I36)-MAX(D36,DATE(EINSTELLUNG!$C$35,$A$1,1))+1)/DAY(EOMONTH(DATE(EINSTELLUNG!$C$35,$A$1,1),0))*F36,2),"")</f>
        <v/>
      </c>
      <c r="I36" s="158"/>
      <c r="J36" s="165"/>
      <c r="K36" s="364" t="str">
        <f t="shared" si="1"/>
        <v/>
      </c>
      <c r="L36" s="366"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167"/>
      <c r="N36" s="168"/>
      <c r="O36" s="379" t="s">
        <v>100</v>
      </c>
      <c r="P36" s="380"/>
      <c r="Q36" s="408">
        <f>EINSTELLUNG!D13</f>
        <v>0</v>
      </c>
      <c r="R36" s="408"/>
      <c r="S36" s="408">
        <f ca="1">SumMergedCells(Q17:R29)</f>
        <v>3868.38</v>
      </c>
      <c r="T36" s="408"/>
      <c r="U36" s="408">
        <f t="shared" ref="U36:U41" ca="1" si="2">S36-Q36</f>
        <v>3868.38</v>
      </c>
      <c r="V36" s="409"/>
    </row>
    <row r="37" spans="1:22" ht="21.95" customHeight="1" x14ac:dyDescent="0.35">
      <c r="A37" s="363" t="s">
        <v>101</v>
      </c>
      <c r="B37" s="181"/>
      <c r="C37" s="182"/>
      <c r="D37" s="183"/>
      <c r="E37" s="184"/>
      <c r="F37" s="190"/>
      <c r="G37" s="364" t="str">
        <f>IF(OR(E37="",F37=""),"",PID_KVLohnLookup($A$1,E37,F37,LOHNTABELLE!$H$4))</f>
        <v/>
      </c>
      <c r="H37" s="365" t="str">
        <f>IF(AND(ISNUMBER(D37),ISNUMBER(F37)),ROUNDDOWN(MIN(IF(OR(ISBLANK(I37),I37=""),EOMONTH(DATE(EINSTELLUNG!$C$35,$A$1,1),0),I37)-MAX(D37,DATE(EINSTELLUNG!$C$35,$A$1,1))+1)/DAY(EOMONTH(DATE(EINSTELLUNG!$C$35,$A$1,1),0))*F37,2),"")</f>
        <v/>
      </c>
      <c r="I37" s="186"/>
      <c r="J37" s="187"/>
      <c r="K37" s="364" t="str">
        <f t="shared" si="1"/>
        <v/>
      </c>
      <c r="L37" s="366"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188"/>
      <c r="N37" s="189"/>
      <c r="O37" s="379" t="s">
        <v>102</v>
      </c>
      <c r="P37" s="380"/>
      <c r="Q37" s="410">
        <f>IF(ISERROR(Q36/Q35), 0, Q36/Q35)</f>
        <v>0</v>
      </c>
      <c r="R37" s="410"/>
      <c r="S37" s="410">
        <f ca="1">IF(ISERROR(S36/S35), 0, S36/S35)</f>
        <v>0</v>
      </c>
      <c r="T37" s="410"/>
      <c r="U37" s="410">
        <f t="shared" ca="1" si="2"/>
        <v>0</v>
      </c>
      <c r="V37" s="411"/>
    </row>
    <row r="38" spans="1:22" ht="21.95" customHeight="1" x14ac:dyDescent="0.35">
      <c r="A38" s="363" t="s">
        <v>103</v>
      </c>
      <c r="B38" s="152"/>
      <c r="C38" s="153"/>
      <c r="D38" s="154"/>
      <c r="E38" s="155"/>
      <c r="F38" s="156"/>
      <c r="G38" s="364" t="str">
        <f>IF(OR(E38="",F38=""),"",PID_KVLohnLookup($A$1,E38,F38,LOHNTABELLE!$H$4))</f>
        <v/>
      </c>
      <c r="H38" s="365" t="str">
        <f>IF(AND(ISNUMBER(D38),ISNUMBER(F38)),ROUNDDOWN(MIN(IF(OR(ISBLANK(I38),I38=""),EOMONTH(DATE(EINSTELLUNG!$C$35,$A$1,1),0),I38)-MAX(D38,DATE(EINSTELLUNG!$C$35,$A$1,1))+1)/DAY(EOMONTH(DATE(EINSTELLUNG!$C$35,$A$1,1),0))*F38,2),"")</f>
        <v/>
      </c>
      <c r="I38" s="158"/>
      <c r="J38" s="165"/>
      <c r="K38" s="364" t="str">
        <f t="shared" si="1"/>
        <v/>
      </c>
      <c r="L38" s="366"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167"/>
      <c r="N38" s="168"/>
      <c r="O38" s="379" t="s">
        <v>104</v>
      </c>
      <c r="P38" s="380"/>
      <c r="Q38" s="381">
        <f>EINSTELLUNG!F13</f>
        <v>0</v>
      </c>
      <c r="R38" s="381"/>
      <c r="S38" s="381">
        <f>EINSTELLUNG!F29</f>
        <v>0</v>
      </c>
      <c r="T38" s="381"/>
      <c r="U38" s="381">
        <f t="shared" si="2"/>
        <v>0</v>
      </c>
      <c r="V38" s="382"/>
    </row>
    <row r="39" spans="1:22" ht="21.95" customHeight="1" x14ac:dyDescent="0.35">
      <c r="A39" s="363" t="s">
        <v>105</v>
      </c>
      <c r="B39" s="181"/>
      <c r="C39" s="182"/>
      <c r="D39" s="183"/>
      <c r="E39" s="184"/>
      <c r="F39" s="190"/>
      <c r="G39" s="364" t="str">
        <f>IF(OR(E39="",F39=""),"",PID_KVLohnLookup($A$1,E39,F39,LOHNTABELLE!$H$4))</f>
        <v/>
      </c>
      <c r="H39" s="365" t="str">
        <f>IF(AND(ISNUMBER(D39),ISNUMBER(F39)),ROUNDDOWN(MIN(IF(OR(ISBLANK(I39),I39=""),EOMONTH(DATE(EINSTELLUNG!$C$35,$A$1,1),0),I39)-MAX(D39,DATE(EINSTELLUNG!$C$35,$A$1,1))+1)/DAY(EOMONTH(DATE(EINSTELLUNG!$C$35,$A$1,1),0))*F39,2),"")</f>
        <v/>
      </c>
      <c r="I39" s="186"/>
      <c r="J39" s="187"/>
      <c r="K39" s="364" t="str">
        <f t="shared" si="1"/>
        <v/>
      </c>
      <c r="L39" s="366"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188"/>
      <c r="N39" s="189"/>
      <c r="O39" s="379" t="s">
        <v>106</v>
      </c>
      <c r="P39" s="380"/>
      <c r="Q39" s="408">
        <f>IF(Q38=0, 0, Q35/Q38)</f>
        <v>0</v>
      </c>
      <c r="R39" s="408"/>
      <c r="S39" s="408">
        <f>IF(S38=0, 0, S35/S38)</f>
        <v>0</v>
      </c>
      <c r="T39" s="408"/>
      <c r="U39" s="408">
        <f t="shared" si="2"/>
        <v>0</v>
      </c>
      <c r="V39" s="409"/>
    </row>
    <row r="40" spans="1:22" ht="21.95" customHeight="1" x14ac:dyDescent="0.35">
      <c r="A40" s="363" t="s">
        <v>107</v>
      </c>
      <c r="B40" s="152"/>
      <c r="C40" s="153"/>
      <c r="D40" s="154"/>
      <c r="E40" s="155"/>
      <c r="F40" s="156"/>
      <c r="G40" s="364" t="str">
        <f>IF(OR(E40="",F40=""),"",PID_KVLohnLookup($A$1,E40,F40,LOHNTABELLE!$H$4))</f>
        <v/>
      </c>
      <c r="H40" s="365" t="str">
        <f>IF(AND(ISNUMBER(D40),ISNUMBER(F40)),ROUNDDOWN(MIN(IF(OR(ISBLANK(I40),I40=""),EOMONTH(DATE(EINSTELLUNG!$C$35,$A$1,1),0),I40)-MAX(D40,DATE(EINSTELLUNG!$C$35,$A$1,1))+1)/DAY(EOMONTH(DATE(EINSTELLUNG!$C$35,$A$1,1),0))*F40,2),"")</f>
        <v/>
      </c>
      <c r="I40" s="158"/>
      <c r="J40" s="165"/>
      <c r="K40" s="364" t="str">
        <f t="shared" si="1"/>
        <v/>
      </c>
      <c r="L40" s="366"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167"/>
      <c r="N40" s="168"/>
      <c r="O40" s="379" t="s">
        <v>108</v>
      </c>
      <c r="P40" s="380"/>
      <c r="Q40" s="408">
        <f>IF(Q12=0, 0, Q35/Q12)</f>
        <v>0</v>
      </c>
      <c r="R40" s="408"/>
      <c r="S40" s="408">
        <f>IF(Q12=0, 0, S35/Q12)</f>
        <v>0</v>
      </c>
      <c r="T40" s="408"/>
      <c r="U40" s="408">
        <f t="shared" si="2"/>
        <v>0</v>
      </c>
      <c r="V40" s="409"/>
    </row>
    <row r="41" spans="1:22" ht="21.95" customHeight="1" x14ac:dyDescent="0.35">
      <c r="A41" s="363" t="s">
        <v>109</v>
      </c>
      <c r="B41" s="181"/>
      <c r="C41" s="182"/>
      <c r="D41" s="183"/>
      <c r="E41" s="184"/>
      <c r="F41" s="190"/>
      <c r="G41" s="364" t="str">
        <f>IF(OR(E41="",F41=""),"",PID_KVLohnLookup($A$1,E41,F41,LOHNTABELLE!$H$4))</f>
        <v/>
      </c>
      <c r="H41" s="365" t="str">
        <f>IF(AND(ISNUMBER(D41),ISNUMBER(F41)),ROUNDDOWN(MIN(IF(OR(ISBLANK(I41),I41=""),EOMONTH(DATE(EINSTELLUNG!$C$35,$A$1,1),0),I41)-MAX(D41,DATE(EINSTELLUNG!$C$35,$A$1,1))+1)/DAY(EOMONTH(DATE(EINSTELLUNG!$C$35,$A$1,1),0))*F41,2),"")</f>
        <v/>
      </c>
      <c r="I41" s="186"/>
      <c r="J41" s="187"/>
      <c r="K41" s="364" t="str">
        <f t="shared" si="1"/>
        <v/>
      </c>
      <c r="L41" s="366"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188"/>
      <c r="N41" s="189"/>
      <c r="O41" s="412" t="s">
        <v>110</v>
      </c>
      <c r="P41" s="413"/>
      <c r="Q41" s="414">
        <f>IF(Q12=0, 0, Q38/Q12)</f>
        <v>0</v>
      </c>
      <c r="R41" s="414"/>
      <c r="S41" s="414">
        <f>IF(Q12=0, 0, S38/Q12)</f>
        <v>0</v>
      </c>
      <c r="T41" s="414"/>
      <c r="U41" s="414">
        <f t="shared" si="2"/>
        <v>0</v>
      </c>
      <c r="V41" s="415"/>
    </row>
    <row r="42" spans="1:22" ht="21.95" customHeight="1" thickBot="1" x14ac:dyDescent="0.4">
      <c r="A42" s="363" t="s">
        <v>111</v>
      </c>
      <c r="B42" s="152"/>
      <c r="C42" s="153"/>
      <c r="D42" s="154"/>
      <c r="E42" s="155"/>
      <c r="F42" s="156"/>
      <c r="G42" s="364" t="str">
        <f>IF(OR(E42="",F42=""),"",PID_KVLohnLookup($A$1,E42,F42,LOHNTABELLE!$H$4))</f>
        <v/>
      </c>
      <c r="H42" s="365" t="str">
        <f>IF(AND(ISNUMBER(D42),ISNUMBER(F42)),ROUNDDOWN(MIN(IF(OR(ISBLANK(I42),I42=""),EOMONTH(DATE(EINSTELLUNG!$C$35,$A$1,1),0),I42)-MAX(D42,DATE(EINSTELLUNG!$C$35,$A$1,1))+1)/DAY(EOMONTH(DATE(EINSTELLUNG!$C$35,$A$1,1),0))*F42,2),"")</f>
        <v/>
      </c>
      <c r="I42" s="158"/>
      <c r="J42" s="165"/>
      <c r="K42" s="364" t="str">
        <f t="shared" si="1"/>
        <v/>
      </c>
      <c r="L42" s="366"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167"/>
      <c r="N42" s="169"/>
      <c r="O42" s="416" t="s">
        <v>112</v>
      </c>
      <c r="P42" s="394"/>
      <c r="Q42" s="417">
        <f>IFERROR(Q17/Q8, 0)</f>
        <v>11.925457796411617</v>
      </c>
      <c r="R42" s="418"/>
      <c r="S42" s="417"/>
      <c r="T42" s="417"/>
      <c r="U42" s="417"/>
      <c r="V42" s="396"/>
    </row>
    <row r="43" spans="1:22" ht="21.95" customHeight="1" x14ac:dyDescent="0.35">
      <c r="A43" s="363" t="s">
        <v>113</v>
      </c>
      <c r="B43" s="181"/>
      <c r="C43" s="182"/>
      <c r="D43" s="183"/>
      <c r="E43" s="184"/>
      <c r="F43" s="190"/>
      <c r="G43" s="364" t="str">
        <f>IF(OR(E43="",F43=""),"",PID_KVLohnLookup($A$1,E43,F43,LOHNTABELLE!$H$4))</f>
        <v/>
      </c>
      <c r="H43" s="365" t="str">
        <f>IF(AND(ISNUMBER(D43),ISNUMBER(F43)),ROUNDDOWN(MIN(IF(OR(ISBLANK(I43),I43=""),EOMONTH(DATE(EINSTELLUNG!$C$35,$A$1,1),0),I43)-MAX(D43,DATE(EINSTELLUNG!$C$35,$A$1,1))+1)/DAY(EOMONTH(DATE(EINSTELLUNG!$C$35,$A$1,1),0))*F43,2),"")</f>
        <v/>
      </c>
      <c r="I43" s="186"/>
      <c r="J43" s="187"/>
      <c r="K43" s="364" t="str">
        <f t="shared" si="1"/>
        <v/>
      </c>
      <c r="L43" s="366"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91"/>
      <c r="N43" s="189"/>
      <c r="O43" s="419"/>
      <c r="P43" s="419"/>
      <c r="Q43" s="419"/>
      <c r="R43" s="361"/>
      <c r="S43" s="361"/>
      <c r="T43" s="361"/>
      <c r="U43" s="361"/>
      <c r="V43" s="361"/>
    </row>
    <row r="44" spans="1:22" ht="21.95" customHeight="1" x14ac:dyDescent="0.35">
      <c r="A44" s="363" t="s">
        <v>114</v>
      </c>
      <c r="B44" s="152"/>
      <c r="C44" s="153"/>
      <c r="D44" s="154"/>
      <c r="E44" s="155"/>
      <c r="F44" s="156"/>
      <c r="G44" s="364" t="str">
        <f>IF(OR(E44="",F44=""),"",PID_KVLohnLookup($A$1,E44,F44,LOHNTABELLE!$H$4))</f>
        <v/>
      </c>
      <c r="H44" s="365" t="str">
        <f>IF(AND(ISNUMBER(D44),ISNUMBER(F44)),ROUNDDOWN(MIN(IF(OR(ISBLANK(I44),I44=""),EOMONTH(DATE(EINSTELLUNG!$C$35,$A$1,1),0),I44)-MAX(D44,DATE(EINSTELLUNG!$C$35,$A$1,1))+1)/DAY(EOMONTH(DATE(EINSTELLUNG!$C$35,$A$1,1),0))*F44,2),"")</f>
        <v/>
      </c>
      <c r="I44" s="158"/>
      <c r="J44" s="165"/>
      <c r="K44" s="364" t="str">
        <f t="shared" si="1"/>
        <v/>
      </c>
      <c r="L44" s="366"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70"/>
      <c r="N44" s="168"/>
      <c r="O44" s="420" t="s">
        <v>115</v>
      </c>
      <c r="P44" s="420"/>
      <c r="Q44" s="420"/>
      <c r="R44" s="420"/>
      <c r="S44" s="420"/>
      <c r="T44" s="420"/>
      <c r="U44" s="420"/>
      <c r="V44" s="420"/>
    </row>
    <row r="45" spans="1:22" ht="21.95" customHeight="1" x14ac:dyDescent="0.35">
      <c r="A45" s="363" t="s">
        <v>116</v>
      </c>
      <c r="B45" s="181"/>
      <c r="C45" s="182"/>
      <c r="D45" s="183"/>
      <c r="E45" s="184"/>
      <c r="F45" s="190"/>
      <c r="G45" s="364" t="str">
        <f>IF(OR(E45="",F45=""),"",PID_KVLohnLookup($A$1,E45,F45,LOHNTABELLE!$H$4))</f>
        <v/>
      </c>
      <c r="H45" s="365" t="str">
        <f>IF(AND(ISNUMBER(D45),ISNUMBER(F45)),ROUNDDOWN(MIN(IF(OR(ISBLANK(I45),I45=""),EOMONTH(DATE(EINSTELLUNG!$C$35,$A$1,1),0),I45)-MAX(D45,DATE(EINSTELLUNG!$C$35,$A$1,1))+1)/DAY(EOMONTH(DATE(EINSTELLUNG!$C$35,$A$1,1),0))*F45,2),"")</f>
        <v/>
      </c>
      <c r="I45" s="186"/>
      <c r="J45" s="187"/>
      <c r="K45" s="364" t="str">
        <f t="shared" si="1"/>
        <v/>
      </c>
      <c r="L45" s="366"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91"/>
      <c r="N45" s="189"/>
      <c r="O45" s="421"/>
      <c r="P45" s="421"/>
      <c r="Q45" s="421"/>
      <c r="R45" s="422"/>
      <c r="S45" s="422"/>
      <c r="T45" s="422"/>
      <c r="U45" s="422"/>
      <c r="V45" s="361"/>
    </row>
    <row r="46" spans="1:22" ht="21.95" customHeight="1" x14ac:dyDescent="0.35">
      <c r="A46" s="363" t="s">
        <v>117</v>
      </c>
      <c r="B46" s="152"/>
      <c r="C46" s="153"/>
      <c r="D46" s="158"/>
      <c r="E46" s="155"/>
      <c r="F46" s="156"/>
      <c r="G46" s="364" t="str">
        <f>IF(OR(E46="",F46=""),"",PID_KVLohnLookup($A$1,E46,F46,LOHNTABELLE!$H$4))</f>
        <v/>
      </c>
      <c r="H46" s="365" t="str">
        <f>IF(AND(ISNUMBER(D46),ISNUMBER(F46)),ROUNDDOWN(MIN(IF(OR(ISBLANK(I46),I46=""),EOMONTH(DATE(EINSTELLUNG!$C$35,$A$1,1),0),I46)-MAX(D46,DATE(EINSTELLUNG!$C$35,$A$1,1))+1)/DAY(EOMONTH(DATE(EINSTELLUNG!$C$35,$A$1,1),0))*F46,2),"")</f>
        <v/>
      </c>
      <c r="I46" s="158"/>
      <c r="J46" s="165"/>
      <c r="K46" s="364" t="str">
        <f t="shared" si="1"/>
        <v/>
      </c>
      <c r="L46" s="366"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70"/>
      <c r="N46" s="168"/>
      <c r="O46" s="361"/>
      <c r="P46" s="361"/>
      <c r="Q46" s="361"/>
      <c r="R46" s="361"/>
      <c r="S46" s="361"/>
      <c r="T46" s="361"/>
      <c r="U46" s="361"/>
      <c r="V46" s="361"/>
    </row>
    <row r="47" spans="1:22" ht="21.95" customHeight="1" x14ac:dyDescent="0.35">
      <c r="A47" s="363" t="s">
        <v>118</v>
      </c>
      <c r="B47" s="181"/>
      <c r="C47" s="182"/>
      <c r="D47" s="183"/>
      <c r="E47" s="184"/>
      <c r="F47" s="190"/>
      <c r="G47" s="364" t="str">
        <f>IF(OR(E47="",F47=""),"",PID_KVLohnLookup($A$1,E47,F47,LOHNTABELLE!$H$4))</f>
        <v/>
      </c>
      <c r="H47" s="365" t="str">
        <f>IF(AND(ISNUMBER(D47),ISNUMBER(F47)),ROUNDDOWN(MIN(IF(OR(ISBLANK(I47),I47=""),EOMONTH(DATE(EINSTELLUNG!$C$35,$A$1,1),0),I47)-MAX(D47,DATE(EINSTELLUNG!$C$35,$A$1,1))+1)/DAY(EOMONTH(DATE(EINSTELLUNG!$C$35,$A$1,1),0))*F47,2),"")</f>
        <v/>
      </c>
      <c r="I47" s="186"/>
      <c r="J47" s="187"/>
      <c r="K47" s="364" t="str">
        <f t="shared" si="1"/>
        <v/>
      </c>
      <c r="L47" s="366"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91"/>
      <c r="N47" s="189"/>
      <c r="O47" s="361"/>
      <c r="P47" s="361"/>
      <c r="Q47" s="361"/>
      <c r="R47" s="361"/>
      <c r="S47" s="361"/>
      <c r="T47" s="361"/>
      <c r="U47" s="361"/>
      <c r="V47" s="361"/>
    </row>
    <row r="48" spans="1:22" ht="21.95" customHeight="1" x14ac:dyDescent="0.35">
      <c r="A48" s="363" t="s">
        <v>119</v>
      </c>
      <c r="B48" s="152"/>
      <c r="C48" s="153"/>
      <c r="D48" s="154"/>
      <c r="E48" s="155"/>
      <c r="F48" s="156"/>
      <c r="G48" s="364" t="str">
        <f>IF(OR(E48="",F48=""),"",PID_KVLohnLookup($A$1,E48,F48,LOHNTABELLE!$H$4))</f>
        <v/>
      </c>
      <c r="H48" s="365" t="str">
        <f>IF(AND(ISNUMBER(D48),ISNUMBER(F48)),ROUNDDOWN(MIN(IF(OR(ISBLANK(I48),I48=""),EOMONTH(DATE(EINSTELLUNG!$C$35,$A$1,1),0),I48)-MAX(D48,DATE(EINSTELLUNG!$C$35,$A$1,1))+1)/DAY(EOMONTH(DATE(EINSTELLUNG!$C$35,$A$1,1),0))*F48,2),"")</f>
        <v/>
      </c>
      <c r="I48" s="158"/>
      <c r="J48" s="165"/>
      <c r="K48" s="364" t="str">
        <f t="shared" si="1"/>
        <v/>
      </c>
      <c r="L48" s="366"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70"/>
      <c r="N48" s="168"/>
      <c r="O48" s="361"/>
      <c r="P48" s="361"/>
      <c r="Q48" s="361"/>
      <c r="R48" s="361"/>
      <c r="S48" s="361"/>
      <c r="T48" s="361"/>
      <c r="U48" s="361"/>
      <c r="V48" s="361"/>
    </row>
    <row r="49" spans="1:22" ht="21.95" customHeight="1" x14ac:dyDescent="0.35">
      <c r="A49" s="363" t="s">
        <v>120</v>
      </c>
      <c r="B49" s="181"/>
      <c r="C49" s="182"/>
      <c r="D49" s="183"/>
      <c r="E49" s="184"/>
      <c r="F49" s="190"/>
      <c r="G49" s="364" t="str">
        <f>IF(OR(E49="",F49=""),"",PID_KVLohnLookup($A$1,E49,F49,LOHNTABELLE!$H$4))</f>
        <v/>
      </c>
      <c r="H49" s="365" t="str">
        <f>IF(AND(ISNUMBER(D49),ISNUMBER(F49)),ROUNDDOWN(MIN(IF(OR(ISBLANK(I49),I49=""),EOMONTH(DATE(EINSTELLUNG!$C$35,$A$1,1),0),I49)-MAX(D49,DATE(EINSTELLUNG!$C$35,$A$1,1))+1)/DAY(EOMONTH(DATE(EINSTELLUNG!$C$35,$A$1,1),0))*F49,2),"")</f>
        <v/>
      </c>
      <c r="I49" s="186"/>
      <c r="J49" s="187"/>
      <c r="K49" s="364" t="str">
        <f t="shared" si="1"/>
        <v/>
      </c>
      <c r="L49" s="366"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91"/>
      <c r="N49" s="189"/>
      <c r="O49" s="361"/>
      <c r="P49" s="361"/>
      <c r="Q49" s="361"/>
      <c r="R49" s="361"/>
      <c r="S49" s="361"/>
      <c r="T49" s="361"/>
      <c r="U49" s="361"/>
      <c r="V49" s="361"/>
    </row>
    <row r="50" spans="1:22" ht="21.95" customHeight="1" x14ac:dyDescent="0.35">
      <c r="A50" s="363" t="s">
        <v>121</v>
      </c>
      <c r="B50" s="152"/>
      <c r="C50" s="153"/>
      <c r="D50" s="154"/>
      <c r="E50" s="155"/>
      <c r="F50" s="156"/>
      <c r="G50" s="364" t="str">
        <f>IF(OR(E50="",F50=""),"",PID_KVLohnLookup($A$1,E50,F50,LOHNTABELLE!$H$4))</f>
        <v/>
      </c>
      <c r="H50" s="365" t="str">
        <f>IF(AND(ISNUMBER(D50),ISNUMBER(F50)),ROUNDDOWN(MIN(IF(OR(ISBLANK(I50),I50=""),EOMONTH(DATE(EINSTELLUNG!$C$35,$A$1,1),0),I50)-MAX(D50,DATE(EINSTELLUNG!$C$35,$A$1,1))+1)/DAY(EOMONTH(DATE(EINSTELLUNG!$C$35,$A$1,1),0))*F50,2),"")</f>
        <v/>
      </c>
      <c r="I50" s="158"/>
      <c r="J50" s="165"/>
      <c r="K50" s="364" t="str">
        <f t="shared" si="1"/>
        <v/>
      </c>
      <c r="L50" s="366"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70"/>
      <c r="N50" s="168"/>
      <c r="O50" s="361"/>
      <c r="P50" s="361"/>
      <c r="Q50" s="361"/>
      <c r="R50" s="361"/>
      <c r="S50" s="361"/>
      <c r="T50" s="361"/>
      <c r="U50" s="361"/>
      <c r="V50" s="361"/>
    </row>
    <row r="51" spans="1:22" ht="21.95" customHeight="1" x14ac:dyDescent="0.35">
      <c r="A51" s="363" t="s">
        <v>122</v>
      </c>
      <c r="B51" s="181"/>
      <c r="C51" s="182"/>
      <c r="D51" s="183"/>
      <c r="E51" s="184"/>
      <c r="F51" s="190"/>
      <c r="G51" s="364" t="str">
        <f>IF(OR(E51="",F51=""),"",PID_KVLohnLookup($A$1,E51,F51,LOHNTABELLE!$H$4))</f>
        <v/>
      </c>
      <c r="H51" s="365" t="str">
        <f>IF(AND(ISNUMBER(D51),ISNUMBER(F51)),ROUNDDOWN(MIN(IF(OR(ISBLANK(I51),I51=""),EOMONTH(DATE(EINSTELLUNG!$C$35,$A$1,1),0),I51)-MAX(D51,DATE(EINSTELLUNG!$C$35,$A$1,1))+1)/DAY(EOMONTH(DATE(EINSTELLUNG!$C$35,$A$1,1),0))*F51,2),"")</f>
        <v/>
      </c>
      <c r="I51" s="186"/>
      <c r="J51" s="187"/>
      <c r="K51" s="364" t="str">
        <f t="shared" si="1"/>
        <v/>
      </c>
      <c r="L51" s="366"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188"/>
      <c r="N51" s="192"/>
    </row>
    <row r="52" spans="1:22" ht="21.95" customHeight="1" x14ac:dyDescent="0.35">
      <c r="A52" s="363" t="s">
        <v>123</v>
      </c>
      <c r="B52" s="152"/>
      <c r="C52" s="153"/>
      <c r="D52" s="154"/>
      <c r="E52" s="155"/>
      <c r="F52" s="156"/>
      <c r="G52" s="364" t="str">
        <f>IF(OR(E52="",F52=""),"",PID_KVLohnLookup($A$1,E52,F52,LOHNTABELLE!$H$4))</f>
        <v/>
      </c>
      <c r="H52" s="365" t="str">
        <f>IF(AND(ISNUMBER(D52),ISNUMBER(F52)),ROUNDDOWN(MIN(IF(OR(ISBLANK(I52),I52=""),EOMONTH(DATE(EINSTELLUNG!$C$35,$A$1,1),0),I52)-MAX(D52,DATE(EINSTELLUNG!$C$35,$A$1,1))+1)/DAY(EOMONTH(DATE(EINSTELLUNG!$C$35,$A$1,1),0))*F52,2),"")</f>
        <v/>
      </c>
      <c r="I52" s="158"/>
      <c r="J52" s="165"/>
      <c r="K52" s="364" t="str">
        <f t="shared" si="1"/>
        <v/>
      </c>
      <c r="L52" s="366"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167"/>
      <c r="N52" s="168"/>
    </row>
    <row r="53" spans="1:22" ht="21.95" customHeight="1" x14ac:dyDescent="0.35">
      <c r="A53" s="363" t="s">
        <v>124</v>
      </c>
      <c r="B53" s="181"/>
      <c r="C53" s="182"/>
      <c r="D53" s="183"/>
      <c r="E53" s="184"/>
      <c r="F53" s="190"/>
      <c r="G53" s="364" t="str">
        <f>IF(OR(E53="",F53=""),"",PID_KVLohnLookup($A$1,E53,F53,LOHNTABELLE!$H$4))</f>
        <v/>
      </c>
      <c r="H53" s="365" t="str">
        <f>IF(AND(ISNUMBER(D53),ISNUMBER(F53)),ROUNDDOWN(MIN(IF(OR(ISBLANK(I53),I53=""),EOMONTH(DATE(EINSTELLUNG!$C$35,$A$1,1),0),I53)-MAX(D53,DATE(EINSTELLUNG!$C$35,$A$1,1))+1)/DAY(EOMONTH(DATE(EINSTELLUNG!$C$35,$A$1,1),0))*F53,2),"")</f>
        <v/>
      </c>
      <c r="I53" s="186"/>
      <c r="J53" s="187"/>
      <c r="K53" s="364" t="str">
        <f t="shared" si="1"/>
        <v/>
      </c>
      <c r="L53" s="366"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188"/>
      <c r="N53" s="189"/>
    </row>
    <row r="54" spans="1:22" ht="21.95" customHeight="1" x14ac:dyDescent="0.35">
      <c r="A54" s="363" t="s">
        <v>125</v>
      </c>
      <c r="B54" s="152"/>
      <c r="C54" s="153"/>
      <c r="D54" s="154"/>
      <c r="E54" s="155"/>
      <c r="F54" s="156"/>
      <c r="G54" s="364" t="str">
        <f>IF(OR(E54="",F54=""),"",PID_KVLohnLookup($A$1,E54,F54,LOHNTABELLE!$H$4))</f>
        <v/>
      </c>
      <c r="H54" s="365" t="str">
        <f>IF(AND(ISNUMBER(D54),ISNUMBER(F54)),ROUNDDOWN(MIN(IF(OR(ISBLANK(I54),I54=""),EOMONTH(DATE(EINSTELLUNG!$C$35,$A$1,1),0),I54)-MAX(D54,DATE(EINSTELLUNG!$C$35,$A$1,1))+1)/DAY(EOMONTH(DATE(EINSTELLUNG!$C$35,$A$1,1),0))*F54,2),"")</f>
        <v/>
      </c>
      <c r="I54" s="158"/>
      <c r="J54" s="165"/>
      <c r="K54" s="364" t="str">
        <f t="shared" si="1"/>
        <v/>
      </c>
      <c r="L54" s="366"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167"/>
      <c r="N54" s="168"/>
    </row>
    <row r="55" spans="1:22" ht="21.95" customHeight="1" x14ac:dyDescent="0.35">
      <c r="A55" s="363" t="s">
        <v>126</v>
      </c>
      <c r="B55" s="181"/>
      <c r="C55" s="182"/>
      <c r="D55" s="186"/>
      <c r="E55" s="184"/>
      <c r="F55" s="190"/>
      <c r="G55" s="364" t="str">
        <f>IF(OR(E55="",F55=""),"",PID_KVLohnLookup($A$1,E55,F55,LOHNTABELLE!$H$4))</f>
        <v/>
      </c>
      <c r="H55" s="365" t="str">
        <f>IF(AND(ISNUMBER(D55),ISNUMBER(F55)),ROUNDDOWN(MIN(IF(OR(ISBLANK(I55),I55=""),EOMONTH(DATE(EINSTELLUNG!$C$35,$A$1,1),0),I55)-MAX(D55,DATE(EINSTELLUNG!$C$35,$A$1,1))+1)/DAY(EOMONTH(DATE(EINSTELLUNG!$C$35,$A$1,1),0))*F55,2),"")</f>
        <v/>
      </c>
      <c r="I55" s="186"/>
      <c r="J55" s="187"/>
      <c r="K55" s="364" t="str">
        <f t="shared" si="1"/>
        <v/>
      </c>
      <c r="L55" s="366"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188"/>
      <c r="N55" s="189"/>
    </row>
    <row r="56" spans="1:22" ht="21.95" customHeight="1" x14ac:dyDescent="0.35">
      <c r="A56" s="363" t="s">
        <v>127</v>
      </c>
      <c r="B56" s="152"/>
      <c r="C56" s="153"/>
      <c r="D56" s="154"/>
      <c r="E56" s="155"/>
      <c r="F56" s="156"/>
      <c r="G56" s="364" t="str">
        <f>IF(OR(E56="",F56=""),"",PID_KVLohnLookup($A$1,E56,F56,LOHNTABELLE!$H$4))</f>
        <v/>
      </c>
      <c r="H56" s="365" t="str">
        <f>IF(AND(ISNUMBER(D56),ISNUMBER(F56)),ROUNDDOWN(MIN(IF(OR(ISBLANK(I56),I56=""),EOMONTH(DATE(EINSTELLUNG!$C$35,$A$1,1),0),I56)-MAX(D56,DATE(EINSTELLUNG!$C$35,$A$1,1))+1)/DAY(EOMONTH(DATE(EINSTELLUNG!$C$35,$A$1,1),0))*F56,2),"")</f>
        <v/>
      </c>
      <c r="I56" s="158"/>
      <c r="J56" s="165"/>
      <c r="K56" s="364" t="str">
        <f t="shared" si="1"/>
        <v/>
      </c>
      <c r="L56" s="366"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167"/>
      <c r="N56" s="168"/>
    </row>
    <row r="57" spans="1:22" ht="21.95" customHeight="1" x14ac:dyDescent="0.35">
      <c r="A57" s="363" t="s">
        <v>128</v>
      </c>
      <c r="B57" s="181"/>
      <c r="C57" s="182"/>
      <c r="D57" s="186"/>
      <c r="E57" s="184"/>
      <c r="F57" s="190"/>
      <c r="G57" s="364" t="str">
        <f>IF(OR(E57="",F57=""),"",PID_KVLohnLookup($A$1,E57,F57,LOHNTABELLE!$H$4))</f>
        <v/>
      </c>
      <c r="H57" s="365" t="str">
        <f>IF(AND(ISNUMBER(D57),ISNUMBER(F57)),ROUNDDOWN(MIN(IF(OR(ISBLANK(I57),I57=""),EOMONTH(DATE(EINSTELLUNG!$C$35,$A$1,1),0),I57)-MAX(D57,DATE(EINSTELLUNG!$C$35,$A$1,1))+1)/DAY(EOMONTH(DATE(EINSTELLUNG!$C$35,$A$1,1),0))*F57,2),"")</f>
        <v/>
      </c>
      <c r="I57" s="186"/>
      <c r="J57" s="187"/>
      <c r="K57" s="364" t="str">
        <f t="shared" si="1"/>
        <v/>
      </c>
      <c r="L57" s="366"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188"/>
      <c r="N57" s="189"/>
    </row>
    <row r="58" spans="1:22" ht="21.95" customHeight="1" x14ac:dyDescent="0.35">
      <c r="A58" s="363" t="s">
        <v>129</v>
      </c>
      <c r="B58" s="152"/>
      <c r="C58" s="153"/>
      <c r="D58" s="158"/>
      <c r="E58" s="155"/>
      <c r="F58" s="156"/>
      <c r="G58" s="364" t="str">
        <f>IF(OR(E58="",F58=""),"",PID_KVLohnLookup($A$1,E58,F58,LOHNTABELLE!$H$4))</f>
        <v/>
      </c>
      <c r="H58" s="365" t="str">
        <f>IF(AND(ISNUMBER(D58),ISNUMBER(F58)),ROUNDDOWN(MIN(IF(OR(ISBLANK(I58),I58=""),EOMONTH(DATE(EINSTELLUNG!$C$35,$A$1,1),0),I58)-MAX(D58,DATE(EINSTELLUNG!$C$35,$A$1,1))+1)/DAY(EOMONTH(DATE(EINSTELLUNG!$C$35,$A$1,1),0))*F58,2),"")</f>
        <v/>
      </c>
      <c r="I58" s="158"/>
      <c r="J58" s="165"/>
      <c r="K58" s="364" t="str">
        <f t="shared" si="1"/>
        <v/>
      </c>
      <c r="L58" s="366"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167"/>
      <c r="N58" s="168"/>
    </row>
    <row r="59" spans="1:22" ht="21.95" customHeight="1" x14ac:dyDescent="0.35">
      <c r="A59" s="363" t="s">
        <v>130</v>
      </c>
      <c r="B59" s="181"/>
      <c r="C59" s="182"/>
      <c r="D59" s="186"/>
      <c r="E59" s="184"/>
      <c r="F59" s="190"/>
      <c r="G59" s="364" t="str">
        <f>IF(OR(E59="",F59=""),"",PID_KVLohnLookup($A$1,E59,F59,LOHNTABELLE!$H$4))</f>
        <v/>
      </c>
      <c r="H59" s="365" t="str">
        <f>IF(AND(ISNUMBER(D59),ISNUMBER(F59)),ROUNDDOWN(MIN(IF(OR(ISBLANK(I59),I59=""),EOMONTH(DATE(EINSTELLUNG!$C$35,$A$1,1),0),I59)-MAX(D59,DATE(EINSTELLUNG!$C$35,$A$1,1))+1)/DAY(EOMONTH(DATE(EINSTELLUNG!$C$35,$A$1,1),0))*F59,2),"")</f>
        <v/>
      </c>
      <c r="I59" s="186"/>
      <c r="J59" s="187"/>
      <c r="K59" s="364" t="str">
        <f t="shared" si="1"/>
        <v/>
      </c>
      <c r="L59" s="366"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188"/>
      <c r="N59" s="189"/>
    </row>
    <row r="60" spans="1:22" ht="21.95" customHeight="1" x14ac:dyDescent="0.35">
      <c r="A60" s="363" t="s">
        <v>131</v>
      </c>
      <c r="B60" s="152"/>
      <c r="C60" s="153"/>
      <c r="D60" s="158"/>
      <c r="E60" s="155"/>
      <c r="F60" s="156"/>
      <c r="G60" s="364" t="str">
        <f>IF(OR(E60="",F60=""),"",PID_KVLohnLookup($A$1,E60,F60,LOHNTABELLE!$H$4))</f>
        <v/>
      </c>
      <c r="H60" s="365" t="str">
        <f>IF(AND(ISNUMBER(D60),ISNUMBER(F60)),ROUNDDOWN(MIN(IF(OR(ISBLANK(I60),I60=""),EOMONTH(DATE(EINSTELLUNG!$C$35,$A$1,1),0),I60)-MAX(D60,DATE(EINSTELLUNG!$C$35,$A$1,1))+1)/DAY(EOMONTH(DATE(EINSTELLUNG!$C$35,$A$1,1),0))*F60,2),"")</f>
        <v/>
      </c>
      <c r="I60" s="158"/>
      <c r="J60" s="165"/>
      <c r="K60" s="364" t="str">
        <f t="shared" si="1"/>
        <v/>
      </c>
      <c r="L60" s="366"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167"/>
      <c r="N60" s="168"/>
    </row>
    <row r="61" spans="1:22" ht="21.95" customHeight="1" x14ac:dyDescent="0.35">
      <c r="A61" s="363" t="s">
        <v>132</v>
      </c>
      <c r="B61" s="181"/>
      <c r="C61" s="182"/>
      <c r="D61" s="186"/>
      <c r="E61" s="184"/>
      <c r="F61" s="190"/>
      <c r="G61" s="364" t="str">
        <f>IF(OR(E61="",F61=""),"",PID_KVLohnLookup($A$1,E61,F61,LOHNTABELLE!$H$4))</f>
        <v/>
      </c>
      <c r="H61" s="365" t="str">
        <f>IF(AND(ISNUMBER(D61),ISNUMBER(F61)),ROUNDDOWN(MIN(IF(OR(ISBLANK(I61),I61=""),EOMONTH(DATE(EINSTELLUNG!$C$35,$A$1,1),0),I61)-MAX(D61,DATE(EINSTELLUNG!$C$35,$A$1,1))+1)/DAY(EOMONTH(DATE(EINSTELLUNG!$C$35,$A$1,1),0))*F61,2),"")</f>
        <v/>
      </c>
      <c r="I61" s="186"/>
      <c r="J61" s="187"/>
      <c r="K61" s="364" t="str">
        <f t="shared" si="1"/>
        <v/>
      </c>
      <c r="L61" s="366"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88"/>
      <c r="N61" s="189"/>
    </row>
    <row r="62" spans="1:22" ht="21.95" customHeight="1" x14ac:dyDescent="0.35">
      <c r="A62" s="363" t="s">
        <v>133</v>
      </c>
      <c r="B62" s="152"/>
      <c r="C62" s="153"/>
      <c r="D62" s="158"/>
      <c r="E62" s="155"/>
      <c r="F62" s="156"/>
      <c r="G62" s="364" t="str">
        <f>IF(OR(E62="",F62=""),"",PID_KVLohnLookup($A$1,E62,F62,LOHNTABELLE!$H$4))</f>
        <v/>
      </c>
      <c r="H62" s="365" t="str">
        <f>IF(AND(ISNUMBER(D62),ISNUMBER(F62)),ROUNDDOWN(MIN(IF(OR(ISBLANK(I62),I62=""),EOMONTH(DATE(EINSTELLUNG!$C$35,$A$1,1),0),I62)-MAX(D62,DATE(EINSTELLUNG!$C$35,$A$1,1))+1)/DAY(EOMONTH(DATE(EINSTELLUNG!$C$35,$A$1,1),0))*F62,2),"")</f>
        <v/>
      </c>
      <c r="I62" s="158"/>
      <c r="J62" s="165"/>
      <c r="K62" s="364" t="str">
        <f t="shared" si="1"/>
        <v/>
      </c>
      <c r="L62" s="366"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167"/>
      <c r="N62" s="168"/>
    </row>
    <row r="63" spans="1:22" ht="21.95" customHeight="1" x14ac:dyDescent="0.35">
      <c r="A63" s="363" t="s">
        <v>134</v>
      </c>
      <c r="B63" s="181"/>
      <c r="C63" s="193"/>
      <c r="D63" s="186"/>
      <c r="E63" s="184"/>
      <c r="F63" s="190"/>
      <c r="G63" s="364" t="str">
        <f>IF(OR(E63="",F63=""),"",PID_KVLohnLookup($A$1,E63,F63,LOHNTABELLE!$H$4))</f>
        <v/>
      </c>
      <c r="H63" s="365" t="str">
        <f>IF(AND(ISNUMBER(D63),ISNUMBER(F63)),ROUNDDOWN(MIN(IF(OR(ISBLANK(I63),I63=""),EOMONTH(DATE(EINSTELLUNG!$C$35,$A$1,1),0),I63)-MAX(D63,DATE(EINSTELLUNG!$C$35,$A$1,1))+1)/DAY(EOMONTH(DATE(EINSTELLUNG!$C$35,$A$1,1),0))*F63,2),"")</f>
        <v/>
      </c>
      <c r="I63" s="186"/>
      <c r="J63" s="187"/>
      <c r="K63" s="364" t="str">
        <f t="shared" si="1"/>
        <v/>
      </c>
      <c r="L63" s="366"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88"/>
      <c r="N63" s="189"/>
    </row>
    <row r="64" spans="1:22" ht="21.95" customHeight="1" x14ac:dyDescent="0.35">
      <c r="A64" s="363" t="s">
        <v>135</v>
      </c>
      <c r="B64" s="152"/>
      <c r="C64" s="153"/>
      <c r="D64" s="158"/>
      <c r="E64" s="155"/>
      <c r="F64" s="156"/>
      <c r="G64" s="364" t="str">
        <f>IF(OR(E64="",F64=""),"",PID_KVLohnLookup($A$1,E64,F64,LOHNTABELLE!$H$4))</f>
        <v/>
      </c>
      <c r="H64" s="365" t="str">
        <f>IF(AND(ISNUMBER(D64),ISNUMBER(F64)),ROUNDDOWN(MIN(IF(OR(ISBLANK(I64),I64=""),EOMONTH(DATE(EINSTELLUNG!$C$35,$A$1,1),0),I64)-MAX(D64,DATE(EINSTELLUNG!$C$35,$A$1,1))+1)/DAY(EOMONTH(DATE(EINSTELLUNG!$C$35,$A$1,1),0))*F64,2),"")</f>
        <v/>
      </c>
      <c r="I64" s="158"/>
      <c r="J64" s="165"/>
      <c r="K64" s="364" t="str">
        <f t="shared" si="1"/>
        <v/>
      </c>
      <c r="L64" s="366"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167"/>
      <c r="N64" s="168"/>
    </row>
    <row r="65" spans="1:14" ht="21.95" customHeight="1" x14ac:dyDescent="0.35">
      <c r="A65" s="363" t="s">
        <v>136</v>
      </c>
      <c r="B65" s="181"/>
      <c r="C65" s="182"/>
      <c r="D65" s="186"/>
      <c r="E65" s="184"/>
      <c r="F65" s="190"/>
      <c r="G65" s="364" t="str">
        <f>IF(OR(E65="",F65=""),"",PID_KVLohnLookup($A$1,E65,F65,LOHNTABELLE!$H$4))</f>
        <v/>
      </c>
      <c r="H65" s="365" t="str">
        <f>IF(AND(ISNUMBER(D65),ISNUMBER(F65)),ROUNDDOWN(MIN(IF(OR(ISBLANK(I65),I65=""),EOMONTH(DATE(EINSTELLUNG!$C$35,$A$1,1),0),I65)-MAX(D65,DATE(EINSTELLUNG!$C$35,$A$1,1))+1)/DAY(EOMONTH(DATE(EINSTELLUNG!$C$35,$A$1,1),0))*F65,2),"")</f>
        <v/>
      </c>
      <c r="I65" s="186"/>
      <c r="J65" s="187"/>
      <c r="K65" s="364" t="str">
        <f t="shared" si="1"/>
        <v/>
      </c>
      <c r="L65" s="366"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88"/>
      <c r="N65" s="189"/>
    </row>
    <row r="66" spans="1:14" ht="21.95" customHeight="1" x14ac:dyDescent="0.35">
      <c r="A66" s="363" t="s">
        <v>137</v>
      </c>
      <c r="B66" s="152"/>
      <c r="C66" s="153"/>
      <c r="D66" s="158"/>
      <c r="E66" s="155"/>
      <c r="F66" s="156"/>
      <c r="G66" s="364" t="str">
        <f>IF(OR(E66="",F66=""),"",PID_KVLohnLookup($A$1,E66,F66,LOHNTABELLE!$H$4))</f>
        <v/>
      </c>
      <c r="H66" s="365" t="str">
        <f>IF(AND(ISNUMBER(D66),ISNUMBER(F66)),ROUNDDOWN(MIN(IF(OR(ISBLANK(I66),I66=""),EOMONTH(DATE(EINSTELLUNG!$C$35,$A$1,1),0),I66)-MAX(D66,DATE(EINSTELLUNG!$C$35,$A$1,1))+1)/DAY(EOMONTH(DATE(EINSTELLUNG!$C$35,$A$1,1),0))*F66,2),"")</f>
        <v/>
      </c>
      <c r="I66" s="158"/>
      <c r="J66" s="165"/>
      <c r="K66" s="364" t="str">
        <f t="shared" si="1"/>
        <v/>
      </c>
      <c r="L66" s="366"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167"/>
      <c r="N66" s="168"/>
    </row>
    <row r="67" spans="1:14" ht="21.95" customHeight="1" x14ac:dyDescent="0.35">
      <c r="A67" s="363" t="s">
        <v>138</v>
      </c>
      <c r="B67" s="181"/>
      <c r="C67" s="182"/>
      <c r="D67" s="186"/>
      <c r="E67" s="184"/>
      <c r="F67" s="190"/>
      <c r="G67" s="364" t="str">
        <f>IF(OR(E67="",F67=""),"",PID_KVLohnLookup($A$1,E67,F67,LOHNTABELLE!$H$4))</f>
        <v/>
      </c>
      <c r="H67" s="365" t="str">
        <f>IF(AND(ISNUMBER(D67),ISNUMBER(F67)),ROUNDDOWN(MIN(IF(OR(ISBLANK(I67),I67=""),EOMONTH(DATE(EINSTELLUNG!$C$35,$A$1,1),0),I67)-MAX(D67,DATE(EINSTELLUNG!$C$35,$A$1,1))+1)/DAY(EOMONTH(DATE(EINSTELLUNG!$C$35,$A$1,1),0))*F67,2),"")</f>
        <v/>
      </c>
      <c r="I67" s="186"/>
      <c r="J67" s="187"/>
      <c r="K67" s="364" t="str">
        <f t="shared" ref="K67:K98" si="3">IF(OR(B67="",C67=""),"",IFERROR(IF(OR(MONTH(D67)=1,MONTH(D67)=3,MONTH(D67)=5,MONTH(D67)=7,MONTH(D67)=8,MONTH(D67)=10,MONTH(D67)=12),(G67/31)*J67,IF(OR(MONTH(D67)=4,MONTH(D67)=6,MONTH(D67)=9,MONTH(D67)=11),(G67/30)*J67,(G67/DAY(EOMONTH(D67,0)))*J67)),0))</f>
        <v/>
      </c>
      <c r="L67" s="366"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88"/>
      <c r="N67" s="189"/>
    </row>
    <row r="68" spans="1:14" ht="21.95" customHeight="1" x14ac:dyDescent="0.35">
      <c r="A68" s="363" t="s">
        <v>139</v>
      </c>
      <c r="B68" s="152"/>
      <c r="C68" s="153"/>
      <c r="D68" s="158"/>
      <c r="E68" s="155"/>
      <c r="F68" s="156"/>
      <c r="G68" s="364" t="str">
        <f>IF(OR(E68="",F68=""),"",PID_KVLohnLookup($A$1,E68,F68,LOHNTABELLE!$H$4))</f>
        <v/>
      </c>
      <c r="H68" s="365" t="str">
        <f>IF(AND(ISNUMBER(D68),ISNUMBER(F68)),ROUNDDOWN(MIN(IF(OR(ISBLANK(I68),I68=""),EOMONTH(DATE(EINSTELLUNG!$C$35,$A$1,1),0),I68)-MAX(D68,DATE(EINSTELLUNG!$C$35,$A$1,1))+1)/DAY(EOMONTH(DATE(EINSTELLUNG!$C$35,$A$1,1),0))*F68,2),"")</f>
        <v/>
      </c>
      <c r="I68" s="158"/>
      <c r="J68" s="165"/>
      <c r="K68" s="364" t="str">
        <f t="shared" si="3"/>
        <v/>
      </c>
      <c r="L68" s="366"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167"/>
      <c r="N68" s="168"/>
    </row>
    <row r="69" spans="1:14" ht="21.95" customHeight="1" x14ac:dyDescent="0.35">
      <c r="A69" s="363" t="s">
        <v>140</v>
      </c>
      <c r="B69" s="181"/>
      <c r="C69" s="182"/>
      <c r="D69" s="186"/>
      <c r="E69" s="184"/>
      <c r="F69" s="190"/>
      <c r="G69" s="364" t="str">
        <f>IF(OR(E69="",F69=""),"",PID_KVLohnLookup($A$1,E69,F69,LOHNTABELLE!$H$4))</f>
        <v/>
      </c>
      <c r="H69" s="365" t="str">
        <f>IF(AND(ISNUMBER(D69),ISNUMBER(F69)),ROUNDDOWN(MIN(IF(OR(ISBLANK(I69),I69=""),EOMONTH(DATE(EINSTELLUNG!$C$35,$A$1,1),0),I69)-MAX(D69,DATE(EINSTELLUNG!$C$35,$A$1,1))+1)/DAY(EOMONTH(DATE(EINSTELLUNG!$C$35,$A$1,1),0))*F69,2),"")</f>
        <v/>
      </c>
      <c r="I69" s="186"/>
      <c r="J69" s="187"/>
      <c r="K69" s="364" t="str">
        <f t="shared" si="3"/>
        <v/>
      </c>
      <c r="L69" s="366"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88"/>
      <c r="N69" s="189"/>
    </row>
    <row r="70" spans="1:14" ht="21.95" customHeight="1" x14ac:dyDescent="0.35">
      <c r="A70" s="363" t="s">
        <v>141</v>
      </c>
      <c r="B70" s="152"/>
      <c r="C70" s="153"/>
      <c r="D70" s="158"/>
      <c r="E70" s="155"/>
      <c r="F70" s="156"/>
      <c r="G70" s="364" t="str">
        <f>IF(OR(E70="",F70=""),"",PID_KVLohnLookup($A$1,E70,F70,LOHNTABELLE!$H$4))</f>
        <v/>
      </c>
      <c r="H70" s="365" t="str">
        <f>IF(AND(ISNUMBER(D70),ISNUMBER(F70)),ROUNDDOWN(MIN(IF(OR(ISBLANK(I70),I70=""),EOMONTH(DATE(EINSTELLUNG!$C$35,$A$1,1),0),I70)-MAX(D70,DATE(EINSTELLUNG!$C$35,$A$1,1))+1)/DAY(EOMONTH(DATE(EINSTELLUNG!$C$35,$A$1,1),0))*F70,2),"")</f>
        <v/>
      </c>
      <c r="I70" s="158"/>
      <c r="J70" s="165"/>
      <c r="K70" s="364" t="str">
        <f t="shared" si="3"/>
        <v/>
      </c>
      <c r="L70" s="366"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167"/>
      <c r="N70" s="168"/>
    </row>
    <row r="71" spans="1:14" ht="21.95" customHeight="1" x14ac:dyDescent="0.35">
      <c r="A71" s="363" t="s">
        <v>142</v>
      </c>
      <c r="B71" s="181"/>
      <c r="C71" s="182"/>
      <c r="D71" s="186"/>
      <c r="E71" s="184"/>
      <c r="F71" s="190"/>
      <c r="G71" s="364" t="str">
        <f>IF(OR(E71="",F71=""),"",PID_KVLohnLookup($A$1,E71,F71,LOHNTABELLE!$H$4))</f>
        <v/>
      </c>
      <c r="H71" s="365" t="str">
        <f>IF(AND(ISNUMBER(D71),ISNUMBER(F71)),ROUNDDOWN(MIN(IF(OR(ISBLANK(I71),I71=""),EOMONTH(DATE(EINSTELLUNG!$C$35,$A$1,1),0),I71)-MAX(D71,DATE(EINSTELLUNG!$C$35,$A$1,1))+1)/DAY(EOMONTH(DATE(EINSTELLUNG!$C$35,$A$1,1),0))*F71,2),"")</f>
        <v/>
      </c>
      <c r="I71" s="186"/>
      <c r="J71" s="187"/>
      <c r="K71" s="364" t="str">
        <f t="shared" si="3"/>
        <v/>
      </c>
      <c r="L71" s="366"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88"/>
      <c r="N71" s="189"/>
    </row>
    <row r="72" spans="1:14" ht="21.95" customHeight="1" x14ac:dyDescent="0.35">
      <c r="A72" s="363" t="s">
        <v>143</v>
      </c>
      <c r="B72" s="152"/>
      <c r="C72" s="153"/>
      <c r="D72" s="158"/>
      <c r="E72" s="155"/>
      <c r="F72" s="156"/>
      <c r="G72" s="364" t="str">
        <f>IF(OR(E72="",F72=""),"",PID_KVLohnLookup($A$1,E72,F72,LOHNTABELLE!$H$4))</f>
        <v/>
      </c>
      <c r="H72" s="365" t="str">
        <f>IF(AND(ISNUMBER(D72),ISNUMBER(F72)),ROUNDDOWN(MIN(IF(OR(ISBLANK(I72),I72=""),EOMONTH(DATE(EINSTELLUNG!$C$35,$A$1,1),0),I72)-MAX(D72,DATE(EINSTELLUNG!$C$35,$A$1,1))+1)/DAY(EOMONTH(DATE(EINSTELLUNG!$C$35,$A$1,1),0))*F72,2),"")</f>
        <v/>
      </c>
      <c r="I72" s="158"/>
      <c r="J72" s="165"/>
      <c r="K72" s="364" t="str">
        <f t="shared" si="3"/>
        <v/>
      </c>
      <c r="L72" s="366"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167"/>
      <c r="N72" s="168"/>
    </row>
    <row r="73" spans="1:14" ht="21.95" customHeight="1" x14ac:dyDescent="0.35">
      <c r="A73" s="363" t="s">
        <v>144</v>
      </c>
      <c r="B73" s="181"/>
      <c r="C73" s="182"/>
      <c r="D73" s="186"/>
      <c r="E73" s="184"/>
      <c r="F73" s="190"/>
      <c r="G73" s="364" t="str">
        <f>IF(OR(E73="",F73=""),"",PID_KVLohnLookup($A$1,E73,F73,LOHNTABELLE!$H$4))</f>
        <v/>
      </c>
      <c r="H73" s="365" t="str">
        <f>IF(AND(ISNUMBER(D73),ISNUMBER(F73)),ROUNDDOWN(MIN(IF(OR(ISBLANK(I73),I73=""),EOMONTH(DATE(EINSTELLUNG!$C$35,$A$1,1),0),I73)-MAX(D73,DATE(EINSTELLUNG!$C$35,$A$1,1))+1)/DAY(EOMONTH(DATE(EINSTELLUNG!$C$35,$A$1,1),0))*F73,2),"")</f>
        <v/>
      </c>
      <c r="I73" s="186"/>
      <c r="J73" s="187"/>
      <c r="K73" s="364" t="str">
        <f t="shared" si="3"/>
        <v/>
      </c>
      <c r="L73" s="366"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88"/>
      <c r="N73" s="189"/>
    </row>
    <row r="74" spans="1:14" ht="21.95" customHeight="1" x14ac:dyDescent="0.35">
      <c r="A74" s="363" t="s">
        <v>145</v>
      </c>
      <c r="B74" s="152"/>
      <c r="C74" s="153"/>
      <c r="D74" s="158"/>
      <c r="E74" s="155"/>
      <c r="F74" s="156"/>
      <c r="G74" s="364" t="str">
        <f>IF(OR(E74="",F74=""),"",PID_KVLohnLookup($A$1,E74,F74,LOHNTABELLE!$H$4))</f>
        <v/>
      </c>
      <c r="H74" s="365" t="str">
        <f>IF(AND(ISNUMBER(D74),ISNUMBER(F74)),ROUNDDOWN(MIN(IF(OR(ISBLANK(I74),I74=""),EOMONTH(DATE(EINSTELLUNG!$C$35,$A$1,1),0),I74)-MAX(D74,DATE(EINSTELLUNG!$C$35,$A$1,1))+1)/DAY(EOMONTH(DATE(EINSTELLUNG!$C$35,$A$1,1),0))*F74,2),"")</f>
        <v/>
      </c>
      <c r="I74" s="158"/>
      <c r="J74" s="165"/>
      <c r="K74" s="364" t="str">
        <f t="shared" si="3"/>
        <v/>
      </c>
      <c r="L74" s="366"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167"/>
      <c r="N74" s="168"/>
    </row>
    <row r="75" spans="1:14" ht="21.95" customHeight="1" x14ac:dyDescent="0.35">
      <c r="A75" s="363" t="s">
        <v>146</v>
      </c>
      <c r="B75" s="181"/>
      <c r="C75" s="182"/>
      <c r="D75" s="186"/>
      <c r="E75" s="184"/>
      <c r="F75" s="190"/>
      <c r="G75" s="364" t="str">
        <f>IF(OR(E75="",F75=""),"",PID_KVLohnLookup($A$1,E75,F75,LOHNTABELLE!$H$4))</f>
        <v/>
      </c>
      <c r="H75" s="365" t="str">
        <f>IF(AND(ISNUMBER(D75),ISNUMBER(F75)),ROUNDDOWN(MIN(IF(OR(ISBLANK(I75),I75=""),EOMONTH(DATE(EINSTELLUNG!$C$35,$A$1,1),0),I75)-MAX(D75,DATE(EINSTELLUNG!$C$35,$A$1,1))+1)/DAY(EOMONTH(DATE(EINSTELLUNG!$C$35,$A$1,1),0))*F75,2),"")</f>
        <v/>
      </c>
      <c r="I75" s="186"/>
      <c r="J75" s="187"/>
      <c r="K75" s="364" t="str">
        <f t="shared" si="3"/>
        <v/>
      </c>
      <c r="L75" s="366"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88"/>
      <c r="N75" s="189"/>
    </row>
    <row r="76" spans="1:14" ht="21.95" customHeight="1" x14ac:dyDescent="0.35">
      <c r="A76" s="363" t="s">
        <v>147</v>
      </c>
      <c r="B76" s="152"/>
      <c r="C76" s="153"/>
      <c r="D76" s="158"/>
      <c r="E76" s="155"/>
      <c r="F76" s="156"/>
      <c r="G76" s="364" t="str">
        <f>IF(OR(E76="",F76=""),"",PID_KVLohnLookup($A$1,E76,F76,LOHNTABELLE!$H$4))</f>
        <v/>
      </c>
      <c r="H76" s="365" t="str">
        <f>IF(AND(ISNUMBER(D76),ISNUMBER(F76)),ROUNDDOWN(MIN(IF(OR(ISBLANK(I76),I76=""),EOMONTH(DATE(EINSTELLUNG!$C$35,$A$1,1),0),I76)-MAX(D76,DATE(EINSTELLUNG!$C$35,$A$1,1))+1)/DAY(EOMONTH(DATE(EINSTELLUNG!$C$35,$A$1,1),0))*F76,2),"")</f>
        <v/>
      </c>
      <c r="I76" s="158"/>
      <c r="J76" s="165"/>
      <c r="K76" s="364" t="str">
        <f t="shared" si="3"/>
        <v/>
      </c>
      <c r="L76" s="366"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167"/>
      <c r="N76" s="168"/>
    </row>
    <row r="77" spans="1:14" ht="21.95" customHeight="1" x14ac:dyDescent="0.35">
      <c r="A77" s="363" t="s">
        <v>148</v>
      </c>
      <c r="B77" s="181"/>
      <c r="C77" s="182"/>
      <c r="D77" s="186"/>
      <c r="E77" s="184"/>
      <c r="F77" s="190"/>
      <c r="G77" s="364" t="str">
        <f>IF(OR(E77="",F77=""),"",PID_KVLohnLookup($A$1,E77,F77,LOHNTABELLE!$H$4))</f>
        <v/>
      </c>
      <c r="H77" s="365" t="str">
        <f>IF(AND(ISNUMBER(D77),ISNUMBER(F77)),ROUNDDOWN(MIN(IF(OR(ISBLANK(I77),I77=""),EOMONTH(DATE(EINSTELLUNG!$C$35,$A$1,1),0),I77)-MAX(D77,DATE(EINSTELLUNG!$C$35,$A$1,1))+1)/DAY(EOMONTH(DATE(EINSTELLUNG!$C$35,$A$1,1),0))*F77,2),"")</f>
        <v/>
      </c>
      <c r="I77" s="186"/>
      <c r="J77" s="187"/>
      <c r="K77" s="364" t="str">
        <f t="shared" si="3"/>
        <v/>
      </c>
      <c r="L77" s="366"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88"/>
      <c r="N77" s="189"/>
    </row>
    <row r="78" spans="1:14" ht="21.95" customHeight="1" x14ac:dyDescent="0.35">
      <c r="A78" s="363" t="s">
        <v>149</v>
      </c>
      <c r="B78" s="152"/>
      <c r="C78" s="153"/>
      <c r="D78" s="158"/>
      <c r="E78" s="155"/>
      <c r="F78" s="156"/>
      <c r="G78" s="364" t="str">
        <f>IF(OR(E78="",F78=""),"",PID_KVLohnLookup($A$1,E78,F78,LOHNTABELLE!$H$4))</f>
        <v/>
      </c>
      <c r="H78" s="365" t="str">
        <f>IF(AND(ISNUMBER(D78),ISNUMBER(F78)),ROUNDDOWN(MIN(IF(OR(ISBLANK(I78),I78=""),EOMONTH(DATE(EINSTELLUNG!$C$35,$A$1,1),0),I78)-MAX(D78,DATE(EINSTELLUNG!$C$35,$A$1,1))+1)/DAY(EOMONTH(DATE(EINSTELLUNG!$C$35,$A$1,1),0))*F78,2),"")</f>
        <v/>
      </c>
      <c r="I78" s="158"/>
      <c r="J78" s="165"/>
      <c r="K78" s="364" t="str">
        <f t="shared" si="3"/>
        <v/>
      </c>
      <c r="L78" s="366"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167"/>
      <c r="N78" s="168"/>
    </row>
    <row r="79" spans="1:14" ht="21.95" customHeight="1" x14ac:dyDescent="0.35">
      <c r="A79" s="363" t="s">
        <v>150</v>
      </c>
      <c r="B79" s="181"/>
      <c r="C79" s="182"/>
      <c r="D79" s="186"/>
      <c r="E79" s="184"/>
      <c r="F79" s="190"/>
      <c r="G79" s="364" t="str">
        <f>IF(OR(E79="",F79=""),"",PID_KVLohnLookup($A$1,E79,F79,LOHNTABELLE!$H$4))</f>
        <v/>
      </c>
      <c r="H79" s="365" t="str">
        <f>IF(AND(ISNUMBER(D79),ISNUMBER(F79)),ROUNDDOWN(MIN(IF(OR(ISBLANK(I79),I79=""),EOMONTH(DATE(EINSTELLUNG!$C$35,$A$1,1),0),I79)-MAX(D79,DATE(EINSTELLUNG!$C$35,$A$1,1))+1)/DAY(EOMONTH(DATE(EINSTELLUNG!$C$35,$A$1,1),0))*F79,2),"")</f>
        <v/>
      </c>
      <c r="I79" s="186"/>
      <c r="J79" s="187"/>
      <c r="K79" s="364" t="str">
        <f t="shared" si="3"/>
        <v/>
      </c>
      <c r="L79" s="366"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88"/>
      <c r="N79" s="189"/>
    </row>
    <row r="80" spans="1:14" ht="21.95" customHeight="1" x14ac:dyDescent="0.35">
      <c r="A80" s="363" t="s">
        <v>151</v>
      </c>
      <c r="B80" s="152"/>
      <c r="C80" s="153"/>
      <c r="D80" s="158"/>
      <c r="E80" s="155"/>
      <c r="F80" s="156"/>
      <c r="G80" s="364" t="str">
        <f>IF(OR(E80="",F80=""),"",PID_KVLohnLookup($A$1,E80,F80,LOHNTABELLE!$H$4))</f>
        <v/>
      </c>
      <c r="H80" s="365" t="str">
        <f>IF(AND(ISNUMBER(D80),ISNUMBER(F80)),ROUNDDOWN(MIN(IF(OR(ISBLANK(I80),I80=""),EOMONTH(DATE(EINSTELLUNG!$C$35,$A$1,1),0),I80)-MAX(D80,DATE(EINSTELLUNG!$C$35,$A$1,1))+1)/DAY(EOMONTH(DATE(EINSTELLUNG!$C$35,$A$1,1),0))*F80,2),"")</f>
        <v/>
      </c>
      <c r="I80" s="158"/>
      <c r="J80" s="165"/>
      <c r="K80" s="364" t="str">
        <f t="shared" si="3"/>
        <v/>
      </c>
      <c r="L80" s="366"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167"/>
      <c r="N80" s="168"/>
    </row>
    <row r="81" spans="1:14" ht="21.95" customHeight="1" x14ac:dyDescent="0.35">
      <c r="A81" s="363" t="s">
        <v>152</v>
      </c>
      <c r="B81" s="181"/>
      <c r="C81" s="182"/>
      <c r="D81" s="186"/>
      <c r="E81" s="184"/>
      <c r="F81" s="190"/>
      <c r="G81" s="364" t="str">
        <f>IF(OR(E81="",F81=""),"",PID_KVLohnLookup($A$1,E81,F81,LOHNTABELLE!$H$4))</f>
        <v/>
      </c>
      <c r="H81" s="365" t="str">
        <f>IF(AND(ISNUMBER(D81),ISNUMBER(F81)),ROUNDDOWN(MIN(IF(OR(ISBLANK(I81),I81=""),EOMONTH(DATE(EINSTELLUNG!$C$35,$A$1,1),0),I81)-MAX(D81,DATE(EINSTELLUNG!$C$35,$A$1,1))+1)/DAY(EOMONTH(DATE(EINSTELLUNG!$C$35,$A$1,1),0))*F81,2),"")</f>
        <v/>
      </c>
      <c r="I81" s="186"/>
      <c r="J81" s="187"/>
      <c r="K81" s="364" t="str">
        <f t="shared" si="3"/>
        <v/>
      </c>
      <c r="L81" s="366"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88"/>
      <c r="N81" s="189"/>
    </row>
    <row r="82" spans="1:14" ht="21.95" customHeight="1" thickBot="1" x14ac:dyDescent="0.4">
      <c r="A82" s="423" t="s">
        <v>153</v>
      </c>
      <c r="B82" s="160"/>
      <c r="C82" s="161"/>
      <c r="D82" s="162"/>
      <c r="E82" s="163"/>
      <c r="F82" s="164"/>
      <c r="G82" s="424" t="str">
        <f>IF(OR(E82="",F82=""),"",PID_KVLohnLookup($A$1,E82,F82,LOHNTABELLE!$H$4))</f>
        <v/>
      </c>
      <c r="H82" s="425" t="str">
        <f>IF(AND(ISNUMBER(D82),ISNUMBER(F82)),ROUNDDOWN(MIN(IF(OR(ISBLANK(I82),I82=""),EOMONTH(DATE(EINSTELLUNG!$C$35,$A$1,1),0),I82)-MAX(D82,DATE(EINSTELLUNG!$C$35,$A$1,1))+1)/DAY(EOMONTH(DATE(EINSTELLUNG!$C$35,$A$1,1),0))*F82,2),"")</f>
        <v/>
      </c>
      <c r="I82" s="162"/>
      <c r="J82" s="166"/>
      <c r="K82" s="424" t="str">
        <f t="shared" si="3"/>
        <v/>
      </c>
      <c r="L82" s="42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71"/>
      <c r="N82" s="172"/>
    </row>
    <row r="83" spans="1:14" ht="15.95" customHeight="1" x14ac:dyDescent="0.3">
      <c r="A83" s="462"/>
      <c r="B83" s="462"/>
    </row>
    <row r="100" spans="26:26" ht="15.95" customHeight="1" x14ac:dyDescent="0.3">
      <c r="Z100" s="343"/>
    </row>
  </sheetData>
  <sheetProtection algorithmName="SHA-512" hashValue="uHKlMVcAyxUQgJ5JYMYYCrvrk7iqASDW10qOEtpmuWO4LDTL3/QgDynsZXRi8on/yOR9U+Yjx/rFd6b3Gmc/pg==" saltValue="Wq6FV0Db2dq6LoyKhtPbSw==" spinCount="100000" sheet="1" objects="1" scenarios="1"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CC83463-2F48-42CE-9922-8884F7345F60}">
          <x14:formula1>
            <xm:f>KV_DROPDOWN_HELPER!$AJY$1:$AJY$12</xm:f>
          </x14:formula1>
          <xm:sqref>E3:E82</xm:sqref>
        </x14:dataValidation>
        <x14:dataValidation type="list" allowBlank="1" showInputMessage="1" showErrorMessage="1" xr:uid="{FAC7BD55-BA27-40A4-A1DB-E0C1EACE9F22}">
          <x14:formula1>
            <xm:f>KV_DROPDOWN_HELPER!$UO$1:$UO$13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40625" defaultRowHeight="15.95" customHeight="1" x14ac:dyDescent="0.3"/>
  <cols>
    <col min="1" max="1" width="4.42578125" style="427" customWidth="1"/>
    <col min="2" max="2" width="9.140625" style="427" customWidth="1"/>
    <col min="3" max="3" width="35.5703125" style="263" customWidth="1"/>
    <col min="4" max="4" width="13.5703125" style="263" customWidth="1"/>
    <col min="5" max="5" width="9.5703125" style="263" customWidth="1"/>
    <col min="6" max="6" width="10.5703125" style="263" customWidth="1"/>
    <col min="7" max="7" width="13.5703125" style="263" customWidth="1"/>
    <col min="8" max="8" width="11.5703125" style="263" customWidth="1"/>
    <col min="9" max="10" width="13.5703125" style="263" customWidth="1"/>
    <col min="11" max="11" width="14.5703125" style="263" customWidth="1"/>
    <col min="12" max="12" width="14.5703125" style="389" customWidth="1"/>
    <col min="13" max="13" width="17.85546875" style="263" customWidth="1"/>
    <col min="14" max="14" width="34.5703125" style="263" customWidth="1"/>
    <col min="15" max="15" width="12.5703125" style="263" customWidth="1"/>
    <col min="16" max="16" width="16.5703125" style="263" customWidth="1"/>
    <col min="17" max="17" width="14.5703125" style="263" customWidth="1"/>
    <col min="18" max="18" width="13.5703125" style="263" customWidth="1"/>
    <col min="19" max="19" width="9.5703125" style="263" customWidth="1"/>
    <col min="20" max="20" width="10.5703125" style="263" customWidth="1"/>
    <col min="21" max="21" width="7.5703125" style="263" customWidth="1"/>
    <col min="22" max="27" width="9.140625" style="263"/>
    <col min="28" max="28" width="10.5703125" style="263" bestFit="1" customWidth="1"/>
    <col min="29" max="16384" width="9.140625" style="263"/>
  </cols>
  <sheetData>
    <row r="1" spans="1:28" ht="18" customHeight="1" x14ac:dyDescent="0.3">
      <c r="A1" s="344">
        <v>9</v>
      </c>
      <c r="B1" s="345" t="s">
        <v>179</v>
      </c>
      <c r="C1" s="346" t="s">
        <v>39</v>
      </c>
      <c r="D1" s="346" t="s">
        <v>180</v>
      </c>
      <c r="E1" s="346" t="s">
        <v>0</v>
      </c>
      <c r="F1" s="346" t="s">
        <v>40</v>
      </c>
      <c r="G1" s="346" t="s">
        <v>41</v>
      </c>
      <c r="H1" s="346" t="s">
        <v>42</v>
      </c>
      <c r="I1" s="346" t="s">
        <v>181</v>
      </c>
      <c r="J1" s="346" t="s">
        <v>43</v>
      </c>
      <c r="K1" s="346" t="s">
        <v>44</v>
      </c>
      <c r="L1" s="346" t="s">
        <v>45</v>
      </c>
      <c r="M1" s="346" t="s">
        <v>46</v>
      </c>
      <c r="N1" s="347" t="s">
        <v>182</v>
      </c>
      <c r="AB1" s="348">
        <f>DATE(EINSTELLUNG!$C$35,$A$1,1)</f>
        <v>46266</v>
      </c>
    </row>
    <row r="2" spans="1:28" ht="18" customHeight="1" thickBot="1" x14ac:dyDescent="0.35">
      <c r="A2" s="349"/>
      <c r="B2" s="350"/>
      <c r="C2" s="351"/>
      <c r="D2" s="351"/>
      <c r="E2" s="351"/>
      <c r="F2" s="351"/>
      <c r="G2" s="351"/>
      <c r="H2" s="351"/>
      <c r="I2" s="351"/>
      <c r="J2" s="351"/>
      <c r="K2" s="351"/>
      <c r="L2" s="351"/>
      <c r="M2" s="351"/>
      <c r="N2" s="352"/>
      <c r="O2" s="353"/>
      <c r="P2" s="353"/>
      <c r="Q2" s="353"/>
      <c r="S2" s="354" t="s">
        <v>291</v>
      </c>
      <c r="T2" s="354"/>
      <c r="U2" s="354"/>
      <c r="V2" s="354"/>
      <c r="AB2" s="348">
        <f>EOMONTH(DATE(EINSTELLUNG!$C$35,$A$1,1),0)</f>
        <v>46295</v>
      </c>
    </row>
    <row r="3" spans="1:28" ht="21.95" customHeight="1" x14ac:dyDescent="0.35">
      <c r="A3" s="355" t="s">
        <v>292</v>
      </c>
      <c r="B3" s="173">
        <v>21867</v>
      </c>
      <c r="C3" s="151" t="s">
        <v>385</v>
      </c>
      <c r="D3" s="177">
        <v>46023</v>
      </c>
      <c r="E3" s="175" t="s">
        <v>2</v>
      </c>
      <c r="F3" s="176">
        <v>173</v>
      </c>
      <c r="G3" s="356">
        <f>IF(OR(E3="",F3=""),"",PID_KVLohnLookup($A$1,E3,F3,LOHNTABELLE!$H$4))</f>
        <v>2100</v>
      </c>
      <c r="H3" s="357">
        <f>IF(AND(ISNUMBER(D3),ISNUMBER(F3)),ROUNDDOWN(MIN(IF(OR(ISBLANK(I3),I3=""),EOMONTH(DATE(EINSTELLUNG!$C$35,$A$1,1),0),I3)-MAX(D3,DATE(EINSTELLUNG!$C$35,$A$1,1))+1)/DAY(EOMONTH(DATE(EINSTELLUNG!$C$35,$A$1,1),0))*F3,2),"")</f>
        <v>173</v>
      </c>
      <c r="I3" s="177"/>
      <c r="J3" s="178"/>
      <c r="K3" s="356">
        <f t="shared" ref="K3:K34" si="0">IF(OR(B3="",C3=""),"",IFERROR(IF(OR(MONTH(D3)=1,MONTH(D3)=3,MONTH(D3)=5,MONTH(D3)=7,MONTH(D3)=8,MONTH(D3)=10,MONTH(D3)=12),(G3/31)*J3,IF(OR(MONTH(D3)=4,MONTH(D3)=6,MONTH(D3)=9,MONTH(D3)=11),(G3/30)*J3,(G3/DAY(EOMONTH(D3,0)))*J3)),0))</f>
        <v>0</v>
      </c>
      <c r="L3" s="35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2100</v>
      </c>
      <c r="M3" s="179"/>
      <c r="N3" s="180"/>
      <c r="O3" s="359" t="s">
        <v>47</v>
      </c>
      <c r="P3" s="359" t="s">
        <v>48</v>
      </c>
      <c r="Q3" s="359" t="s">
        <v>49</v>
      </c>
      <c r="R3" s="360" t="s">
        <v>50</v>
      </c>
      <c r="S3" s="361"/>
      <c r="T3" s="361"/>
      <c r="U3" s="361"/>
      <c r="V3" s="361"/>
      <c r="AB3" s="362"/>
    </row>
    <row r="4" spans="1:28" ht="21.95" customHeight="1" x14ac:dyDescent="0.35">
      <c r="A4" s="363" t="s">
        <v>51</v>
      </c>
      <c r="B4" s="152">
        <v>221340</v>
      </c>
      <c r="C4" s="153" t="s">
        <v>333</v>
      </c>
      <c r="D4" s="154">
        <v>32994</v>
      </c>
      <c r="E4" s="155" t="s">
        <v>2</v>
      </c>
      <c r="F4" s="156">
        <v>151.38</v>
      </c>
      <c r="G4" s="364">
        <f>IF(OR(E4="",F4=""),"",PID_KVLohnLookup($A$1,E4,F4,LOHNTABELLE!$H$4))</f>
        <v>1768.38</v>
      </c>
      <c r="H4" s="365">
        <f>IF(AND(ISNUMBER(D4),ISNUMBER(F4)),ROUNDDOWN(MIN(IF(OR(ISBLANK(I4),I4=""),EOMONTH(DATE(EINSTELLUNG!$C$35,$A$1,1),0),I4)-MAX(D4,DATE(EINSTELLUNG!$C$35,$A$1,1))+1)/DAY(EOMONTH(DATE(EINSTELLUNG!$C$35,$A$1,1),0))*F4,2),"")</f>
        <v>151.38</v>
      </c>
      <c r="I4" s="158"/>
      <c r="J4" s="165"/>
      <c r="K4" s="364">
        <f t="shared" si="0"/>
        <v>0</v>
      </c>
      <c r="L4" s="366">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1768.38</v>
      </c>
      <c r="M4" s="167"/>
      <c r="N4" s="168"/>
      <c r="O4" s="367"/>
      <c r="P4" s="367"/>
      <c r="Q4" s="367"/>
      <c r="R4" s="368"/>
      <c r="S4" s="361"/>
      <c r="T4" s="361"/>
      <c r="U4" s="361"/>
      <c r="V4" s="361"/>
    </row>
    <row r="5" spans="1:28" ht="21.95" customHeight="1" x14ac:dyDescent="0.35">
      <c r="A5" s="363" t="s">
        <v>52</v>
      </c>
      <c r="B5" s="181"/>
      <c r="C5" s="182"/>
      <c r="D5" s="183"/>
      <c r="E5" s="184"/>
      <c r="F5" s="190"/>
      <c r="G5" s="364" t="str">
        <f>IF(OR(E5="",F5=""),"",PID_KVLohnLookup($A$1,E5,F5,LOHNTABELLE!$H$4))</f>
        <v/>
      </c>
      <c r="H5" s="365" t="str">
        <f>IF(AND(ISNUMBER(D5),ISNUMBER(F5)),ROUNDDOWN(MIN(IF(OR(ISBLANK(I5),I5=""),EOMONTH(DATE(EINSTELLUNG!$C$35,$A$1,1),0),I5)-MAX(D5,DATE(EINSTELLUNG!$C$35,$A$1,1))+1)/DAY(EOMONTH(DATE(EINSTELLUNG!$C$35,$A$1,1),0))*F5,2),"")</f>
        <v/>
      </c>
      <c r="I5" s="186"/>
      <c r="J5" s="187"/>
      <c r="K5" s="364" t="str">
        <f t="shared" si="0"/>
        <v/>
      </c>
      <c r="L5" s="366"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188"/>
      <c r="N5" s="189"/>
      <c r="O5" s="369" cm="1">
        <f t="array" ref="O5">SUMPRODUCT((F3:F82/4.310808)/5*2.08)</f>
        <v>31.303198843465079</v>
      </c>
      <c r="P5" s="370">
        <f>EINSTELLUNG!I14</f>
        <v>0</v>
      </c>
      <c r="Q5" s="370">
        <f>P5-O5</f>
        <v>-31.303198843465079</v>
      </c>
      <c r="R5" s="371">
        <f>IFERROR(Q5*Q42, 0)</f>
        <v>-373.30497670042377</v>
      </c>
      <c r="S5" s="361"/>
      <c r="T5" s="361"/>
      <c r="U5" s="361"/>
      <c r="V5" s="361"/>
    </row>
    <row r="6" spans="1:28" ht="21.95" customHeight="1" x14ac:dyDescent="0.35">
      <c r="A6" s="363" t="s">
        <v>53</v>
      </c>
      <c r="B6" s="152"/>
      <c r="C6" s="153"/>
      <c r="D6" s="154"/>
      <c r="E6" s="155"/>
      <c r="F6" s="156"/>
      <c r="G6" s="364" t="str">
        <f>IF(OR(E6="",F6=""),"",PID_KVLohnLookup($A$1,E6,F6,LOHNTABELLE!$H$4))</f>
        <v/>
      </c>
      <c r="H6" s="365" t="str">
        <f>IF(AND(ISNUMBER(D6),ISNUMBER(F6)),ROUNDDOWN(MIN(IF(OR(ISBLANK(I6),I6=""),EOMONTH(DATE(EINSTELLUNG!$C$35,$A$1,1),0),I6)-MAX(D6,DATE(EINSTELLUNG!$C$35,$A$1,1))+1)/DAY(EOMONTH(DATE(EINSTELLUNG!$C$35,$A$1,1),0))*F6,2),"")</f>
        <v/>
      </c>
      <c r="I6" s="158"/>
      <c r="J6" s="165"/>
      <c r="K6" s="364" t="str">
        <f t="shared" si="0"/>
        <v/>
      </c>
      <c r="L6" s="366"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167"/>
      <c r="N6" s="168"/>
      <c r="O6" s="372" t="str">
        <f>IF(Q5&lt;0, "Schlecht! Zu wenig Urlaub abgebaut.", IF(Q5&gt;0, "Gut! Mehr Urlaub abgebaut als aufgebaut.", ""))</f>
        <v>Schlecht! Zu wenig Urlaub abgebaut.</v>
      </c>
      <c r="P6" s="373"/>
      <c r="Q6" s="373"/>
      <c r="R6" s="374"/>
      <c r="S6" s="361"/>
      <c r="T6" s="361"/>
      <c r="U6" s="361"/>
      <c r="V6" s="361"/>
    </row>
    <row r="7" spans="1:28" ht="21.95" customHeight="1" thickBot="1" x14ac:dyDescent="0.4">
      <c r="A7" s="363" t="s">
        <v>54</v>
      </c>
      <c r="B7" s="181"/>
      <c r="C7" s="182"/>
      <c r="D7" s="183"/>
      <c r="E7" s="184"/>
      <c r="F7" s="190"/>
      <c r="G7" s="364" t="str">
        <f>IF(OR(E7="",F7=""),"",PID_KVLohnLookup($A$1,E7,F7,LOHNTABELLE!$H$4))</f>
        <v/>
      </c>
      <c r="H7" s="365" t="str">
        <f>IF(AND(ISNUMBER(D7),ISNUMBER(F7)),ROUNDDOWN(MIN(IF(OR(ISBLANK(I7),I7=""),EOMONTH(DATE(EINSTELLUNG!$C$35,$A$1,1),0),I7)-MAX(D7,DATE(EINSTELLUNG!$C$35,$A$1,1))+1)/DAY(EOMONTH(DATE(EINSTELLUNG!$C$35,$A$1,1),0))*F7,2),"")</f>
        <v/>
      </c>
      <c r="I7" s="186"/>
      <c r="J7" s="187"/>
      <c r="K7" s="364" t="str">
        <f t="shared" si="0"/>
        <v/>
      </c>
      <c r="L7" s="366"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188"/>
      <c r="N7" s="189"/>
      <c r="O7" s="361"/>
      <c r="P7" s="361"/>
      <c r="Q7" s="361"/>
      <c r="R7" s="361"/>
      <c r="S7" s="361"/>
      <c r="T7" s="361"/>
      <c r="U7" s="361"/>
      <c r="V7" s="361"/>
    </row>
    <row r="8" spans="1:28" ht="21.95" customHeight="1" x14ac:dyDescent="0.35">
      <c r="A8" s="363" t="s">
        <v>55</v>
      </c>
      <c r="B8" s="152"/>
      <c r="C8" s="153"/>
      <c r="D8" s="154"/>
      <c r="E8" s="155"/>
      <c r="F8" s="156"/>
      <c r="G8" s="364" t="str">
        <f>IF(OR(E8="",F8=""),"",PID_KVLohnLookup($A$1,E8,F8,LOHNTABELLE!$H$4))</f>
        <v/>
      </c>
      <c r="H8" s="365" t="str">
        <f>IF(AND(ISNUMBER(D8),ISNUMBER(F8)),ROUNDDOWN(MIN(IF(OR(ISBLANK(I8),I8=""),EOMONTH(DATE(EINSTELLUNG!$C$35,$A$1,1),0),I8)-MAX(D8,DATE(EINSTELLUNG!$C$35,$A$1,1))+1)/DAY(EOMONTH(DATE(EINSTELLUNG!$C$35,$A$1,1),0))*F8,2),"")</f>
        <v/>
      </c>
      <c r="I8" s="158"/>
      <c r="J8" s="165"/>
      <c r="K8" s="364" t="str">
        <f t="shared" si="0"/>
        <v/>
      </c>
      <c r="L8" s="366"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167"/>
      <c r="N8" s="168"/>
      <c r="O8" s="375" t="s">
        <v>56</v>
      </c>
      <c r="P8" s="376"/>
      <c r="Q8" s="377">
        <f>SUM(H3:H82)</f>
        <v>324.38</v>
      </c>
      <c r="R8" s="378"/>
      <c r="S8" s="361"/>
      <c r="T8" s="361"/>
      <c r="U8" s="361"/>
      <c r="V8" s="361"/>
    </row>
    <row r="9" spans="1:28" ht="21.95" customHeight="1" x14ac:dyDescent="0.35">
      <c r="A9" s="363" t="s">
        <v>57</v>
      </c>
      <c r="B9" s="181"/>
      <c r="C9" s="182"/>
      <c r="D9" s="183"/>
      <c r="E9" s="184"/>
      <c r="F9" s="190"/>
      <c r="G9" s="364" t="str">
        <f>IF(OR(E9="",F9=""),"",PID_KVLohnLookup($A$1,E9,F9,LOHNTABELLE!$H$4))</f>
        <v/>
      </c>
      <c r="H9" s="365" t="str">
        <f>IF(AND(ISNUMBER(D9),ISNUMBER(F9)),ROUNDDOWN(MIN(IF(OR(ISBLANK(I9),I9=""),EOMONTH(DATE(EINSTELLUNG!$C$35,$A$1,1),0),I9)-MAX(D9,DATE(EINSTELLUNG!$C$35,$A$1,1))+1)/DAY(EOMONTH(DATE(EINSTELLUNG!$C$35,$A$1,1),0))*F9,2),"")</f>
        <v/>
      </c>
      <c r="I9" s="186"/>
      <c r="J9" s="187"/>
      <c r="K9" s="364" t="str">
        <f t="shared" si="0"/>
        <v/>
      </c>
      <c r="L9" s="366"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188"/>
      <c r="N9" s="189"/>
      <c r="O9" s="379" t="s">
        <v>58</v>
      </c>
      <c r="P9" s="380"/>
      <c r="Q9" s="381">
        <f>EINSTELLUNG!L30</f>
        <v>0</v>
      </c>
      <c r="R9" s="382"/>
      <c r="S9" s="383">
        <f>IFERROR(Q9/Q8, 0)</f>
        <v>0</v>
      </c>
      <c r="T9" s="361"/>
      <c r="U9" s="361"/>
      <c r="V9" s="361"/>
    </row>
    <row r="10" spans="1:28" ht="21.95" customHeight="1" x14ac:dyDescent="0.35">
      <c r="A10" s="363" t="s">
        <v>59</v>
      </c>
      <c r="B10" s="152"/>
      <c r="C10" s="153"/>
      <c r="D10" s="154"/>
      <c r="E10" s="155"/>
      <c r="F10" s="156"/>
      <c r="G10" s="364" t="str">
        <f>IF(OR(E10="",F10=""),"",PID_KVLohnLookup($A$1,E10,F10,LOHNTABELLE!$H$4))</f>
        <v/>
      </c>
      <c r="H10" s="365" t="str">
        <f>IF(AND(ISNUMBER(D10),ISNUMBER(F10)),ROUNDDOWN(MIN(IF(OR(ISBLANK(I10),I10=""),EOMONTH(DATE(EINSTELLUNG!$C$35,$A$1,1),0),I10)-MAX(D10,DATE(EINSTELLUNG!$C$35,$A$1,1))+1)/DAY(EOMONTH(DATE(EINSTELLUNG!$C$35,$A$1,1),0))*F10,2),"")</f>
        <v/>
      </c>
      <c r="I10" s="158"/>
      <c r="J10" s="165"/>
      <c r="K10" s="364" t="str">
        <f t="shared" si="0"/>
        <v/>
      </c>
      <c r="L10" s="366"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167"/>
      <c r="N10" s="168"/>
      <c r="O10" s="379" t="s">
        <v>60</v>
      </c>
      <c r="P10" s="380"/>
      <c r="Q10" s="381">
        <f>EINSTELLUNG!I30</f>
        <v>0</v>
      </c>
      <c r="R10" s="382"/>
      <c r="S10" s="361"/>
      <c r="T10" s="361"/>
      <c r="U10" s="361"/>
      <c r="V10" s="361"/>
    </row>
    <row r="11" spans="1:28" ht="21.95" customHeight="1" x14ac:dyDescent="0.35">
      <c r="A11" s="363" t="s">
        <v>61</v>
      </c>
      <c r="B11" s="181"/>
      <c r="C11" s="182"/>
      <c r="D11" s="183"/>
      <c r="E11" s="184"/>
      <c r="F11" s="190"/>
      <c r="G11" s="364" t="str">
        <f>IF(OR(E11="",F11=""),"",PID_KVLohnLookup($A$1,E11,F11,LOHNTABELLE!$H$4))</f>
        <v/>
      </c>
      <c r="H11" s="365" t="str">
        <f>IF(AND(ISNUMBER(D11),ISNUMBER(F11)),ROUNDDOWN(MIN(IF(OR(ISBLANK(I11),I11=""),EOMONTH(DATE(EINSTELLUNG!$C$35,$A$1,1),0),I11)-MAX(D11,DATE(EINSTELLUNG!$C$35,$A$1,1))+1)/DAY(EOMONTH(DATE(EINSTELLUNG!$C$35,$A$1,1),0))*F11,2),"")</f>
        <v/>
      </c>
      <c r="I11" s="186"/>
      <c r="J11" s="187"/>
      <c r="K11" s="364" t="str">
        <f t="shared" si="0"/>
        <v/>
      </c>
      <c r="L11" s="366"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188"/>
      <c r="N11" s="189"/>
      <c r="O11" s="379" t="s">
        <v>62</v>
      </c>
      <c r="P11" s="380"/>
      <c r="Q11" s="381">
        <f>P5</f>
        <v>0</v>
      </c>
      <c r="R11" s="382"/>
      <c r="S11" s="361"/>
      <c r="T11" s="361"/>
      <c r="U11" s="361"/>
      <c r="V11" s="361"/>
    </row>
    <row r="12" spans="1:28" ht="21.95" customHeight="1" x14ac:dyDescent="0.35">
      <c r="A12" s="363" t="s">
        <v>63</v>
      </c>
      <c r="B12" s="152"/>
      <c r="C12" s="153"/>
      <c r="D12" s="154"/>
      <c r="E12" s="155"/>
      <c r="F12" s="157"/>
      <c r="G12" s="364" t="str">
        <f>IF(OR(E12="",F12=""),"",PID_KVLohnLookup($A$1,E12,F12,LOHNTABELLE!$H$4))</f>
        <v/>
      </c>
      <c r="H12" s="365" t="str">
        <f>IF(AND(ISNUMBER(D12),ISNUMBER(F12)),ROUNDDOWN(MIN(IF(OR(ISBLANK(I12),I12=""),EOMONTH(DATE(EINSTELLUNG!$C$35,$A$1,1),0),I12)-MAX(D12,DATE(EINSTELLUNG!$C$35,$A$1,1))+1)/DAY(EOMONTH(DATE(EINSTELLUNG!$C$35,$A$1,1),0))*F12,2),"")</f>
        <v/>
      </c>
      <c r="I12" s="158"/>
      <c r="J12" s="165"/>
      <c r="K12" s="364" t="str">
        <f t="shared" si="0"/>
        <v/>
      </c>
      <c r="L12" s="366"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167"/>
      <c r="N12" s="168"/>
      <c r="O12" s="379" t="s">
        <v>64</v>
      </c>
      <c r="P12" s="380"/>
      <c r="Q12" s="199"/>
      <c r="R12" s="200"/>
      <c r="S12" s="361"/>
      <c r="T12" s="361"/>
      <c r="U12" s="361"/>
      <c r="V12" s="361"/>
    </row>
    <row r="13" spans="1:28" ht="21.95" customHeight="1" x14ac:dyDescent="0.35">
      <c r="A13" s="363" t="s">
        <v>65</v>
      </c>
      <c r="B13" s="181"/>
      <c r="C13" s="182"/>
      <c r="D13" s="183"/>
      <c r="E13" s="184"/>
      <c r="F13" s="190"/>
      <c r="G13" s="364" t="str">
        <f>IF(OR(E13="",F13=""),"",PID_KVLohnLookup($A$1,E13,F13,LOHNTABELLE!$H$4))</f>
        <v/>
      </c>
      <c r="H13" s="365" t="str">
        <f>IF(AND(ISNUMBER(D13),ISNUMBER(F13)),ROUNDDOWN(MIN(IF(OR(ISBLANK(I13),I13=""),EOMONTH(DATE(EINSTELLUNG!$C$35,$A$1,1),0),I13)-MAX(D13,DATE(EINSTELLUNG!$C$35,$A$1,1))+1)/DAY(EOMONTH(DATE(EINSTELLUNG!$C$35,$A$1,1),0))*F13,2),"")</f>
        <v/>
      </c>
      <c r="I13" s="186"/>
      <c r="J13" s="187"/>
      <c r="K13" s="364" t="str">
        <f t="shared" si="0"/>
        <v/>
      </c>
      <c r="L13" s="366"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188"/>
      <c r="N13" s="189"/>
      <c r="O13" s="379" t="s">
        <v>66</v>
      </c>
      <c r="P13" s="380"/>
      <c r="Q13" s="381">
        <f>Q8-Q9-Q10-Q11-Q12</f>
        <v>324.38</v>
      </c>
      <c r="R13" s="382"/>
      <c r="S13" s="361"/>
      <c r="T13" s="361"/>
      <c r="U13" s="361"/>
      <c r="V13" s="361"/>
    </row>
    <row r="14" spans="1:28" ht="21.95" customHeight="1" x14ac:dyDescent="0.35">
      <c r="A14" s="363" t="s">
        <v>67</v>
      </c>
      <c r="B14" s="152"/>
      <c r="C14" s="153"/>
      <c r="D14" s="154"/>
      <c r="E14" s="155"/>
      <c r="F14" s="156"/>
      <c r="G14" s="364" t="str">
        <f>IF(OR(E14="",F14=""),"",PID_KVLohnLookup($A$1,E14,F14,LOHNTABELLE!$H$4))</f>
        <v/>
      </c>
      <c r="H14" s="365" t="str">
        <f>IF(AND(ISNUMBER(D14),ISNUMBER(F14)),ROUNDDOWN(MIN(IF(OR(ISBLANK(I14),I14=""),EOMONTH(DATE(EINSTELLUNG!$C$35,$A$1,1),0),I14)-MAX(D14,DATE(EINSTELLUNG!$C$35,$A$1,1))+1)/DAY(EOMONTH(DATE(EINSTELLUNG!$C$35,$A$1,1),0))*F14,2),"")</f>
        <v/>
      </c>
      <c r="I14" s="158"/>
      <c r="J14" s="165"/>
      <c r="K14" s="364" t="str">
        <f t="shared" si="0"/>
        <v/>
      </c>
      <c r="L14" s="366"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167"/>
      <c r="N14" s="168"/>
      <c r="O14" s="379" t="s">
        <v>68</v>
      </c>
      <c r="P14" s="380"/>
      <c r="Q14" s="381">
        <f>EINSTELLUNG!L14</f>
        <v>0</v>
      </c>
      <c r="R14" s="382"/>
      <c r="S14" s="361"/>
      <c r="T14" s="361"/>
      <c r="U14" s="361"/>
      <c r="V14" s="361"/>
    </row>
    <row r="15" spans="1:28" ht="21.95" customHeight="1" x14ac:dyDescent="0.35">
      <c r="A15" s="363" t="s">
        <v>69</v>
      </c>
      <c r="B15" s="181"/>
      <c r="C15" s="182"/>
      <c r="D15" s="186"/>
      <c r="E15" s="184"/>
      <c r="F15" s="190"/>
      <c r="G15" s="364" t="str">
        <f>IF(OR(E15="",F15=""),"",PID_KVLohnLookup($A$1,E15,F15,LOHNTABELLE!$H$4))</f>
        <v/>
      </c>
      <c r="H15" s="365" t="str">
        <f>IF(AND(ISNUMBER(D15),ISNUMBER(F15)),ROUNDDOWN(MIN(IF(OR(ISBLANK(I15),I15=""),EOMONTH(DATE(EINSTELLUNG!$C$35,$A$1,1),0),I15)-MAX(D15,DATE(EINSTELLUNG!$C$35,$A$1,1))+1)/DAY(EOMONTH(DATE(EINSTELLUNG!$C$35,$A$1,1),0))*F15,2),"")</f>
        <v/>
      </c>
      <c r="I15" s="186"/>
      <c r="J15" s="187"/>
      <c r="K15" s="364" t="str">
        <f t="shared" si="0"/>
        <v/>
      </c>
      <c r="L15" s="366"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188"/>
      <c r="N15" s="189"/>
      <c r="O15" s="379" t="s">
        <v>70</v>
      </c>
      <c r="P15" s="380"/>
      <c r="Q15" s="381">
        <f>Q13-Q14</f>
        <v>324.38</v>
      </c>
      <c r="R15" s="382"/>
      <c r="S15" s="384"/>
      <c r="T15" s="384"/>
      <c r="U15" s="384"/>
      <c r="V15" s="361"/>
    </row>
    <row r="16" spans="1:28" ht="18" customHeight="1" thickBot="1" x14ac:dyDescent="0.4">
      <c r="A16" s="363" t="s">
        <v>71</v>
      </c>
      <c r="B16" s="152"/>
      <c r="C16" s="153"/>
      <c r="D16" s="154"/>
      <c r="E16" s="155"/>
      <c r="F16" s="156"/>
      <c r="G16" s="364" t="str">
        <f>IF(OR(E16="",F16=""),"",PID_KVLohnLookup($A$1,E16,F16,LOHNTABELLE!$H$4))</f>
        <v/>
      </c>
      <c r="H16" s="365" t="str">
        <f>IF(AND(ISNUMBER(D16),ISNUMBER(F16)),ROUNDDOWN(MIN(IF(OR(ISBLANK(I16),I16=""),EOMONTH(DATE(EINSTELLUNG!$C$35,$A$1,1),0),I16)-MAX(D16,DATE(EINSTELLUNG!$C$35,$A$1,1))+1)/DAY(EOMONTH(DATE(EINSTELLUNG!$C$35,$A$1,1),0))*F16,2),"")</f>
        <v/>
      </c>
      <c r="I16" s="158"/>
      <c r="J16" s="165"/>
      <c r="K16" s="364" t="str">
        <f t="shared" si="0"/>
        <v/>
      </c>
      <c r="L16" s="366"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167"/>
      <c r="N16" s="168"/>
      <c r="O16" s="385" t="str">
        <f>IF(Q15&lt;0, "Schlecht! Zu wenig Stunden für Dienstplan.", IF(Q15&gt;0, "Du hast mehr als genug Stunden für Dienstplan.", ""))</f>
        <v>Du hast mehr als genug Stunden für Dienstplan.</v>
      </c>
      <c r="P16" s="386"/>
      <c r="Q16" s="386"/>
      <c r="R16" s="387"/>
      <c r="S16" s="388"/>
      <c r="T16" s="388"/>
      <c r="U16" s="388"/>
      <c r="V16" s="388"/>
      <c r="W16" s="389"/>
    </row>
    <row r="17" spans="1:29" ht="21.95" customHeight="1" x14ac:dyDescent="0.35">
      <c r="A17" s="363" t="s">
        <v>72</v>
      </c>
      <c r="B17" s="181"/>
      <c r="C17" s="182"/>
      <c r="D17" s="186"/>
      <c r="E17" s="184"/>
      <c r="F17" s="190"/>
      <c r="G17" s="364" t="str">
        <f>IF(OR(E17="",F17=""),"",PID_KVLohnLookup($A$1,E17,F17,LOHNTABELLE!$H$4))</f>
        <v/>
      </c>
      <c r="H17" s="365" t="str">
        <f>IF(AND(ISNUMBER(D17),ISNUMBER(F17)),ROUNDDOWN(MIN(IF(OR(ISBLANK(I17),I17=""),EOMONTH(DATE(EINSTELLUNG!$C$35,$A$1,1),0),I17)-MAX(D17,DATE(EINSTELLUNG!$C$35,$A$1,1))+1)/DAY(EOMONTH(DATE(EINSTELLUNG!$C$35,$A$1,1),0))*F17,2),"")</f>
        <v/>
      </c>
      <c r="I17" s="186"/>
      <c r="J17" s="187"/>
      <c r="K17" s="364" t="str">
        <f t="shared" si="0"/>
        <v/>
      </c>
      <c r="L17" s="366"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188"/>
      <c r="N17" s="189"/>
      <c r="O17" s="375" t="s">
        <v>73</v>
      </c>
      <c r="P17" s="376"/>
      <c r="Q17" s="390">
        <f>SUM(L3:L82)</f>
        <v>3868.38</v>
      </c>
      <c r="R17" s="391"/>
      <c r="S17" s="361"/>
      <c r="T17" s="361"/>
      <c r="U17" s="361"/>
      <c r="V17" s="361"/>
      <c r="W17" s="389"/>
    </row>
    <row r="18" spans="1:29" ht="21.95" customHeight="1" x14ac:dyDescent="0.35">
      <c r="A18" s="363" t="s">
        <v>74</v>
      </c>
      <c r="B18" s="152"/>
      <c r="C18" s="153"/>
      <c r="D18" s="158"/>
      <c r="E18" s="155"/>
      <c r="F18" s="156"/>
      <c r="G18" s="364" t="str">
        <f>IF(OR(E18="",F18=""),"",PID_KVLohnLookup($A$1,E18,F18,LOHNTABELLE!$H$4))</f>
        <v/>
      </c>
      <c r="H18" s="365" t="str">
        <f>IF(AND(ISNUMBER(D18),ISNUMBER(F18)),ROUNDDOWN(MIN(IF(OR(ISBLANK(I18),I18=""),EOMONTH(DATE(EINSTELLUNG!$C$35,$A$1,1),0),I18)-MAX(D18,DATE(EINSTELLUNG!$C$35,$A$1,1))+1)/DAY(EOMONTH(DATE(EINSTELLUNG!$C$35,$A$1,1),0))*F18,2),"")</f>
        <v/>
      </c>
      <c r="I18" s="158"/>
      <c r="J18" s="165"/>
      <c r="K18" s="364" t="str">
        <f t="shared" si="0"/>
        <v/>
      </c>
      <c r="L18" s="366"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167"/>
      <c r="N18" s="168"/>
      <c r="O18" s="472"/>
      <c r="P18" s="196"/>
      <c r="Q18" s="197"/>
      <c r="R18" s="198"/>
      <c r="S18" s="361"/>
      <c r="T18" s="361"/>
      <c r="U18" s="361"/>
      <c r="V18" s="361"/>
    </row>
    <row r="19" spans="1:29" ht="21.95" customHeight="1" x14ac:dyDescent="0.35">
      <c r="A19" s="363" t="s">
        <v>75</v>
      </c>
      <c r="B19" s="181"/>
      <c r="C19" s="182"/>
      <c r="D19" s="186"/>
      <c r="E19" s="184"/>
      <c r="F19" s="190"/>
      <c r="G19" s="364" t="str">
        <f>IF(OR(E19="",F19=""),"",PID_KVLohnLookup($A$1,E19,F19,LOHNTABELLE!$H$4))</f>
        <v/>
      </c>
      <c r="H19" s="365" t="str">
        <f>IF(AND(ISNUMBER(D19),ISNUMBER(F19)),ROUNDDOWN(MIN(IF(OR(ISBLANK(I19),I19=""),EOMONTH(DATE(EINSTELLUNG!$C$35,$A$1,1),0),I19)-MAX(D19,DATE(EINSTELLUNG!$C$35,$A$1,1))+1)/DAY(EOMONTH(DATE(EINSTELLUNG!$C$35,$A$1,1),0))*F19,2),"")</f>
        <v/>
      </c>
      <c r="I19" s="186"/>
      <c r="J19" s="187"/>
      <c r="K19" s="364" t="str">
        <f t="shared" si="0"/>
        <v/>
      </c>
      <c r="L19" s="366"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188"/>
      <c r="N19" s="189"/>
      <c r="O19" s="472"/>
      <c r="P19" s="196"/>
      <c r="Q19" s="197"/>
      <c r="R19" s="198"/>
      <c r="S19" s="361"/>
      <c r="T19" s="361"/>
      <c r="U19" s="361"/>
      <c r="V19" s="361"/>
    </row>
    <row r="20" spans="1:29" ht="21.95" customHeight="1" x14ac:dyDescent="0.35">
      <c r="A20" s="363" t="s">
        <v>76</v>
      </c>
      <c r="B20" s="152"/>
      <c r="C20" s="153"/>
      <c r="D20" s="154"/>
      <c r="E20" s="155"/>
      <c r="F20" s="156"/>
      <c r="G20" s="364" t="str">
        <f>IF(OR(E20="",F20=""),"",PID_KVLohnLookup($A$1,E20,F20,LOHNTABELLE!$H$4))</f>
        <v/>
      </c>
      <c r="H20" s="365" t="str">
        <f>IF(AND(ISNUMBER(D20),ISNUMBER(F20)),ROUNDDOWN(MIN(IF(OR(ISBLANK(I20),I20=""),EOMONTH(DATE(EINSTELLUNG!$C$35,$A$1,1),0),I20)-MAX(D20,DATE(EINSTELLUNG!$C$35,$A$1,1))+1)/DAY(EOMONTH(DATE(EINSTELLUNG!$C$35,$A$1,1),0))*F20,2),"")</f>
        <v/>
      </c>
      <c r="I20" s="158"/>
      <c r="J20" s="165"/>
      <c r="K20" s="364" t="str">
        <f t="shared" si="0"/>
        <v/>
      </c>
      <c r="L20" s="366"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167"/>
      <c r="N20" s="168"/>
      <c r="O20" s="472"/>
      <c r="P20" s="196"/>
      <c r="Q20" s="197"/>
      <c r="R20" s="198"/>
      <c r="S20" s="361"/>
      <c r="T20" s="361"/>
      <c r="U20" s="361"/>
      <c r="V20" s="361"/>
    </row>
    <row r="21" spans="1:29" ht="21.95" customHeight="1" x14ac:dyDescent="0.35">
      <c r="A21" s="363" t="s">
        <v>77</v>
      </c>
      <c r="B21" s="181"/>
      <c r="C21" s="182"/>
      <c r="D21" s="186"/>
      <c r="E21" s="184"/>
      <c r="F21" s="190"/>
      <c r="G21" s="364" t="str">
        <f>IF(OR(E21="",F21=""),"",PID_KVLohnLookup($A$1,E21,F21,LOHNTABELLE!$H$4))</f>
        <v/>
      </c>
      <c r="H21" s="365" t="str">
        <f>IF(AND(ISNUMBER(D21),ISNUMBER(F21)),ROUNDDOWN(MIN(IF(OR(ISBLANK(I21),I21=""),EOMONTH(DATE(EINSTELLUNG!$C$35,$A$1,1),0),I21)-MAX(D21,DATE(EINSTELLUNG!$C$35,$A$1,1))+1)/DAY(EOMONTH(DATE(EINSTELLUNG!$C$35,$A$1,1),0))*F21,2),"")</f>
        <v/>
      </c>
      <c r="I21" s="186"/>
      <c r="J21" s="187"/>
      <c r="K21" s="364" t="str">
        <f t="shared" si="0"/>
        <v/>
      </c>
      <c r="L21" s="366"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188"/>
      <c r="N21" s="189"/>
      <c r="O21" s="472"/>
      <c r="P21" s="196"/>
      <c r="Q21" s="197"/>
      <c r="R21" s="198"/>
      <c r="S21" s="361"/>
      <c r="T21" s="361"/>
      <c r="U21" s="361"/>
      <c r="V21" s="361"/>
    </row>
    <row r="22" spans="1:29" ht="21.95" customHeight="1" x14ac:dyDescent="0.35">
      <c r="A22" s="363" t="s">
        <v>78</v>
      </c>
      <c r="B22" s="152"/>
      <c r="C22" s="153"/>
      <c r="D22" s="154"/>
      <c r="E22" s="155"/>
      <c r="F22" s="156"/>
      <c r="G22" s="364" t="str">
        <f>IF(OR(E22="",F22=""),"",PID_KVLohnLookup($A$1,E22,F22,LOHNTABELLE!$H$4))</f>
        <v/>
      </c>
      <c r="H22" s="365" t="str">
        <f>IF(AND(ISNUMBER(D22),ISNUMBER(F22)),ROUNDDOWN(MIN(IF(OR(ISBLANK(I22),I22=""),EOMONTH(DATE(EINSTELLUNG!$C$35,$A$1,1),0),I22)-MAX(D22,DATE(EINSTELLUNG!$C$35,$A$1,1))+1)/DAY(EOMONTH(DATE(EINSTELLUNG!$C$35,$A$1,1),0))*F22,2),"")</f>
        <v/>
      </c>
      <c r="I22" s="158"/>
      <c r="J22" s="165"/>
      <c r="K22" s="364" t="str">
        <f t="shared" si="0"/>
        <v/>
      </c>
      <c r="L22" s="366"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167"/>
      <c r="N22" s="168"/>
      <c r="O22" s="472"/>
      <c r="P22" s="196"/>
      <c r="Q22" s="197"/>
      <c r="R22" s="198"/>
      <c r="S22" s="361"/>
      <c r="T22" s="361"/>
      <c r="U22" s="361"/>
      <c r="V22" s="361"/>
    </row>
    <row r="23" spans="1:29" ht="21.95" customHeight="1" x14ac:dyDescent="0.35">
      <c r="A23" s="363" t="s">
        <v>79</v>
      </c>
      <c r="B23" s="181"/>
      <c r="C23" s="182"/>
      <c r="D23" s="183"/>
      <c r="E23" s="184"/>
      <c r="F23" s="190"/>
      <c r="G23" s="364" t="str">
        <f>IF(OR(E23="",F23=""),"",PID_KVLohnLookup($A$1,E23,F23,LOHNTABELLE!$H$4))</f>
        <v/>
      </c>
      <c r="H23" s="365" t="str">
        <f>IF(AND(ISNUMBER(D23),ISNUMBER(F23)),ROUNDDOWN(MIN(IF(OR(ISBLANK(I23),I23=""),EOMONTH(DATE(EINSTELLUNG!$C$35,$A$1,1),0),I23)-MAX(D23,DATE(EINSTELLUNG!$C$35,$A$1,1))+1)/DAY(EOMONTH(DATE(EINSTELLUNG!$C$35,$A$1,1),0))*F23,2),"")</f>
        <v/>
      </c>
      <c r="I23" s="186"/>
      <c r="J23" s="187"/>
      <c r="K23" s="364" t="str">
        <f t="shared" si="0"/>
        <v/>
      </c>
      <c r="L23" s="366"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188"/>
      <c r="N23" s="189"/>
      <c r="O23" s="472"/>
      <c r="P23" s="196"/>
      <c r="Q23" s="197"/>
      <c r="R23" s="198"/>
      <c r="S23" s="361"/>
      <c r="T23" s="361"/>
      <c r="U23" s="361"/>
      <c r="V23" s="361"/>
      <c r="W23" s="389"/>
    </row>
    <row r="24" spans="1:29" ht="21.95" customHeight="1" x14ac:dyDescent="0.35">
      <c r="A24" s="363" t="s">
        <v>80</v>
      </c>
      <c r="B24" s="152"/>
      <c r="C24" s="153"/>
      <c r="D24" s="154"/>
      <c r="E24" s="155"/>
      <c r="F24" s="156"/>
      <c r="G24" s="364" t="str">
        <f>IF(OR(E24="",F24=""),"",PID_KVLohnLookup($A$1,E24,F24,LOHNTABELLE!$H$4))</f>
        <v/>
      </c>
      <c r="H24" s="365" t="str">
        <f>IF(AND(ISNUMBER(D24),ISNUMBER(F24)),ROUNDDOWN(MIN(IF(OR(ISBLANK(I24),I24=""),EOMONTH(DATE(EINSTELLUNG!$C$35,$A$1,1),0),I24)-MAX(D24,DATE(EINSTELLUNG!$C$35,$A$1,1))+1)/DAY(EOMONTH(DATE(EINSTELLUNG!$C$35,$A$1,1),0))*F24,2),"")</f>
        <v/>
      </c>
      <c r="I24" s="158"/>
      <c r="J24" s="165"/>
      <c r="K24" s="364" t="str">
        <f t="shared" si="0"/>
        <v/>
      </c>
      <c r="L24" s="366"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167"/>
      <c r="N24" s="168"/>
      <c r="O24" s="472"/>
      <c r="P24" s="196"/>
      <c r="Q24" s="197"/>
      <c r="R24" s="198"/>
      <c r="S24" s="361"/>
      <c r="T24" s="361"/>
      <c r="U24" s="361"/>
      <c r="V24" s="361"/>
      <c r="W24" s="389"/>
    </row>
    <row r="25" spans="1:29" ht="21.95" customHeight="1" x14ac:dyDescent="0.35">
      <c r="A25" s="363" t="s">
        <v>81</v>
      </c>
      <c r="B25" s="181"/>
      <c r="C25" s="182"/>
      <c r="D25" s="183"/>
      <c r="E25" s="184"/>
      <c r="F25" s="190"/>
      <c r="G25" s="364" t="str">
        <f>IF(OR(E25="",F25=""),"",PID_KVLohnLookup($A$1,E25,F25,LOHNTABELLE!$H$4))</f>
        <v/>
      </c>
      <c r="H25" s="365" t="str">
        <f>IF(AND(ISNUMBER(D25),ISNUMBER(F25)),ROUNDDOWN(MIN(IF(OR(ISBLANK(I25),I25=""),EOMONTH(DATE(EINSTELLUNG!$C$35,$A$1,1),0),I25)-MAX(D25,DATE(EINSTELLUNG!$C$35,$A$1,1))+1)/DAY(EOMONTH(DATE(EINSTELLUNG!$C$35,$A$1,1),0))*F25,2),"")</f>
        <v/>
      </c>
      <c r="I25" s="186"/>
      <c r="J25" s="187"/>
      <c r="K25" s="364" t="str">
        <f t="shared" si="0"/>
        <v/>
      </c>
      <c r="L25" s="366"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188"/>
      <c r="N25" s="189"/>
      <c r="O25" s="472"/>
      <c r="P25" s="196"/>
      <c r="Q25" s="197"/>
      <c r="R25" s="198"/>
      <c r="S25" s="361"/>
      <c r="T25" s="361"/>
      <c r="U25" s="361"/>
      <c r="V25" s="361"/>
    </row>
    <row r="26" spans="1:29" ht="21.95" customHeight="1" x14ac:dyDescent="0.35">
      <c r="A26" s="363" t="s">
        <v>82</v>
      </c>
      <c r="B26" s="152"/>
      <c r="C26" s="153"/>
      <c r="D26" s="154"/>
      <c r="E26" s="155"/>
      <c r="F26" s="156"/>
      <c r="G26" s="364" t="str">
        <f>IF(OR(E26="",F26=""),"",PID_KVLohnLookup($A$1,E26,F26,LOHNTABELLE!$H$4))</f>
        <v/>
      </c>
      <c r="H26" s="365" t="str">
        <f>IF(AND(ISNUMBER(D26),ISNUMBER(F26)),ROUNDDOWN(MIN(IF(OR(ISBLANK(I26),I26=""),EOMONTH(DATE(EINSTELLUNG!$C$35,$A$1,1),0),I26)-MAX(D26,DATE(EINSTELLUNG!$C$35,$A$1,1))+1)/DAY(EOMONTH(DATE(EINSTELLUNG!$C$35,$A$1,1),0))*F26,2),"")</f>
        <v/>
      </c>
      <c r="I26" s="158"/>
      <c r="J26" s="165"/>
      <c r="K26" s="364" t="str">
        <f t="shared" si="0"/>
        <v/>
      </c>
      <c r="L26" s="366"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167"/>
      <c r="N26" s="168"/>
      <c r="O26" s="195"/>
      <c r="P26" s="196"/>
      <c r="Q26" s="197"/>
      <c r="R26" s="198"/>
      <c r="S26" s="361"/>
      <c r="T26" s="361"/>
      <c r="U26" s="361"/>
      <c r="V26" s="361"/>
    </row>
    <row r="27" spans="1:29" ht="21.95" customHeight="1" x14ac:dyDescent="0.35">
      <c r="A27" s="363" t="s">
        <v>83</v>
      </c>
      <c r="B27" s="181"/>
      <c r="C27" s="182"/>
      <c r="D27" s="183"/>
      <c r="E27" s="184"/>
      <c r="F27" s="190"/>
      <c r="G27" s="364" t="str">
        <f>IF(OR(E27="",F27=""),"",PID_KVLohnLookup($A$1,E27,F27,LOHNTABELLE!$H$4))</f>
        <v/>
      </c>
      <c r="H27" s="365" t="str">
        <f>IF(AND(ISNUMBER(D27),ISNUMBER(F27)),ROUNDDOWN(MIN(IF(OR(ISBLANK(I27),I27=""),EOMONTH(DATE(EINSTELLUNG!$C$35,$A$1,1),0),I27)-MAX(D27,DATE(EINSTELLUNG!$C$35,$A$1,1))+1)/DAY(EOMONTH(DATE(EINSTELLUNG!$C$35,$A$1,1),0))*F27,2),"")</f>
        <v/>
      </c>
      <c r="I27" s="186"/>
      <c r="J27" s="187"/>
      <c r="K27" s="364" t="str">
        <f t="shared" si="0"/>
        <v/>
      </c>
      <c r="L27" s="366"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188"/>
      <c r="N27" s="189"/>
      <c r="O27" s="195"/>
      <c r="P27" s="196"/>
      <c r="Q27" s="197"/>
      <c r="R27" s="198"/>
      <c r="S27" s="392" t="s">
        <v>84</v>
      </c>
      <c r="T27" s="392"/>
      <c r="U27" s="392"/>
      <c r="V27" s="392"/>
    </row>
    <row r="28" spans="1:29" ht="21.95" customHeight="1" x14ac:dyDescent="0.35">
      <c r="A28" s="363" t="s">
        <v>85</v>
      </c>
      <c r="B28" s="152"/>
      <c r="C28" s="153"/>
      <c r="D28" s="154"/>
      <c r="E28" s="155"/>
      <c r="F28" s="156"/>
      <c r="G28" s="364" t="str">
        <f>IF(OR(E28="",F28=""),"",PID_KVLohnLookup($A$1,E28,F28,LOHNTABELLE!$H$4))</f>
        <v/>
      </c>
      <c r="H28" s="365" t="str">
        <f>IF(AND(ISNUMBER(D28),ISNUMBER(F28)),ROUNDDOWN(MIN(IF(OR(ISBLANK(I28),I28=""),EOMONTH(DATE(EINSTELLUNG!$C$35,$A$1,1),0),I28)-MAX(D28,DATE(EINSTELLUNG!$C$35,$A$1,1))+1)/DAY(EOMONTH(DATE(EINSTELLUNG!$C$35,$A$1,1),0))*F28,2),"")</f>
        <v/>
      </c>
      <c r="I28" s="158"/>
      <c r="J28" s="165"/>
      <c r="K28" s="364" t="str">
        <f t="shared" si="0"/>
        <v/>
      </c>
      <c r="L28" s="366"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167"/>
      <c r="N28" s="168"/>
      <c r="O28" s="195"/>
      <c r="P28" s="196"/>
      <c r="Q28" s="197"/>
      <c r="R28" s="198"/>
      <c r="S28" s="361"/>
      <c r="T28" s="361"/>
      <c r="U28" s="361"/>
      <c r="V28" s="361"/>
    </row>
    <row r="29" spans="1:29" ht="21.95" customHeight="1" thickBot="1" x14ac:dyDescent="0.4">
      <c r="A29" s="363" t="s">
        <v>86</v>
      </c>
      <c r="B29" s="181"/>
      <c r="C29" s="182"/>
      <c r="D29" s="183"/>
      <c r="E29" s="184"/>
      <c r="F29" s="190"/>
      <c r="G29" s="364" t="str">
        <f>IF(OR(E29="",F29=""),"",PID_KVLohnLookup($A$1,E29,F29,LOHNTABELLE!$H$4))</f>
        <v/>
      </c>
      <c r="H29" s="365" t="str">
        <f>IF(AND(ISNUMBER(D29),ISNUMBER(F29)),ROUNDDOWN(MIN(IF(OR(ISBLANK(I29),I29=""),EOMONTH(DATE(EINSTELLUNG!$C$35,$A$1,1),0),I29)-MAX(D29,DATE(EINSTELLUNG!$C$35,$A$1,1))+1)/DAY(EOMONTH(DATE(EINSTELLUNG!$C$35,$A$1,1),0))*F29,2),"")</f>
        <v/>
      </c>
      <c r="I29" s="186"/>
      <c r="J29" s="187"/>
      <c r="K29" s="364" t="str">
        <f t="shared" si="0"/>
        <v/>
      </c>
      <c r="L29" s="366"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188"/>
      <c r="N29" s="189"/>
      <c r="O29" s="393" t="s">
        <v>87</v>
      </c>
      <c r="P29" s="394"/>
      <c r="Q29" s="395">
        <f>EINSTELLUNG!O14</f>
        <v>0</v>
      </c>
      <c r="R29" s="396"/>
      <c r="S29" s="361"/>
      <c r="T29" s="361"/>
      <c r="U29" s="361"/>
      <c r="V29" s="361"/>
    </row>
    <row r="30" spans="1:29" ht="21.95" customHeight="1" thickBot="1" x14ac:dyDescent="0.4">
      <c r="A30" s="363" t="s">
        <v>88</v>
      </c>
      <c r="B30" s="152"/>
      <c r="C30" s="153"/>
      <c r="D30" s="154"/>
      <c r="E30" s="155"/>
      <c r="F30" s="156"/>
      <c r="G30" s="364" t="str">
        <f>IF(OR(E30="",F30=""),"",PID_KVLohnLookup($A$1,E30,F30,LOHNTABELLE!$H$4))</f>
        <v/>
      </c>
      <c r="H30" s="365" t="str">
        <f>IF(AND(ISNUMBER(D30),ISNUMBER(F30)),ROUNDDOWN(MIN(IF(OR(ISBLANK(I30),I30=""),EOMONTH(DATE(EINSTELLUNG!$C$35,$A$1,1),0),I30)-MAX(D30,DATE(EINSTELLUNG!$C$35,$A$1,1))+1)/DAY(EOMONTH(DATE(EINSTELLUNG!$C$35,$A$1,1),0))*F30,2),"")</f>
        <v/>
      </c>
      <c r="I30" s="158"/>
      <c r="J30" s="165"/>
      <c r="K30" s="364" t="str">
        <f t="shared" si="0"/>
        <v/>
      </c>
      <c r="L30" s="366"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167"/>
      <c r="N30" s="168"/>
      <c r="O30" s="361"/>
      <c r="P30" s="361"/>
      <c r="Q30" s="361"/>
      <c r="R30" s="361"/>
      <c r="S30" s="361"/>
      <c r="T30" s="361"/>
      <c r="U30" s="361"/>
      <c r="V30" s="361"/>
      <c r="W30" s="397"/>
      <c r="X30" s="397"/>
      <c r="Y30" s="397"/>
      <c r="Z30" s="397"/>
      <c r="AA30" s="397"/>
      <c r="AB30" s="397"/>
      <c r="AC30" s="397"/>
    </row>
    <row r="31" spans="1:29" ht="21.95" customHeight="1" thickBot="1" x14ac:dyDescent="0.4">
      <c r="A31" s="363" t="s">
        <v>89</v>
      </c>
      <c r="B31" s="181"/>
      <c r="C31" s="182"/>
      <c r="D31" s="183"/>
      <c r="E31" s="184"/>
      <c r="F31" s="190"/>
      <c r="G31" s="364" t="str">
        <f>IF(OR(E31="",F31=""),"",PID_KVLohnLookup($A$1,E31,F31,LOHNTABELLE!$H$4))</f>
        <v/>
      </c>
      <c r="H31" s="365" t="str">
        <f>IF(AND(ISNUMBER(D31),ISNUMBER(F31)),ROUNDDOWN(MIN(IF(OR(ISBLANK(I31),I31=""),EOMONTH(DATE(EINSTELLUNG!$C$35,$A$1,1),0),I31)-MAX(D31,DATE(EINSTELLUNG!$C$35,$A$1,1))+1)/DAY(EOMONTH(DATE(EINSTELLUNG!$C$35,$A$1,1),0))*F31,2),"")</f>
        <v/>
      </c>
      <c r="I31" s="186"/>
      <c r="J31" s="187"/>
      <c r="K31" s="364" t="str">
        <f t="shared" si="0"/>
        <v/>
      </c>
      <c r="L31" s="366"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188"/>
      <c r="N31" s="189"/>
      <c r="O31" s="398" t="s">
        <v>321</v>
      </c>
      <c r="P31" s="399"/>
      <c r="Q31" s="400">
        <v>0</v>
      </c>
      <c r="R31" s="401"/>
      <c r="S31" s="361"/>
      <c r="T31" s="361"/>
      <c r="U31" s="361"/>
      <c r="V31" s="361"/>
    </row>
    <row r="32" spans="1:29" ht="21.95" customHeight="1" thickBot="1" x14ac:dyDescent="0.4">
      <c r="A32" s="363" t="s">
        <v>91</v>
      </c>
      <c r="B32" s="152"/>
      <c r="C32" s="153"/>
      <c r="D32" s="154"/>
      <c r="E32" s="155"/>
      <c r="F32" s="156"/>
      <c r="G32" s="364" t="str">
        <f>IF(OR(E32="",F32=""),"",PID_KVLohnLookup($A$1,E32,F32,LOHNTABELLE!$H$4))</f>
        <v/>
      </c>
      <c r="H32" s="365" t="str">
        <f>IF(AND(ISNUMBER(D32),ISNUMBER(F32)),ROUNDDOWN(MIN(IF(OR(ISBLANK(I32),I32=""),EOMONTH(DATE(EINSTELLUNG!$C$35,$A$1,1),0),I32)-MAX(D32,DATE(EINSTELLUNG!$C$35,$A$1,1))+1)/DAY(EOMONTH(DATE(EINSTELLUNG!$C$35,$A$1,1),0))*F32,2),"")</f>
        <v/>
      </c>
      <c r="I32" s="158"/>
      <c r="J32" s="165"/>
      <c r="K32" s="364" t="str">
        <f t="shared" si="0"/>
        <v/>
      </c>
      <c r="L32" s="366"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167"/>
      <c r="N32" s="168"/>
      <c r="O32" s="361"/>
      <c r="P32" s="361"/>
      <c r="Q32" s="361"/>
      <c r="R32" s="361"/>
      <c r="S32" s="361"/>
      <c r="T32" s="361"/>
      <c r="U32" s="361"/>
      <c r="V32" s="361"/>
    </row>
    <row r="33" spans="1:22" ht="21.95" customHeight="1" x14ac:dyDescent="0.35">
      <c r="A33" s="363" t="s">
        <v>92</v>
      </c>
      <c r="B33" s="181"/>
      <c r="C33" s="182"/>
      <c r="D33" s="183"/>
      <c r="E33" s="184"/>
      <c r="F33" s="190"/>
      <c r="G33" s="364" t="str">
        <f>IF(OR(E33="",F33=""),"",PID_KVLohnLookup($A$1,E33,F33,LOHNTABELLE!$H$4))</f>
        <v/>
      </c>
      <c r="H33" s="365" t="str">
        <f>IF(AND(ISNUMBER(D33),ISNUMBER(F33)),ROUNDDOWN(MIN(IF(OR(ISBLANK(I33),I33=""),EOMONTH(DATE(EINSTELLUNG!$C$35,$A$1,1),0),I33)-MAX(D33,DATE(EINSTELLUNG!$C$35,$A$1,1))+1)/DAY(EOMONTH(DATE(EINSTELLUNG!$C$35,$A$1,1),0))*F33,2),"")</f>
        <v/>
      </c>
      <c r="I33" s="186"/>
      <c r="J33" s="187"/>
      <c r="K33" s="364" t="str">
        <f t="shared" si="0"/>
        <v/>
      </c>
      <c r="L33" s="366"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188"/>
      <c r="N33" s="189"/>
      <c r="O33" s="402"/>
      <c r="P33" s="403"/>
      <c r="Q33" s="346" t="str">
        <f>EINSTELLUNG!B3</f>
        <v>Budget</v>
      </c>
      <c r="R33" s="346"/>
      <c r="S33" s="346" t="str">
        <f>EINSTELLUNG!B19</f>
        <v>Projection/Aktuell Zahlen</v>
      </c>
      <c r="T33" s="346"/>
      <c r="U33" s="346" t="s">
        <v>95</v>
      </c>
      <c r="V33" s="347"/>
    </row>
    <row r="34" spans="1:22" ht="21.95" customHeight="1" x14ac:dyDescent="0.35">
      <c r="A34" s="363" t="s">
        <v>96</v>
      </c>
      <c r="B34" s="152"/>
      <c r="C34" s="153"/>
      <c r="D34" s="154"/>
      <c r="E34" s="155"/>
      <c r="F34" s="156"/>
      <c r="G34" s="364" t="str">
        <f>IF(OR(E34="",F34=""),"",PID_KVLohnLookup($A$1,E34,F34,LOHNTABELLE!$H$4))</f>
        <v/>
      </c>
      <c r="H34" s="365" t="str">
        <f>IF(AND(ISNUMBER(D34),ISNUMBER(F34)),ROUNDDOWN(MIN(IF(OR(ISBLANK(I34),I34=""),EOMONTH(DATE(EINSTELLUNG!$C$35,$A$1,1),0),I34)-MAX(D34,DATE(EINSTELLUNG!$C$35,$A$1,1))+1)/DAY(EOMONTH(DATE(EINSTELLUNG!$C$35,$A$1,1),0))*F34,2),"")</f>
        <v/>
      </c>
      <c r="I34" s="158"/>
      <c r="J34" s="165"/>
      <c r="K34" s="364" t="str">
        <f t="shared" si="0"/>
        <v/>
      </c>
      <c r="L34" s="366"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167"/>
      <c r="N34" s="168"/>
      <c r="O34" s="404"/>
      <c r="P34" s="405"/>
      <c r="Q34" s="406"/>
      <c r="R34" s="406"/>
      <c r="S34" s="406"/>
      <c r="T34" s="406"/>
      <c r="U34" s="406"/>
      <c r="V34" s="407"/>
    </row>
    <row r="35" spans="1:22" ht="21.95" customHeight="1" x14ac:dyDescent="0.35">
      <c r="A35" s="363" t="s">
        <v>97</v>
      </c>
      <c r="B35" s="181"/>
      <c r="C35" s="182"/>
      <c r="D35" s="183"/>
      <c r="E35" s="184"/>
      <c r="F35" s="190"/>
      <c r="G35" s="364" t="str">
        <f>IF(OR(E35="",F35=""),"",PID_KVLohnLookup($A$1,E35,F35,LOHNTABELLE!$H$4))</f>
        <v/>
      </c>
      <c r="H35" s="365" t="str">
        <f>IF(AND(ISNUMBER(D35),ISNUMBER(F35)),ROUNDDOWN(MIN(IF(OR(ISBLANK(I35),I35=""),EOMONTH(DATE(EINSTELLUNG!$C$35,$A$1,1),0),I35)-MAX(D35,DATE(EINSTELLUNG!$C$35,$A$1,1))+1)/DAY(EOMONTH(DATE(EINSTELLUNG!$C$35,$A$1,1),0))*F35,2),"")</f>
        <v/>
      </c>
      <c r="I35" s="186"/>
      <c r="J35" s="187"/>
      <c r="K35" s="364" t="str">
        <f t="shared" ref="K35:K66" si="1">IF(OR(B35="",C35=""),"",IFERROR(IF(OR(MONTH(D35)=1,MONTH(D35)=3,MONTH(D35)=5,MONTH(D35)=7,MONTH(D35)=8,MONTH(D35)=10,MONTH(D35)=12),(G35/31)*J35,IF(OR(MONTH(D35)=4,MONTH(D35)=6,MONTH(D35)=9,MONTH(D35)=11),(G35/30)*J35,(G35/DAY(EOMONTH(D35,0)))*J35)),0))</f>
        <v/>
      </c>
      <c r="L35" s="366"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188"/>
      <c r="N35" s="189"/>
      <c r="O35" s="379" t="s">
        <v>98</v>
      </c>
      <c r="P35" s="380"/>
      <c r="Q35" s="408">
        <f>EINSTELLUNG!C14</f>
        <v>0</v>
      </c>
      <c r="R35" s="408"/>
      <c r="S35" s="408">
        <f>EINSTELLUNG!C30</f>
        <v>0</v>
      </c>
      <c r="T35" s="408"/>
      <c r="U35" s="408">
        <f>S35-Q35</f>
        <v>0</v>
      </c>
      <c r="V35" s="409"/>
    </row>
    <row r="36" spans="1:22" ht="21.95" customHeight="1" x14ac:dyDescent="0.35">
      <c r="A36" s="363" t="s">
        <v>99</v>
      </c>
      <c r="B36" s="152"/>
      <c r="C36" s="153"/>
      <c r="D36" s="158"/>
      <c r="E36" s="155"/>
      <c r="F36" s="156"/>
      <c r="G36" s="364" t="str">
        <f>IF(OR(E36="",F36=""),"",PID_KVLohnLookup($A$1,E36,F36,LOHNTABELLE!$H$4))</f>
        <v/>
      </c>
      <c r="H36" s="365" t="str">
        <f>IF(AND(ISNUMBER(D36),ISNUMBER(F36)),ROUNDDOWN(MIN(IF(OR(ISBLANK(I36),I36=""),EOMONTH(DATE(EINSTELLUNG!$C$35,$A$1,1),0),I36)-MAX(D36,DATE(EINSTELLUNG!$C$35,$A$1,1))+1)/DAY(EOMONTH(DATE(EINSTELLUNG!$C$35,$A$1,1),0))*F36,2),"")</f>
        <v/>
      </c>
      <c r="I36" s="158"/>
      <c r="J36" s="165"/>
      <c r="K36" s="364" t="str">
        <f t="shared" si="1"/>
        <v/>
      </c>
      <c r="L36" s="366"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167"/>
      <c r="N36" s="168"/>
      <c r="O36" s="379" t="s">
        <v>100</v>
      </c>
      <c r="P36" s="380"/>
      <c r="Q36" s="408">
        <f>EINSTELLUNG!D14</f>
        <v>0</v>
      </c>
      <c r="R36" s="408"/>
      <c r="S36" s="408">
        <f ca="1">SumMergedCells(Q17:R29)</f>
        <v>3868.38</v>
      </c>
      <c r="T36" s="408"/>
      <c r="U36" s="408">
        <f t="shared" ref="U36:U41" ca="1" si="2">S36-Q36</f>
        <v>3868.38</v>
      </c>
      <c r="V36" s="409"/>
    </row>
    <row r="37" spans="1:22" ht="21.95" customHeight="1" x14ac:dyDescent="0.35">
      <c r="A37" s="363" t="s">
        <v>101</v>
      </c>
      <c r="B37" s="181"/>
      <c r="C37" s="182"/>
      <c r="D37" s="183"/>
      <c r="E37" s="184"/>
      <c r="F37" s="190"/>
      <c r="G37" s="364" t="str">
        <f>IF(OR(E37="",F37=""),"",PID_KVLohnLookup($A$1,E37,F37,LOHNTABELLE!$H$4))</f>
        <v/>
      </c>
      <c r="H37" s="365" t="str">
        <f>IF(AND(ISNUMBER(D37),ISNUMBER(F37)),ROUNDDOWN(MIN(IF(OR(ISBLANK(I37),I37=""),EOMONTH(DATE(EINSTELLUNG!$C$35,$A$1,1),0),I37)-MAX(D37,DATE(EINSTELLUNG!$C$35,$A$1,1))+1)/DAY(EOMONTH(DATE(EINSTELLUNG!$C$35,$A$1,1),0))*F37,2),"")</f>
        <v/>
      </c>
      <c r="I37" s="186"/>
      <c r="J37" s="187"/>
      <c r="K37" s="364" t="str">
        <f t="shared" si="1"/>
        <v/>
      </c>
      <c r="L37" s="366"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188"/>
      <c r="N37" s="189"/>
      <c r="O37" s="379" t="s">
        <v>102</v>
      </c>
      <c r="P37" s="380"/>
      <c r="Q37" s="410">
        <f>IF(ISERROR(Q36/Q35), 0, Q36/Q35)</f>
        <v>0</v>
      </c>
      <c r="R37" s="410"/>
      <c r="S37" s="410">
        <f ca="1">IF(ISERROR(S36/S35), 0, S36/S35)</f>
        <v>0</v>
      </c>
      <c r="T37" s="410"/>
      <c r="U37" s="410">
        <f t="shared" ca="1" si="2"/>
        <v>0</v>
      </c>
      <c r="V37" s="411"/>
    </row>
    <row r="38" spans="1:22" ht="21.95" customHeight="1" x14ac:dyDescent="0.35">
      <c r="A38" s="363" t="s">
        <v>103</v>
      </c>
      <c r="B38" s="152"/>
      <c r="C38" s="153"/>
      <c r="D38" s="154"/>
      <c r="E38" s="155"/>
      <c r="F38" s="156"/>
      <c r="G38" s="364" t="str">
        <f>IF(OR(E38="",F38=""),"",PID_KVLohnLookup($A$1,E38,F38,LOHNTABELLE!$H$4))</f>
        <v/>
      </c>
      <c r="H38" s="365" t="str">
        <f>IF(AND(ISNUMBER(D38),ISNUMBER(F38)),ROUNDDOWN(MIN(IF(OR(ISBLANK(I38),I38=""),EOMONTH(DATE(EINSTELLUNG!$C$35,$A$1,1),0),I38)-MAX(D38,DATE(EINSTELLUNG!$C$35,$A$1,1))+1)/DAY(EOMONTH(DATE(EINSTELLUNG!$C$35,$A$1,1),0))*F38,2),"")</f>
        <v/>
      </c>
      <c r="I38" s="158"/>
      <c r="J38" s="165"/>
      <c r="K38" s="364" t="str">
        <f t="shared" si="1"/>
        <v/>
      </c>
      <c r="L38" s="366"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167"/>
      <c r="N38" s="168"/>
      <c r="O38" s="379" t="s">
        <v>104</v>
      </c>
      <c r="P38" s="380"/>
      <c r="Q38" s="381">
        <f>EINSTELLUNG!F14</f>
        <v>0</v>
      </c>
      <c r="R38" s="381"/>
      <c r="S38" s="381">
        <f>EINSTELLUNG!F30</f>
        <v>0</v>
      </c>
      <c r="T38" s="381"/>
      <c r="U38" s="381">
        <f t="shared" si="2"/>
        <v>0</v>
      </c>
      <c r="V38" s="382"/>
    </row>
    <row r="39" spans="1:22" ht="21.95" customHeight="1" x14ac:dyDescent="0.35">
      <c r="A39" s="363" t="s">
        <v>105</v>
      </c>
      <c r="B39" s="181"/>
      <c r="C39" s="182"/>
      <c r="D39" s="183"/>
      <c r="E39" s="184"/>
      <c r="F39" s="190"/>
      <c r="G39" s="364" t="str">
        <f>IF(OR(E39="",F39=""),"",PID_KVLohnLookup($A$1,E39,F39,LOHNTABELLE!$H$4))</f>
        <v/>
      </c>
      <c r="H39" s="365" t="str">
        <f>IF(AND(ISNUMBER(D39),ISNUMBER(F39)),ROUNDDOWN(MIN(IF(OR(ISBLANK(I39),I39=""),EOMONTH(DATE(EINSTELLUNG!$C$35,$A$1,1),0),I39)-MAX(D39,DATE(EINSTELLUNG!$C$35,$A$1,1))+1)/DAY(EOMONTH(DATE(EINSTELLUNG!$C$35,$A$1,1),0))*F39,2),"")</f>
        <v/>
      </c>
      <c r="I39" s="186"/>
      <c r="J39" s="187"/>
      <c r="K39" s="364" t="str">
        <f t="shared" si="1"/>
        <v/>
      </c>
      <c r="L39" s="366"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188"/>
      <c r="N39" s="189"/>
      <c r="O39" s="379" t="s">
        <v>106</v>
      </c>
      <c r="P39" s="380"/>
      <c r="Q39" s="408">
        <f>IF(Q38=0, 0, Q35/Q38)</f>
        <v>0</v>
      </c>
      <c r="R39" s="408"/>
      <c r="S39" s="408">
        <f>IF(S38=0, 0, S35/S38)</f>
        <v>0</v>
      </c>
      <c r="T39" s="408"/>
      <c r="U39" s="408">
        <f t="shared" si="2"/>
        <v>0</v>
      </c>
      <c r="V39" s="409"/>
    </row>
    <row r="40" spans="1:22" ht="21.95" customHeight="1" x14ac:dyDescent="0.35">
      <c r="A40" s="363" t="s">
        <v>107</v>
      </c>
      <c r="B40" s="152"/>
      <c r="C40" s="153"/>
      <c r="D40" s="154"/>
      <c r="E40" s="155"/>
      <c r="F40" s="156"/>
      <c r="G40" s="364" t="str">
        <f>IF(OR(E40="",F40=""),"",PID_KVLohnLookup($A$1,E40,F40,LOHNTABELLE!$H$4))</f>
        <v/>
      </c>
      <c r="H40" s="365" t="str">
        <f>IF(AND(ISNUMBER(D40),ISNUMBER(F40)),ROUNDDOWN(MIN(IF(OR(ISBLANK(I40),I40=""),EOMONTH(DATE(EINSTELLUNG!$C$35,$A$1,1),0),I40)-MAX(D40,DATE(EINSTELLUNG!$C$35,$A$1,1))+1)/DAY(EOMONTH(DATE(EINSTELLUNG!$C$35,$A$1,1),0))*F40,2),"")</f>
        <v/>
      </c>
      <c r="I40" s="158"/>
      <c r="J40" s="165"/>
      <c r="K40" s="364" t="str">
        <f t="shared" si="1"/>
        <v/>
      </c>
      <c r="L40" s="366"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167"/>
      <c r="N40" s="168"/>
      <c r="O40" s="379" t="s">
        <v>108</v>
      </c>
      <c r="P40" s="380"/>
      <c r="Q40" s="408">
        <f>IF(Q13=0, 0, Q35/Q13)</f>
        <v>0</v>
      </c>
      <c r="R40" s="408"/>
      <c r="S40" s="408">
        <f>IF(Q13=0, 0, S35/Q13)</f>
        <v>0</v>
      </c>
      <c r="T40" s="408"/>
      <c r="U40" s="408">
        <f t="shared" si="2"/>
        <v>0</v>
      </c>
      <c r="V40" s="409"/>
    </row>
    <row r="41" spans="1:22" ht="21.95" customHeight="1" x14ac:dyDescent="0.35">
      <c r="A41" s="363" t="s">
        <v>109</v>
      </c>
      <c r="B41" s="181"/>
      <c r="C41" s="182"/>
      <c r="D41" s="183"/>
      <c r="E41" s="184"/>
      <c r="F41" s="190"/>
      <c r="G41" s="364" t="str">
        <f>IF(OR(E41="",F41=""),"",PID_KVLohnLookup($A$1,E41,F41,LOHNTABELLE!$H$4))</f>
        <v/>
      </c>
      <c r="H41" s="365" t="str">
        <f>IF(AND(ISNUMBER(D41),ISNUMBER(F41)),ROUNDDOWN(MIN(IF(OR(ISBLANK(I41),I41=""),EOMONTH(DATE(EINSTELLUNG!$C$35,$A$1,1),0),I41)-MAX(D41,DATE(EINSTELLUNG!$C$35,$A$1,1))+1)/DAY(EOMONTH(DATE(EINSTELLUNG!$C$35,$A$1,1),0))*F41,2),"")</f>
        <v/>
      </c>
      <c r="I41" s="186"/>
      <c r="J41" s="187"/>
      <c r="K41" s="364" t="str">
        <f t="shared" si="1"/>
        <v/>
      </c>
      <c r="L41" s="366"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188"/>
      <c r="N41" s="189"/>
      <c r="O41" s="412" t="s">
        <v>110</v>
      </c>
      <c r="P41" s="413"/>
      <c r="Q41" s="414">
        <f>IF(Q13=0, 0, Q38/Q13)</f>
        <v>0</v>
      </c>
      <c r="R41" s="414"/>
      <c r="S41" s="414">
        <f>IF(Q13=0, 0, S38/Q13)</f>
        <v>0</v>
      </c>
      <c r="T41" s="414"/>
      <c r="U41" s="414">
        <f t="shared" si="2"/>
        <v>0</v>
      </c>
      <c r="V41" s="415"/>
    </row>
    <row r="42" spans="1:22" ht="21.95" customHeight="1" thickBot="1" x14ac:dyDescent="0.4">
      <c r="A42" s="363" t="s">
        <v>111</v>
      </c>
      <c r="B42" s="152"/>
      <c r="C42" s="153"/>
      <c r="D42" s="154"/>
      <c r="E42" s="155"/>
      <c r="F42" s="156"/>
      <c r="G42" s="364" t="str">
        <f>IF(OR(E42="",F42=""),"",PID_KVLohnLookup($A$1,E42,F42,LOHNTABELLE!$H$4))</f>
        <v/>
      </c>
      <c r="H42" s="365" t="str">
        <f>IF(AND(ISNUMBER(D42),ISNUMBER(F42)),ROUNDDOWN(MIN(IF(OR(ISBLANK(I42),I42=""),EOMONTH(DATE(EINSTELLUNG!$C$35,$A$1,1),0),I42)-MAX(D42,DATE(EINSTELLUNG!$C$35,$A$1,1))+1)/DAY(EOMONTH(DATE(EINSTELLUNG!$C$35,$A$1,1),0))*F42,2),"")</f>
        <v/>
      </c>
      <c r="I42" s="158"/>
      <c r="J42" s="165"/>
      <c r="K42" s="364" t="str">
        <f t="shared" si="1"/>
        <v/>
      </c>
      <c r="L42" s="366"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167"/>
      <c r="N42" s="169"/>
      <c r="O42" s="416" t="s">
        <v>112</v>
      </c>
      <c r="P42" s="394"/>
      <c r="Q42" s="417">
        <f>IFERROR(Q17/Q8, 0)</f>
        <v>11.925457796411617</v>
      </c>
      <c r="R42" s="418"/>
      <c r="S42" s="417"/>
      <c r="T42" s="417"/>
      <c r="U42" s="417"/>
      <c r="V42" s="396"/>
    </row>
    <row r="43" spans="1:22" ht="21.95" customHeight="1" x14ac:dyDescent="0.35">
      <c r="A43" s="363" t="s">
        <v>113</v>
      </c>
      <c r="B43" s="181"/>
      <c r="C43" s="182"/>
      <c r="D43" s="183"/>
      <c r="E43" s="184"/>
      <c r="F43" s="190"/>
      <c r="G43" s="364" t="str">
        <f>IF(OR(E43="",F43=""),"",PID_KVLohnLookup($A$1,E43,F43,LOHNTABELLE!$H$4))</f>
        <v/>
      </c>
      <c r="H43" s="365" t="str">
        <f>IF(AND(ISNUMBER(D43),ISNUMBER(F43)),ROUNDDOWN(MIN(IF(OR(ISBLANK(I43),I43=""),EOMONTH(DATE(EINSTELLUNG!$C$35,$A$1,1),0),I43)-MAX(D43,DATE(EINSTELLUNG!$C$35,$A$1,1))+1)/DAY(EOMONTH(DATE(EINSTELLUNG!$C$35,$A$1,1),0))*F43,2),"")</f>
        <v/>
      </c>
      <c r="I43" s="186"/>
      <c r="J43" s="187"/>
      <c r="K43" s="364" t="str">
        <f t="shared" si="1"/>
        <v/>
      </c>
      <c r="L43" s="366"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91"/>
      <c r="N43" s="189"/>
      <c r="O43" s="419"/>
      <c r="P43" s="419"/>
      <c r="Q43" s="419"/>
      <c r="R43" s="361"/>
      <c r="S43" s="361"/>
      <c r="T43" s="361"/>
      <c r="U43" s="361"/>
      <c r="V43" s="361"/>
    </row>
    <row r="44" spans="1:22" ht="21.95" customHeight="1" x14ac:dyDescent="0.35">
      <c r="A44" s="363" t="s">
        <v>114</v>
      </c>
      <c r="B44" s="152"/>
      <c r="C44" s="153"/>
      <c r="D44" s="154"/>
      <c r="E44" s="155"/>
      <c r="F44" s="156"/>
      <c r="G44" s="364" t="str">
        <f>IF(OR(E44="",F44=""),"",PID_KVLohnLookup($A$1,E44,F44,LOHNTABELLE!$H$4))</f>
        <v/>
      </c>
      <c r="H44" s="365" t="str">
        <f>IF(AND(ISNUMBER(D44),ISNUMBER(F44)),ROUNDDOWN(MIN(IF(OR(ISBLANK(I44),I44=""),EOMONTH(DATE(EINSTELLUNG!$C$35,$A$1,1),0),I44)-MAX(D44,DATE(EINSTELLUNG!$C$35,$A$1,1))+1)/DAY(EOMONTH(DATE(EINSTELLUNG!$C$35,$A$1,1),0))*F44,2),"")</f>
        <v/>
      </c>
      <c r="I44" s="158"/>
      <c r="J44" s="165"/>
      <c r="K44" s="364" t="str">
        <f t="shared" si="1"/>
        <v/>
      </c>
      <c r="L44" s="366"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70"/>
      <c r="N44" s="168"/>
      <c r="O44" s="420" t="s">
        <v>115</v>
      </c>
      <c r="P44" s="420"/>
      <c r="Q44" s="420"/>
      <c r="R44" s="420"/>
      <c r="S44" s="420"/>
      <c r="T44" s="420"/>
      <c r="U44" s="420"/>
      <c r="V44" s="420"/>
    </row>
    <row r="45" spans="1:22" ht="21.95" customHeight="1" x14ac:dyDescent="0.35">
      <c r="A45" s="363" t="s">
        <v>116</v>
      </c>
      <c r="B45" s="181"/>
      <c r="C45" s="182"/>
      <c r="D45" s="183"/>
      <c r="E45" s="184"/>
      <c r="F45" s="190"/>
      <c r="G45" s="364" t="str">
        <f>IF(OR(E45="",F45=""),"",PID_KVLohnLookup($A$1,E45,F45,LOHNTABELLE!$H$4))</f>
        <v/>
      </c>
      <c r="H45" s="365" t="str">
        <f>IF(AND(ISNUMBER(D45),ISNUMBER(F45)),ROUNDDOWN(MIN(IF(OR(ISBLANK(I45),I45=""),EOMONTH(DATE(EINSTELLUNG!$C$35,$A$1,1),0),I45)-MAX(D45,DATE(EINSTELLUNG!$C$35,$A$1,1))+1)/DAY(EOMONTH(DATE(EINSTELLUNG!$C$35,$A$1,1),0))*F45,2),"")</f>
        <v/>
      </c>
      <c r="I45" s="186"/>
      <c r="J45" s="187"/>
      <c r="K45" s="364" t="str">
        <f t="shared" si="1"/>
        <v/>
      </c>
      <c r="L45" s="366"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91"/>
      <c r="N45" s="189"/>
      <c r="O45" s="421"/>
      <c r="P45" s="421"/>
      <c r="Q45" s="421"/>
      <c r="R45" s="422"/>
      <c r="S45" s="422"/>
      <c r="T45" s="422"/>
      <c r="U45" s="422"/>
      <c r="V45" s="361"/>
    </row>
    <row r="46" spans="1:22" ht="21.95" customHeight="1" x14ac:dyDescent="0.35">
      <c r="A46" s="363" t="s">
        <v>117</v>
      </c>
      <c r="B46" s="152"/>
      <c r="C46" s="153"/>
      <c r="D46" s="158"/>
      <c r="E46" s="155"/>
      <c r="F46" s="156"/>
      <c r="G46" s="364" t="str">
        <f>IF(OR(E46="",F46=""),"",PID_KVLohnLookup($A$1,E46,F46,LOHNTABELLE!$H$4))</f>
        <v/>
      </c>
      <c r="H46" s="365" t="str">
        <f>IF(AND(ISNUMBER(D46),ISNUMBER(F46)),ROUNDDOWN(MIN(IF(OR(ISBLANK(I46),I46=""),EOMONTH(DATE(EINSTELLUNG!$C$35,$A$1,1),0),I46)-MAX(D46,DATE(EINSTELLUNG!$C$35,$A$1,1))+1)/DAY(EOMONTH(DATE(EINSTELLUNG!$C$35,$A$1,1),0))*F46,2),"")</f>
        <v/>
      </c>
      <c r="I46" s="158"/>
      <c r="J46" s="165"/>
      <c r="K46" s="364" t="str">
        <f t="shared" si="1"/>
        <v/>
      </c>
      <c r="L46" s="366"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70"/>
      <c r="N46" s="168"/>
      <c r="O46" s="361"/>
      <c r="P46" s="361"/>
      <c r="Q46" s="361"/>
      <c r="R46" s="361"/>
      <c r="S46" s="361"/>
      <c r="T46" s="361"/>
      <c r="U46" s="361"/>
      <c r="V46" s="361"/>
    </row>
    <row r="47" spans="1:22" ht="21.95" customHeight="1" x14ac:dyDescent="0.35">
      <c r="A47" s="363" t="s">
        <v>118</v>
      </c>
      <c r="B47" s="181"/>
      <c r="C47" s="182"/>
      <c r="D47" s="183"/>
      <c r="E47" s="184"/>
      <c r="F47" s="190"/>
      <c r="G47" s="364" t="str">
        <f>IF(OR(E47="",F47=""),"",PID_KVLohnLookup($A$1,E47,F47,LOHNTABELLE!$H$4))</f>
        <v/>
      </c>
      <c r="H47" s="365" t="str">
        <f>IF(AND(ISNUMBER(D47),ISNUMBER(F47)),ROUNDDOWN(MIN(IF(OR(ISBLANK(I47),I47=""),EOMONTH(DATE(EINSTELLUNG!$C$35,$A$1,1),0),I47)-MAX(D47,DATE(EINSTELLUNG!$C$35,$A$1,1))+1)/DAY(EOMONTH(DATE(EINSTELLUNG!$C$35,$A$1,1),0))*F47,2),"")</f>
        <v/>
      </c>
      <c r="I47" s="186"/>
      <c r="J47" s="187"/>
      <c r="K47" s="364" t="str">
        <f t="shared" si="1"/>
        <v/>
      </c>
      <c r="L47" s="366"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91"/>
      <c r="N47" s="189"/>
      <c r="O47" s="361"/>
      <c r="P47" s="361"/>
      <c r="Q47" s="361"/>
      <c r="R47" s="361"/>
      <c r="S47" s="361"/>
      <c r="T47" s="361"/>
      <c r="U47" s="361"/>
      <c r="V47" s="361"/>
    </row>
    <row r="48" spans="1:22" ht="21.95" customHeight="1" x14ac:dyDescent="0.35">
      <c r="A48" s="363" t="s">
        <v>119</v>
      </c>
      <c r="B48" s="152"/>
      <c r="C48" s="153"/>
      <c r="D48" s="154"/>
      <c r="E48" s="155"/>
      <c r="F48" s="156"/>
      <c r="G48" s="364" t="str">
        <f>IF(OR(E48="",F48=""),"",PID_KVLohnLookup($A$1,E48,F48,LOHNTABELLE!$H$4))</f>
        <v/>
      </c>
      <c r="H48" s="365" t="str">
        <f>IF(AND(ISNUMBER(D48),ISNUMBER(F48)),ROUNDDOWN(MIN(IF(OR(ISBLANK(I48),I48=""),EOMONTH(DATE(EINSTELLUNG!$C$35,$A$1,1),0),I48)-MAX(D48,DATE(EINSTELLUNG!$C$35,$A$1,1))+1)/DAY(EOMONTH(DATE(EINSTELLUNG!$C$35,$A$1,1),0))*F48,2),"")</f>
        <v/>
      </c>
      <c r="I48" s="158"/>
      <c r="J48" s="165"/>
      <c r="K48" s="364" t="str">
        <f t="shared" si="1"/>
        <v/>
      </c>
      <c r="L48" s="366"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70"/>
      <c r="N48" s="168"/>
      <c r="O48" s="361"/>
      <c r="P48" s="361"/>
      <c r="Q48" s="361"/>
      <c r="R48" s="361"/>
      <c r="S48" s="361"/>
      <c r="T48" s="361"/>
      <c r="U48" s="361"/>
      <c r="V48" s="361"/>
    </row>
    <row r="49" spans="1:22" ht="21.95" customHeight="1" x14ac:dyDescent="0.35">
      <c r="A49" s="363" t="s">
        <v>120</v>
      </c>
      <c r="B49" s="181"/>
      <c r="C49" s="182"/>
      <c r="D49" s="183"/>
      <c r="E49" s="184"/>
      <c r="F49" s="190"/>
      <c r="G49" s="364" t="str">
        <f>IF(OR(E49="",F49=""),"",PID_KVLohnLookup($A$1,E49,F49,LOHNTABELLE!$H$4))</f>
        <v/>
      </c>
      <c r="H49" s="365" t="str">
        <f>IF(AND(ISNUMBER(D49),ISNUMBER(F49)),ROUNDDOWN(MIN(IF(OR(ISBLANK(I49),I49=""),EOMONTH(DATE(EINSTELLUNG!$C$35,$A$1,1),0),I49)-MAX(D49,DATE(EINSTELLUNG!$C$35,$A$1,1))+1)/DAY(EOMONTH(DATE(EINSTELLUNG!$C$35,$A$1,1),0))*F49,2),"")</f>
        <v/>
      </c>
      <c r="I49" s="186"/>
      <c r="J49" s="187"/>
      <c r="K49" s="364" t="str">
        <f t="shared" si="1"/>
        <v/>
      </c>
      <c r="L49" s="366"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91"/>
      <c r="N49" s="189"/>
      <c r="O49" s="361"/>
      <c r="P49" s="361"/>
      <c r="Q49" s="361"/>
      <c r="R49" s="361"/>
      <c r="S49" s="361"/>
      <c r="T49" s="361"/>
      <c r="U49" s="361"/>
      <c r="V49" s="361"/>
    </row>
    <row r="50" spans="1:22" ht="21.95" customHeight="1" x14ac:dyDescent="0.35">
      <c r="A50" s="363" t="s">
        <v>121</v>
      </c>
      <c r="B50" s="152"/>
      <c r="C50" s="153"/>
      <c r="D50" s="154"/>
      <c r="E50" s="155"/>
      <c r="F50" s="156"/>
      <c r="G50" s="364" t="str">
        <f>IF(OR(E50="",F50=""),"",PID_KVLohnLookup($A$1,E50,F50,LOHNTABELLE!$H$4))</f>
        <v/>
      </c>
      <c r="H50" s="365" t="str">
        <f>IF(AND(ISNUMBER(D50),ISNUMBER(F50)),ROUNDDOWN(MIN(IF(OR(ISBLANK(I50),I50=""),EOMONTH(DATE(EINSTELLUNG!$C$35,$A$1,1),0),I50)-MAX(D50,DATE(EINSTELLUNG!$C$35,$A$1,1))+1)/DAY(EOMONTH(DATE(EINSTELLUNG!$C$35,$A$1,1),0))*F50,2),"")</f>
        <v/>
      </c>
      <c r="I50" s="158"/>
      <c r="J50" s="165"/>
      <c r="K50" s="364" t="str">
        <f t="shared" si="1"/>
        <v/>
      </c>
      <c r="L50" s="366"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70"/>
      <c r="N50" s="168"/>
      <c r="O50" s="361"/>
      <c r="P50" s="361"/>
      <c r="Q50" s="361"/>
      <c r="R50" s="361"/>
      <c r="S50" s="361"/>
      <c r="T50" s="361"/>
      <c r="U50" s="361"/>
      <c r="V50" s="361"/>
    </row>
    <row r="51" spans="1:22" ht="21.95" customHeight="1" x14ac:dyDescent="0.35">
      <c r="A51" s="363" t="s">
        <v>122</v>
      </c>
      <c r="B51" s="181"/>
      <c r="C51" s="182"/>
      <c r="D51" s="183"/>
      <c r="E51" s="184"/>
      <c r="F51" s="190"/>
      <c r="G51" s="364" t="str">
        <f>IF(OR(E51="",F51=""),"",PID_KVLohnLookup($A$1,E51,F51,LOHNTABELLE!$H$4))</f>
        <v/>
      </c>
      <c r="H51" s="365" t="str">
        <f>IF(AND(ISNUMBER(D51),ISNUMBER(F51)),ROUNDDOWN(MIN(IF(OR(ISBLANK(I51),I51=""),EOMONTH(DATE(EINSTELLUNG!$C$35,$A$1,1),0),I51)-MAX(D51,DATE(EINSTELLUNG!$C$35,$A$1,1))+1)/DAY(EOMONTH(DATE(EINSTELLUNG!$C$35,$A$1,1),0))*F51,2),"")</f>
        <v/>
      </c>
      <c r="I51" s="186"/>
      <c r="J51" s="187"/>
      <c r="K51" s="364" t="str">
        <f t="shared" si="1"/>
        <v/>
      </c>
      <c r="L51" s="366"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188"/>
      <c r="N51" s="192"/>
    </row>
    <row r="52" spans="1:22" ht="21.95" customHeight="1" x14ac:dyDescent="0.35">
      <c r="A52" s="363" t="s">
        <v>123</v>
      </c>
      <c r="B52" s="152"/>
      <c r="C52" s="153"/>
      <c r="D52" s="154"/>
      <c r="E52" s="155"/>
      <c r="F52" s="156"/>
      <c r="G52" s="364" t="str">
        <f>IF(OR(E52="",F52=""),"",PID_KVLohnLookup($A$1,E52,F52,LOHNTABELLE!$H$4))</f>
        <v/>
      </c>
      <c r="H52" s="365" t="str">
        <f>IF(AND(ISNUMBER(D52),ISNUMBER(F52)),ROUNDDOWN(MIN(IF(OR(ISBLANK(I52),I52=""),EOMONTH(DATE(EINSTELLUNG!$C$35,$A$1,1),0),I52)-MAX(D52,DATE(EINSTELLUNG!$C$35,$A$1,1))+1)/DAY(EOMONTH(DATE(EINSTELLUNG!$C$35,$A$1,1),0))*F52,2),"")</f>
        <v/>
      </c>
      <c r="I52" s="158"/>
      <c r="J52" s="165"/>
      <c r="K52" s="364" t="str">
        <f t="shared" si="1"/>
        <v/>
      </c>
      <c r="L52" s="366"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167"/>
      <c r="N52" s="168"/>
    </row>
    <row r="53" spans="1:22" ht="21.95" customHeight="1" x14ac:dyDescent="0.35">
      <c r="A53" s="363" t="s">
        <v>124</v>
      </c>
      <c r="B53" s="181"/>
      <c r="C53" s="182"/>
      <c r="D53" s="183"/>
      <c r="E53" s="184"/>
      <c r="F53" s="190"/>
      <c r="G53" s="364" t="str">
        <f>IF(OR(E53="",F53=""),"",PID_KVLohnLookup($A$1,E53,F53,LOHNTABELLE!$H$4))</f>
        <v/>
      </c>
      <c r="H53" s="365" t="str">
        <f>IF(AND(ISNUMBER(D53),ISNUMBER(F53)),ROUNDDOWN(MIN(IF(OR(ISBLANK(I53),I53=""),EOMONTH(DATE(EINSTELLUNG!$C$35,$A$1,1),0),I53)-MAX(D53,DATE(EINSTELLUNG!$C$35,$A$1,1))+1)/DAY(EOMONTH(DATE(EINSTELLUNG!$C$35,$A$1,1),0))*F53,2),"")</f>
        <v/>
      </c>
      <c r="I53" s="186"/>
      <c r="J53" s="187"/>
      <c r="K53" s="364" t="str">
        <f t="shared" si="1"/>
        <v/>
      </c>
      <c r="L53" s="366"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188"/>
      <c r="N53" s="189"/>
    </row>
    <row r="54" spans="1:22" ht="21.95" customHeight="1" x14ac:dyDescent="0.35">
      <c r="A54" s="363" t="s">
        <v>125</v>
      </c>
      <c r="B54" s="152"/>
      <c r="C54" s="153"/>
      <c r="D54" s="154"/>
      <c r="E54" s="155"/>
      <c r="F54" s="156"/>
      <c r="G54" s="364" t="str">
        <f>IF(OR(E54="",F54=""),"",PID_KVLohnLookup($A$1,E54,F54,LOHNTABELLE!$H$4))</f>
        <v/>
      </c>
      <c r="H54" s="365" t="str">
        <f>IF(AND(ISNUMBER(D54),ISNUMBER(F54)),ROUNDDOWN(MIN(IF(OR(ISBLANK(I54),I54=""),EOMONTH(DATE(EINSTELLUNG!$C$35,$A$1,1),0),I54)-MAX(D54,DATE(EINSTELLUNG!$C$35,$A$1,1))+1)/DAY(EOMONTH(DATE(EINSTELLUNG!$C$35,$A$1,1),0))*F54,2),"")</f>
        <v/>
      </c>
      <c r="I54" s="158"/>
      <c r="J54" s="165"/>
      <c r="K54" s="364" t="str">
        <f t="shared" si="1"/>
        <v/>
      </c>
      <c r="L54" s="366"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167"/>
      <c r="N54" s="168"/>
    </row>
    <row r="55" spans="1:22" ht="21.95" customHeight="1" x14ac:dyDescent="0.35">
      <c r="A55" s="363" t="s">
        <v>126</v>
      </c>
      <c r="B55" s="181"/>
      <c r="C55" s="182"/>
      <c r="D55" s="186"/>
      <c r="E55" s="184"/>
      <c r="F55" s="190"/>
      <c r="G55" s="364" t="str">
        <f>IF(OR(E55="",F55=""),"",PID_KVLohnLookup($A$1,E55,F55,LOHNTABELLE!$H$4))</f>
        <v/>
      </c>
      <c r="H55" s="365" t="str">
        <f>IF(AND(ISNUMBER(D55),ISNUMBER(F55)),ROUNDDOWN(MIN(IF(OR(ISBLANK(I55),I55=""),EOMONTH(DATE(EINSTELLUNG!$C$35,$A$1,1),0),I55)-MAX(D55,DATE(EINSTELLUNG!$C$35,$A$1,1))+1)/DAY(EOMONTH(DATE(EINSTELLUNG!$C$35,$A$1,1),0))*F55,2),"")</f>
        <v/>
      </c>
      <c r="I55" s="186"/>
      <c r="J55" s="187"/>
      <c r="K55" s="364" t="str">
        <f t="shared" si="1"/>
        <v/>
      </c>
      <c r="L55" s="366"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188"/>
      <c r="N55" s="189"/>
    </row>
    <row r="56" spans="1:22" ht="21.95" customHeight="1" x14ac:dyDescent="0.35">
      <c r="A56" s="363" t="s">
        <v>127</v>
      </c>
      <c r="B56" s="152"/>
      <c r="C56" s="153"/>
      <c r="D56" s="154"/>
      <c r="E56" s="155"/>
      <c r="F56" s="156"/>
      <c r="G56" s="364" t="str">
        <f>IF(OR(E56="",F56=""),"",PID_KVLohnLookup($A$1,E56,F56,LOHNTABELLE!$H$4))</f>
        <v/>
      </c>
      <c r="H56" s="365" t="str">
        <f>IF(AND(ISNUMBER(D56),ISNUMBER(F56)),ROUNDDOWN(MIN(IF(OR(ISBLANK(I56),I56=""),EOMONTH(DATE(EINSTELLUNG!$C$35,$A$1,1),0),I56)-MAX(D56,DATE(EINSTELLUNG!$C$35,$A$1,1))+1)/DAY(EOMONTH(DATE(EINSTELLUNG!$C$35,$A$1,1),0))*F56,2),"")</f>
        <v/>
      </c>
      <c r="I56" s="158"/>
      <c r="J56" s="165"/>
      <c r="K56" s="364" t="str">
        <f t="shared" si="1"/>
        <v/>
      </c>
      <c r="L56" s="366"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167"/>
      <c r="N56" s="168"/>
    </row>
    <row r="57" spans="1:22" ht="21.95" customHeight="1" x14ac:dyDescent="0.35">
      <c r="A57" s="363" t="s">
        <v>128</v>
      </c>
      <c r="B57" s="181"/>
      <c r="C57" s="182"/>
      <c r="D57" s="186"/>
      <c r="E57" s="184"/>
      <c r="F57" s="190"/>
      <c r="G57" s="364" t="str">
        <f>IF(OR(E57="",F57=""),"",PID_KVLohnLookup($A$1,E57,F57,LOHNTABELLE!$H$4))</f>
        <v/>
      </c>
      <c r="H57" s="365" t="str">
        <f>IF(AND(ISNUMBER(D57),ISNUMBER(F57)),ROUNDDOWN(MIN(IF(OR(ISBLANK(I57),I57=""),EOMONTH(DATE(EINSTELLUNG!$C$35,$A$1,1),0),I57)-MAX(D57,DATE(EINSTELLUNG!$C$35,$A$1,1))+1)/DAY(EOMONTH(DATE(EINSTELLUNG!$C$35,$A$1,1),0))*F57,2),"")</f>
        <v/>
      </c>
      <c r="I57" s="186"/>
      <c r="J57" s="187"/>
      <c r="K57" s="364" t="str">
        <f t="shared" si="1"/>
        <v/>
      </c>
      <c r="L57" s="366"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188"/>
      <c r="N57" s="189"/>
    </row>
    <row r="58" spans="1:22" ht="21.95" customHeight="1" x14ac:dyDescent="0.35">
      <c r="A58" s="363" t="s">
        <v>129</v>
      </c>
      <c r="B58" s="152"/>
      <c r="C58" s="153"/>
      <c r="D58" s="158"/>
      <c r="E58" s="155"/>
      <c r="F58" s="156"/>
      <c r="G58" s="364" t="str">
        <f>IF(OR(E58="",F58=""),"",PID_KVLohnLookup($A$1,E58,F58,LOHNTABELLE!$H$4))</f>
        <v/>
      </c>
      <c r="H58" s="365" t="str">
        <f>IF(AND(ISNUMBER(D58),ISNUMBER(F58)),ROUNDDOWN(MIN(IF(OR(ISBLANK(I58),I58=""),EOMONTH(DATE(EINSTELLUNG!$C$35,$A$1,1),0),I58)-MAX(D58,DATE(EINSTELLUNG!$C$35,$A$1,1))+1)/DAY(EOMONTH(DATE(EINSTELLUNG!$C$35,$A$1,1),0))*F58,2),"")</f>
        <v/>
      </c>
      <c r="I58" s="158"/>
      <c r="J58" s="165"/>
      <c r="K58" s="364" t="str">
        <f t="shared" si="1"/>
        <v/>
      </c>
      <c r="L58" s="366"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167"/>
      <c r="N58" s="168"/>
    </row>
    <row r="59" spans="1:22" ht="21.95" customHeight="1" x14ac:dyDescent="0.35">
      <c r="A59" s="363" t="s">
        <v>130</v>
      </c>
      <c r="B59" s="181"/>
      <c r="C59" s="182"/>
      <c r="D59" s="186"/>
      <c r="E59" s="184"/>
      <c r="F59" s="190"/>
      <c r="G59" s="364" t="str">
        <f>IF(OR(E59="",F59=""),"",PID_KVLohnLookup($A$1,E59,F59,LOHNTABELLE!$H$4))</f>
        <v/>
      </c>
      <c r="H59" s="365" t="str">
        <f>IF(AND(ISNUMBER(D59),ISNUMBER(F59)),ROUNDDOWN(MIN(IF(OR(ISBLANK(I59),I59=""),EOMONTH(DATE(EINSTELLUNG!$C$35,$A$1,1),0),I59)-MAX(D59,DATE(EINSTELLUNG!$C$35,$A$1,1))+1)/DAY(EOMONTH(DATE(EINSTELLUNG!$C$35,$A$1,1),0))*F59,2),"")</f>
        <v/>
      </c>
      <c r="I59" s="186"/>
      <c r="J59" s="187"/>
      <c r="K59" s="364" t="str">
        <f t="shared" si="1"/>
        <v/>
      </c>
      <c r="L59" s="366"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188"/>
      <c r="N59" s="189"/>
    </row>
    <row r="60" spans="1:22" ht="21.95" customHeight="1" x14ac:dyDescent="0.35">
      <c r="A60" s="363" t="s">
        <v>131</v>
      </c>
      <c r="B60" s="152"/>
      <c r="C60" s="153"/>
      <c r="D60" s="158"/>
      <c r="E60" s="155"/>
      <c r="F60" s="156"/>
      <c r="G60" s="364" t="str">
        <f>IF(OR(E60="",F60=""),"",PID_KVLohnLookup($A$1,E60,F60,LOHNTABELLE!$H$4))</f>
        <v/>
      </c>
      <c r="H60" s="365" t="str">
        <f>IF(AND(ISNUMBER(D60),ISNUMBER(F60)),ROUNDDOWN(MIN(IF(OR(ISBLANK(I60),I60=""),EOMONTH(DATE(EINSTELLUNG!$C$35,$A$1,1),0),I60)-MAX(D60,DATE(EINSTELLUNG!$C$35,$A$1,1))+1)/DAY(EOMONTH(DATE(EINSTELLUNG!$C$35,$A$1,1),0))*F60,2),"")</f>
        <v/>
      </c>
      <c r="I60" s="158"/>
      <c r="J60" s="165"/>
      <c r="K60" s="364" t="str">
        <f t="shared" si="1"/>
        <v/>
      </c>
      <c r="L60" s="366"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167"/>
      <c r="N60" s="168"/>
    </row>
    <row r="61" spans="1:22" ht="21.95" customHeight="1" x14ac:dyDescent="0.35">
      <c r="A61" s="363" t="s">
        <v>132</v>
      </c>
      <c r="B61" s="181"/>
      <c r="C61" s="182"/>
      <c r="D61" s="186"/>
      <c r="E61" s="184"/>
      <c r="F61" s="190"/>
      <c r="G61" s="364" t="str">
        <f>IF(OR(E61="",F61=""),"",PID_KVLohnLookup($A$1,E61,F61,LOHNTABELLE!$H$4))</f>
        <v/>
      </c>
      <c r="H61" s="365" t="str">
        <f>IF(AND(ISNUMBER(D61),ISNUMBER(F61)),ROUNDDOWN(MIN(IF(OR(ISBLANK(I61),I61=""),EOMONTH(DATE(EINSTELLUNG!$C$35,$A$1,1),0),I61)-MAX(D61,DATE(EINSTELLUNG!$C$35,$A$1,1))+1)/DAY(EOMONTH(DATE(EINSTELLUNG!$C$35,$A$1,1),0))*F61,2),"")</f>
        <v/>
      </c>
      <c r="I61" s="186"/>
      <c r="J61" s="187"/>
      <c r="K61" s="364" t="str">
        <f t="shared" si="1"/>
        <v/>
      </c>
      <c r="L61" s="366"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88"/>
      <c r="N61" s="189"/>
    </row>
    <row r="62" spans="1:22" ht="21.95" customHeight="1" x14ac:dyDescent="0.35">
      <c r="A62" s="363" t="s">
        <v>133</v>
      </c>
      <c r="B62" s="152"/>
      <c r="C62" s="153"/>
      <c r="D62" s="158"/>
      <c r="E62" s="155"/>
      <c r="F62" s="156"/>
      <c r="G62" s="364" t="str">
        <f>IF(OR(E62="",F62=""),"",PID_KVLohnLookup($A$1,E62,F62,LOHNTABELLE!$H$4))</f>
        <v/>
      </c>
      <c r="H62" s="365" t="str">
        <f>IF(AND(ISNUMBER(D62),ISNUMBER(F62)),ROUNDDOWN(MIN(IF(OR(ISBLANK(I62),I62=""),EOMONTH(DATE(EINSTELLUNG!$C$35,$A$1,1),0),I62)-MAX(D62,DATE(EINSTELLUNG!$C$35,$A$1,1))+1)/DAY(EOMONTH(DATE(EINSTELLUNG!$C$35,$A$1,1),0))*F62,2),"")</f>
        <v/>
      </c>
      <c r="I62" s="158"/>
      <c r="J62" s="165"/>
      <c r="K62" s="364" t="str">
        <f t="shared" si="1"/>
        <v/>
      </c>
      <c r="L62" s="366"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167"/>
      <c r="N62" s="168"/>
    </row>
    <row r="63" spans="1:22" ht="21.95" customHeight="1" x14ac:dyDescent="0.35">
      <c r="A63" s="363" t="s">
        <v>134</v>
      </c>
      <c r="B63" s="181"/>
      <c r="C63" s="193"/>
      <c r="D63" s="186"/>
      <c r="E63" s="184"/>
      <c r="F63" s="190"/>
      <c r="G63" s="364" t="str">
        <f>IF(OR(E63="",F63=""),"",PID_KVLohnLookup($A$1,E63,F63,LOHNTABELLE!$H$4))</f>
        <v/>
      </c>
      <c r="H63" s="365" t="str">
        <f>IF(AND(ISNUMBER(D63),ISNUMBER(F63)),ROUNDDOWN(MIN(IF(OR(ISBLANK(I63),I63=""),EOMONTH(DATE(EINSTELLUNG!$C$35,$A$1,1),0),I63)-MAX(D63,DATE(EINSTELLUNG!$C$35,$A$1,1))+1)/DAY(EOMONTH(DATE(EINSTELLUNG!$C$35,$A$1,1),0))*F63,2),"")</f>
        <v/>
      </c>
      <c r="I63" s="186"/>
      <c r="J63" s="187"/>
      <c r="K63" s="364" t="str">
        <f t="shared" si="1"/>
        <v/>
      </c>
      <c r="L63" s="366"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88"/>
      <c r="N63" s="189"/>
    </row>
    <row r="64" spans="1:22" ht="21.95" customHeight="1" x14ac:dyDescent="0.35">
      <c r="A64" s="363" t="s">
        <v>135</v>
      </c>
      <c r="B64" s="152"/>
      <c r="C64" s="153"/>
      <c r="D64" s="158"/>
      <c r="E64" s="155"/>
      <c r="F64" s="156"/>
      <c r="G64" s="364" t="str">
        <f>IF(OR(E64="",F64=""),"",PID_KVLohnLookup($A$1,E64,F64,LOHNTABELLE!$H$4))</f>
        <v/>
      </c>
      <c r="H64" s="365" t="str">
        <f>IF(AND(ISNUMBER(D64),ISNUMBER(F64)),ROUNDDOWN(MIN(IF(OR(ISBLANK(I64),I64=""),EOMONTH(DATE(EINSTELLUNG!$C$35,$A$1,1),0),I64)-MAX(D64,DATE(EINSTELLUNG!$C$35,$A$1,1))+1)/DAY(EOMONTH(DATE(EINSTELLUNG!$C$35,$A$1,1),0))*F64,2),"")</f>
        <v/>
      </c>
      <c r="I64" s="158"/>
      <c r="J64" s="165"/>
      <c r="K64" s="364" t="str">
        <f t="shared" si="1"/>
        <v/>
      </c>
      <c r="L64" s="366"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167"/>
      <c r="N64" s="168"/>
    </row>
    <row r="65" spans="1:14" ht="21.95" customHeight="1" x14ac:dyDescent="0.35">
      <c r="A65" s="363" t="s">
        <v>136</v>
      </c>
      <c r="B65" s="181"/>
      <c r="C65" s="182"/>
      <c r="D65" s="186"/>
      <c r="E65" s="184"/>
      <c r="F65" s="190"/>
      <c r="G65" s="364" t="str">
        <f>IF(OR(E65="",F65=""),"",PID_KVLohnLookup($A$1,E65,F65,LOHNTABELLE!$H$4))</f>
        <v/>
      </c>
      <c r="H65" s="365" t="str">
        <f>IF(AND(ISNUMBER(D65),ISNUMBER(F65)),ROUNDDOWN(MIN(IF(OR(ISBLANK(I65),I65=""),EOMONTH(DATE(EINSTELLUNG!$C$35,$A$1,1),0),I65)-MAX(D65,DATE(EINSTELLUNG!$C$35,$A$1,1))+1)/DAY(EOMONTH(DATE(EINSTELLUNG!$C$35,$A$1,1),0))*F65,2),"")</f>
        <v/>
      </c>
      <c r="I65" s="186"/>
      <c r="J65" s="187"/>
      <c r="K65" s="364" t="str">
        <f t="shared" si="1"/>
        <v/>
      </c>
      <c r="L65" s="366"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88"/>
      <c r="N65" s="189"/>
    </row>
    <row r="66" spans="1:14" ht="21.95" customHeight="1" x14ac:dyDescent="0.35">
      <c r="A66" s="363" t="s">
        <v>137</v>
      </c>
      <c r="B66" s="152"/>
      <c r="C66" s="153"/>
      <c r="D66" s="158"/>
      <c r="E66" s="155"/>
      <c r="F66" s="156"/>
      <c r="G66" s="364" t="str">
        <f>IF(OR(E66="",F66=""),"",PID_KVLohnLookup($A$1,E66,F66,LOHNTABELLE!$H$4))</f>
        <v/>
      </c>
      <c r="H66" s="365" t="str">
        <f>IF(AND(ISNUMBER(D66),ISNUMBER(F66)),ROUNDDOWN(MIN(IF(OR(ISBLANK(I66),I66=""),EOMONTH(DATE(EINSTELLUNG!$C$35,$A$1,1),0),I66)-MAX(D66,DATE(EINSTELLUNG!$C$35,$A$1,1))+1)/DAY(EOMONTH(DATE(EINSTELLUNG!$C$35,$A$1,1),0))*F66,2),"")</f>
        <v/>
      </c>
      <c r="I66" s="158"/>
      <c r="J66" s="165"/>
      <c r="K66" s="364" t="str">
        <f t="shared" si="1"/>
        <v/>
      </c>
      <c r="L66" s="366"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167"/>
      <c r="N66" s="168"/>
    </row>
    <row r="67" spans="1:14" ht="21.95" customHeight="1" x14ac:dyDescent="0.35">
      <c r="A67" s="363" t="s">
        <v>138</v>
      </c>
      <c r="B67" s="181"/>
      <c r="C67" s="182"/>
      <c r="D67" s="186"/>
      <c r="E67" s="184"/>
      <c r="F67" s="190"/>
      <c r="G67" s="364" t="str">
        <f>IF(OR(E67="",F67=""),"",PID_KVLohnLookup($A$1,E67,F67,LOHNTABELLE!$H$4))</f>
        <v/>
      </c>
      <c r="H67" s="365" t="str">
        <f>IF(AND(ISNUMBER(D67),ISNUMBER(F67)),ROUNDDOWN(MIN(IF(OR(ISBLANK(I67),I67=""),EOMONTH(DATE(EINSTELLUNG!$C$35,$A$1,1),0),I67)-MAX(D67,DATE(EINSTELLUNG!$C$35,$A$1,1))+1)/DAY(EOMONTH(DATE(EINSTELLUNG!$C$35,$A$1,1),0))*F67,2),"")</f>
        <v/>
      </c>
      <c r="I67" s="186"/>
      <c r="J67" s="187"/>
      <c r="K67" s="364" t="str">
        <f t="shared" ref="K67:K98" si="3">IF(OR(B67="",C67=""),"",IFERROR(IF(OR(MONTH(D67)=1,MONTH(D67)=3,MONTH(D67)=5,MONTH(D67)=7,MONTH(D67)=8,MONTH(D67)=10,MONTH(D67)=12),(G67/31)*J67,IF(OR(MONTH(D67)=4,MONTH(D67)=6,MONTH(D67)=9,MONTH(D67)=11),(G67/30)*J67,(G67/DAY(EOMONTH(D67,0)))*J67)),0))</f>
        <v/>
      </c>
      <c r="L67" s="366"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88"/>
      <c r="N67" s="189"/>
    </row>
    <row r="68" spans="1:14" ht="21.95" customHeight="1" x14ac:dyDescent="0.35">
      <c r="A68" s="363" t="s">
        <v>139</v>
      </c>
      <c r="B68" s="152"/>
      <c r="C68" s="153"/>
      <c r="D68" s="158"/>
      <c r="E68" s="155"/>
      <c r="F68" s="156"/>
      <c r="G68" s="364" t="str">
        <f>IF(OR(E68="",F68=""),"",PID_KVLohnLookup($A$1,E68,F68,LOHNTABELLE!$H$4))</f>
        <v/>
      </c>
      <c r="H68" s="365" t="str">
        <f>IF(AND(ISNUMBER(D68),ISNUMBER(F68)),ROUNDDOWN(MIN(IF(OR(ISBLANK(I68),I68=""),EOMONTH(DATE(EINSTELLUNG!$C$35,$A$1,1),0),I68)-MAX(D68,DATE(EINSTELLUNG!$C$35,$A$1,1))+1)/DAY(EOMONTH(DATE(EINSTELLUNG!$C$35,$A$1,1),0))*F68,2),"")</f>
        <v/>
      </c>
      <c r="I68" s="158"/>
      <c r="J68" s="165"/>
      <c r="K68" s="364" t="str">
        <f t="shared" si="3"/>
        <v/>
      </c>
      <c r="L68" s="366"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167"/>
      <c r="N68" s="168"/>
    </row>
    <row r="69" spans="1:14" ht="21.95" customHeight="1" x14ac:dyDescent="0.35">
      <c r="A69" s="363" t="s">
        <v>140</v>
      </c>
      <c r="B69" s="181"/>
      <c r="C69" s="182"/>
      <c r="D69" s="186"/>
      <c r="E69" s="184"/>
      <c r="F69" s="190"/>
      <c r="G69" s="364" t="str">
        <f>IF(OR(E69="",F69=""),"",PID_KVLohnLookup($A$1,E69,F69,LOHNTABELLE!$H$4))</f>
        <v/>
      </c>
      <c r="H69" s="365" t="str">
        <f>IF(AND(ISNUMBER(D69),ISNUMBER(F69)),ROUNDDOWN(MIN(IF(OR(ISBLANK(I69),I69=""),EOMONTH(DATE(EINSTELLUNG!$C$35,$A$1,1),0),I69)-MAX(D69,DATE(EINSTELLUNG!$C$35,$A$1,1))+1)/DAY(EOMONTH(DATE(EINSTELLUNG!$C$35,$A$1,1),0))*F69,2),"")</f>
        <v/>
      </c>
      <c r="I69" s="186"/>
      <c r="J69" s="187"/>
      <c r="K69" s="364" t="str">
        <f t="shared" si="3"/>
        <v/>
      </c>
      <c r="L69" s="366"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88"/>
      <c r="N69" s="189"/>
    </row>
    <row r="70" spans="1:14" ht="21.95" customHeight="1" x14ac:dyDescent="0.35">
      <c r="A70" s="363" t="s">
        <v>141</v>
      </c>
      <c r="B70" s="152"/>
      <c r="C70" s="153"/>
      <c r="D70" s="158"/>
      <c r="E70" s="155"/>
      <c r="F70" s="156"/>
      <c r="G70" s="364" t="str">
        <f>IF(OR(E70="",F70=""),"",PID_KVLohnLookup($A$1,E70,F70,LOHNTABELLE!$H$4))</f>
        <v/>
      </c>
      <c r="H70" s="365" t="str">
        <f>IF(AND(ISNUMBER(D70),ISNUMBER(F70)),ROUNDDOWN(MIN(IF(OR(ISBLANK(I70),I70=""),EOMONTH(DATE(EINSTELLUNG!$C$35,$A$1,1),0),I70)-MAX(D70,DATE(EINSTELLUNG!$C$35,$A$1,1))+1)/DAY(EOMONTH(DATE(EINSTELLUNG!$C$35,$A$1,1),0))*F70,2),"")</f>
        <v/>
      </c>
      <c r="I70" s="158"/>
      <c r="J70" s="165"/>
      <c r="K70" s="364" t="str">
        <f t="shared" si="3"/>
        <v/>
      </c>
      <c r="L70" s="366"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167"/>
      <c r="N70" s="168"/>
    </row>
    <row r="71" spans="1:14" ht="21.95" customHeight="1" x14ac:dyDescent="0.35">
      <c r="A71" s="363" t="s">
        <v>142</v>
      </c>
      <c r="B71" s="181"/>
      <c r="C71" s="182"/>
      <c r="D71" s="186"/>
      <c r="E71" s="184"/>
      <c r="F71" s="190"/>
      <c r="G71" s="364" t="str">
        <f>IF(OR(E71="",F71=""),"",PID_KVLohnLookup($A$1,E71,F71,LOHNTABELLE!$H$4))</f>
        <v/>
      </c>
      <c r="H71" s="365" t="str">
        <f>IF(AND(ISNUMBER(D71),ISNUMBER(F71)),ROUNDDOWN(MIN(IF(OR(ISBLANK(I71),I71=""),EOMONTH(DATE(EINSTELLUNG!$C$35,$A$1,1),0),I71)-MAX(D71,DATE(EINSTELLUNG!$C$35,$A$1,1))+1)/DAY(EOMONTH(DATE(EINSTELLUNG!$C$35,$A$1,1),0))*F71,2),"")</f>
        <v/>
      </c>
      <c r="I71" s="186"/>
      <c r="J71" s="187"/>
      <c r="K71" s="364" t="str">
        <f t="shared" si="3"/>
        <v/>
      </c>
      <c r="L71" s="366"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88"/>
      <c r="N71" s="189"/>
    </row>
    <row r="72" spans="1:14" ht="21.95" customHeight="1" x14ac:dyDescent="0.35">
      <c r="A72" s="363" t="s">
        <v>143</v>
      </c>
      <c r="B72" s="152"/>
      <c r="C72" s="153"/>
      <c r="D72" s="158"/>
      <c r="E72" s="155"/>
      <c r="F72" s="156"/>
      <c r="G72" s="364" t="str">
        <f>IF(OR(E72="",F72=""),"",PID_KVLohnLookup($A$1,E72,F72,LOHNTABELLE!$H$4))</f>
        <v/>
      </c>
      <c r="H72" s="365" t="str">
        <f>IF(AND(ISNUMBER(D72),ISNUMBER(F72)),ROUNDDOWN(MIN(IF(OR(ISBLANK(I72),I72=""),EOMONTH(DATE(EINSTELLUNG!$C$35,$A$1,1),0),I72)-MAX(D72,DATE(EINSTELLUNG!$C$35,$A$1,1))+1)/DAY(EOMONTH(DATE(EINSTELLUNG!$C$35,$A$1,1),0))*F72,2),"")</f>
        <v/>
      </c>
      <c r="I72" s="158"/>
      <c r="J72" s="165"/>
      <c r="K72" s="364" t="str">
        <f t="shared" si="3"/>
        <v/>
      </c>
      <c r="L72" s="366"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167"/>
      <c r="N72" s="168"/>
    </row>
    <row r="73" spans="1:14" ht="21.95" customHeight="1" x14ac:dyDescent="0.35">
      <c r="A73" s="363" t="s">
        <v>144</v>
      </c>
      <c r="B73" s="181"/>
      <c r="C73" s="182"/>
      <c r="D73" s="186"/>
      <c r="E73" s="184"/>
      <c r="F73" s="190"/>
      <c r="G73" s="364" t="str">
        <f>IF(OR(E73="",F73=""),"",PID_KVLohnLookup($A$1,E73,F73,LOHNTABELLE!$H$4))</f>
        <v/>
      </c>
      <c r="H73" s="365" t="str">
        <f>IF(AND(ISNUMBER(D73),ISNUMBER(F73)),ROUNDDOWN(MIN(IF(OR(ISBLANK(I73),I73=""),EOMONTH(DATE(EINSTELLUNG!$C$35,$A$1,1),0),I73)-MAX(D73,DATE(EINSTELLUNG!$C$35,$A$1,1))+1)/DAY(EOMONTH(DATE(EINSTELLUNG!$C$35,$A$1,1),0))*F73,2),"")</f>
        <v/>
      </c>
      <c r="I73" s="186"/>
      <c r="J73" s="187"/>
      <c r="K73" s="364" t="str">
        <f t="shared" si="3"/>
        <v/>
      </c>
      <c r="L73" s="366"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88"/>
      <c r="N73" s="189"/>
    </row>
    <row r="74" spans="1:14" ht="21.95" customHeight="1" x14ac:dyDescent="0.35">
      <c r="A74" s="363" t="s">
        <v>145</v>
      </c>
      <c r="B74" s="152"/>
      <c r="C74" s="153"/>
      <c r="D74" s="158"/>
      <c r="E74" s="155"/>
      <c r="F74" s="156"/>
      <c r="G74" s="364" t="str">
        <f>IF(OR(E74="",F74=""),"",PID_KVLohnLookup($A$1,E74,F74,LOHNTABELLE!$H$4))</f>
        <v/>
      </c>
      <c r="H74" s="365" t="str">
        <f>IF(AND(ISNUMBER(D74),ISNUMBER(F74)),ROUNDDOWN(MIN(IF(OR(ISBLANK(I74),I74=""),EOMONTH(DATE(EINSTELLUNG!$C$35,$A$1,1),0),I74)-MAX(D74,DATE(EINSTELLUNG!$C$35,$A$1,1))+1)/DAY(EOMONTH(DATE(EINSTELLUNG!$C$35,$A$1,1),0))*F74,2),"")</f>
        <v/>
      </c>
      <c r="I74" s="158"/>
      <c r="J74" s="165"/>
      <c r="K74" s="364" t="str">
        <f t="shared" si="3"/>
        <v/>
      </c>
      <c r="L74" s="366"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167"/>
      <c r="N74" s="168"/>
    </row>
    <row r="75" spans="1:14" ht="21.95" customHeight="1" x14ac:dyDescent="0.35">
      <c r="A75" s="363" t="s">
        <v>146</v>
      </c>
      <c r="B75" s="181"/>
      <c r="C75" s="182"/>
      <c r="D75" s="186"/>
      <c r="E75" s="184"/>
      <c r="F75" s="190"/>
      <c r="G75" s="364" t="str">
        <f>IF(OR(E75="",F75=""),"",PID_KVLohnLookup($A$1,E75,F75,LOHNTABELLE!$H$4))</f>
        <v/>
      </c>
      <c r="H75" s="365" t="str">
        <f>IF(AND(ISNUMBER(D75),ISNUMBER(F75)),ROUNDDOWN(MIN(IF(OR(ISBLANK(I75),I75=""),EOMONTH(DATE(EINSTELLUNG!$C$35,$A$1,1),0),I75)-MAX(D75,DATE(EINSTELLUNG!$C$35,$A$1,1))+1)/DAY(EOMONTH(DATE(EINSTELLUNG!$C$35,$A$1,1),0))*F75,2),"")</f>
        <v/>
      </c>
      <c r="I75" s="186"/>
      <c r="J75" s="187"/>
      <c r="K75" s="364" t="str">
        <f t="shared" si="3"/>
        <v/>
      </c>
      <c r="L75" s="366"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88"/>
      <c r="N75" s="189"/>
    </row>
    <row r="76" spans="1:14" ht="21.95" customHeight="1" x14ac:dyDescent="0.35">
      <c r="A76" s="363" t="s">
        <v>147</v>
      </c>
      <c r="B76" s="152"/>
      <c r="C76" s="153"/>
      <c r="D76" s="158"/>
      <c r="E76" s="155"/>
      <c r="F76" s="156"/>
      <c r="G76" s="364" t="str">
        <f>IF(OR(E76="",F76=""),"",PID_KVLohnLookup($A$1,E76,F76,LOHNTABELLE!$H$4))</f>
        <v/>
      </c>
      <c r="H76" s="365" t="str">
        <f>IF(AND(ISNUMBER(D76),ISNUMBER(F76)),ROUNDDOWN(MIN(IF(OR(ISBLANK(I76),I76=""),EOMONTH(DATE(EINSTELLUNG!$C$35,$A$1,1),0),I76)-MAX(D76,DATE(EINSTELLUNG!$C$35,$A$1,1))+1)/DAY(EOMONTH(DATE(EINSTELLUNG!$C$35,$A$1,1),0))*F76,2),"")</f>
        <v/>
      </c>
      <c r="I76" s="158"/>
      <c r="J76" s="165"/>
      <c r="K76" s="364" t="str">
        <f t="shared" si="3"/>
        <v/>
      </c>
      <c r="L76" s="366"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167"/>
      <c r="N76" s="168"/>
    </row>
    <row r="77" spans="1:14" ht="21.95" customHeight="1" x14ac:dyDescent="0.35">
      <c r="A77" s="363" t="s">
        <v>148</v>
      </c>
      <c r="B77" s="181"/>
      <c r="C77" s="182"/>
      <c r="D77" s="186"/>
      <c r="E77" s="184"/>
      <c r="F77" s="190"/>
      <c r="G77" s="364" t="str">
        <f>IF(OR(E77="",F77=""),"",PID_KVLohnLookup($A$1,E77,F77,LOHNTABELLE!$H$4))</f>
        <v/>
      </c>
      <c r="H77" s="365" t="str">
        <f>IF(AND(ISNUMBER(D77),ISNUMBER(F77)),ROUNDDOWN(MIN(IF(OR(ISBLANK(I77),I77=""),EOMONTH(DATE(EINSTELLUNG!$C$35,$A$1,1),0),I77)-MAX(D77,DATE(EINSTELLUNG!$C$35,$A$1,1))+1)/DAY(EOMONTH(DATE(EINSTELLUNG!$C$35,$A$1,1),0))*F77,2),"")</f>
        <v/>
      </c>
      <c r="I77" s="186"/>
      <c r="J77" s="187"/>
      <c r="K77" s="364" t="str">
        <f t="shared" si="3"/>
        <v/>
      </c>
      <c r="L77" s="366"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88"/>
      <c r="N77" s="189"/>
    </row>
    <row r="78" spans="1:14" ht="21.95" customHeight="1" x14ac:dyDescent="0.35">
      <c r="A78" s="363" t="s">
        <v>149</v>
      </c>
      <c r="B78" s="152"/>
      <c r="C78" s="153"/>
      <c r="D78" s="158"/>
      <c r="E78" s="155"/>
      <c r="F78" s="156"/>
      <c r="G78" s="364" t="str">
        <f>IF(OR(E78="",F78=""),"",PID_KVLohnLookup($A$1,E78,F78,LOHNTABELLE!$H$4))</f>
        <v/>
      </c>
      <c r="H78" s="365" t="str">
        <f>IF(AND(ISNUMBER(D78),ISNUMBER(F78)),ROUNDDOWN(MIN(IF(OR(ISBLANK(I78),I78=""),EOMONTH(DATE(EINSTELLUNG!$C$35,$A$1,1),0),I78)-MAX(D78,DATE(EINSTELLUNG!$C$35,$A$1,1))+1)/DAY(EOMONTH(DATE(EINSTELLUNG!$C$35,$A$1,1),0))*F78,2),"")</f>
        <v/>
      </c>
      <c r="I78" s="158"/>
      <c r="J78" s="165"/>
      <c r="K78" s="364" t="str">
        <f t="shared" si="3"/>
        <v/>
      </c>
      <c r="L78" s="366"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167"/>
      <c r="N78" s="168"/>
    </row>
    <row r="79" spans="1:14" ht="21.95" customHeight="1" x14ac:dyDescent="0.35">
      <c r="A79" s="363" t="s">
        <v>150</v>
      </c>
      <c r="B79" s="181"/>
      <c r="C79" s="182"/>
      <c r="D79" s="186"/>
      <c r="E79" s="184"/>
      <c r="F79" s="190"/>
      <c r="G79" s="364" t="str">
        <f>IF(OR(E79="",F79=""),"",PID_KVLohnLookup($A$1,E79,F79,LOHNTABELLE!$H$4))</f>
        <v/>
      </c>
      <c r="H79" s="365" t="str">
        <f>IF(AND(ISNUMBER(D79),ISNUMBER(F79)),ROUNDDOWN(MIN(IF(OR(ISBLANK(I79),I79=""),EOMONTH(DATE(EINSTELLUNG!$C$35,$A$1,1),0),I79)-MAX(D79,DATE(EINSTELLUNG!$C$35,$A$1,1))+1)/DAY(EOMONTH(DATE(EINSTELLUNG!$C$35,$A$1,1),0))*F79,2),"")</f>
        <v/>
      </c>
      <c r="I79" s="186"/>
      <c r="J79" s="187"/>
      <c r="K79" s="364" t="str">
        <f t="shared" si="3"/>
        <v/>
      </c>
      <c r="L79" s="366"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88"/>
      <c r="N79" s="189"/>
    </row>
    <row r="80" spans="1:14" ht="21.95" customHeight="1" x14ac:dyDescent="0.35">
      <c r="A80" s="363" t="s">
        <v>151</v>
      </c>
      <c r="B80" s="152"/>
      <c r="C80" s="153"/>
      <c r="D80" s="158"/>
      <c r="E80" s="155"/>
      <c r="F80" s="156"/>
      <c r="G80" s="364" t="str">
        <f>IF(OR(E80="",F80=""),"",PID_KVLohnLookup($A$1,E80,F80,LOHNTABELLE!$H$4))</f>
        <v/>
      </c>
      <c r="H80" s="365" t="str">
        <f>IF(AND(ISNUMBER(D80),ISNUMBER(F80)),ROUNDDOWN(MIN(IF(OR(ISBLANK(I80),I80=""),EOMONTH(DATE(EINSTELLUNG!$C$35,$A$1,1),0),I80)-MAX(D80,DATE(EINSTELLUNG!$C$35,$A$1,1))+1)/DAY(EOMONTH(DATE(EINSTELLUNG!$C$35,$A$1,1),0))*F80,2),"")</f>
        <v/>
      </c>
      <c r="I80" s="158"/>
      <c r="J80" s="165"/>
      <c r="K80" s="364" t="str">
        <f t="shared" si="3"/>
        <v/>
      </c>
      <c r="L80" s="366"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167"/>
      <c r="N80" s="168"/>
    </row>
    <row r="81" spans="1:14" ht="21.95" customHeight="1" x14ac:dyDescent="0.35">
      <c r="A81" s="363" t="s">
        <v>152</v>
      </c>
      <c r="B81" s="181"/>
      <c r="C81" s="182"/>
      <c r="D81" s="186"/>
      <c r="E81" s="184"/>
      <c r="F81" s="190"/>
      <c r="G81" s="364" t="str">
        <f>IF(OR(E81="",F81=""),"",PID_KVLohnLookup($A$1,E81,F81,LOHNTABELLE!$H$4))</f>
        <v/>
      </c>
      <c r="H81" s="365" t="str">
        <f>IF(AND(ISNUMBER(D81),ISNUMBER(F81)),ROUNDDOWN(MIN(IF(OR(ISBLANK(I81),I81=""),EOMONTH(DATE(EINSTELLUNG!$C$35,$A$1,1),0),I81)-MAX(D81,DATE(EINSTELLUNG!$C$35,$A$1,1))+1)/DAY(EOMONTH(DATE(EINSTELLUNG!$C$35,$A$1,1),0))*F81,2),"")</f>
        <v/>
      </c>
      <c r="I81" s="186"/>
      <c r="J81" s="187"/>
      <c r="K81" s="364" t="str">
        <f t="shared" si="3"/>
        <v/>
      </c>
      <c r="L81" s="366"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88"/>
      <c r="N81" s="189"/>
    </row>
    <row r="82" spans="1:14" ht="21.95" customHeight="1" thickBot="1" x14ac:dyDescent="0.4">
      <c r="A82" s="423" t="s">
        <v>153</v>
      </c>
      <c r="B82" s="160"/>
      <c r="C82" s="161"/>
      <c r="D82" s="162"/>
      <c r="E82" s="163"/>
      <c r="F82" s="164"/>
      <c r="G82" s="424" t="str">
        <f>IF(OR(E82="",F82=""),"",PID_KVLohnLookup($A$1,E82,F82,LOHNTABELLE!$H$4))</f>
        <v/>
      </c>
      <c r="H82" s="425" t="str">
        <f>IF(AND(ISNUMBER(D82),ISNUMBER(F82)),ROUNDDOWN(MIN(IF(OR(ISBLANK(I82),I82=""),EOMONTH(DATE(EINSTELLUNG!$C$35,$A$1,1),0),I82)-MAX(D82,DATE(EINSTELLUNG!$C$35,$A$1,1))+1)/DAY(EOMONTH(DATE(EINSTELLUNG!$C$35,$A$1,1),0))*F82,2),"")</f>
        <v/>
      </c>
      <c r="I82" s="162"/>
      <c r="J82" s="166"/>
      <c r="K82" s="424" t="str">
        <f t="shared" si="3"/>
        <v/>
      </c>
      <c r="L82" s="42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71"/>
      <c r="N82" s="172"/>
    </row>
    <row r="83" spans="1:14" ht="15.95" customHeight="1" x14ac:dyDescent="0.3">
      <c r="A83" s="462"/>
      <c r="B83" s="462"/>
    </row>
    <row r="100" spans="26:26" ht="15.95" customHeight="1" x14ac:dyDescent="0.3">
      <c r="Z100" s="343"/>
    </row>
  </sheetData>
  <sheetProtection algorithmName="SHA-512" hashValue="YqpkQNuyFCvromeqSXPC92VLw9n2Flv8b55PHyGSwNo1rTTZuudrCy6fPXnGrGwV2lTAoSzQH80uovjWJqTa+Q==" saltValue="II17GMEBTyVrR7rbMTwfoQ=="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DCC9AA7-EAFA-4FEA-916C-67C5A2B0721F}">
          <x14:formula1>
            <xm:f>KV_DROPDOWN_HELPER!$AJY$1:$AJY$12</xm:f>
          </x14:formula1>
          <xm:sqref>E3:E82</xm:sqref>
        </x14:dataValidation>
        <x14:dataValidation type="list" allowBlank="1" showInputMessage="1" showErrorMessage="1" xr:uid="{D298A975-53AD-4752-AD21-6C7FA9B28EEF}">
          <x14:formula1>
            <xm:f>KV_DROPDOWN_HELPER!$XQ$1:$XQ$13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40625" defaultRowHeight="15.95" customHeight="1" x14ac:dyDescent="0.3"/>
  <cols>
    <col min="1" max="1" width="4.42578125" style="427" customWidth="1"/>
    <col min="2" max="2" width="9.140625" style="427" customWidth="1"/>
    <col min="3" max="3" width="35.5703125" style="263" customWidth="1"/>
    <col min="4" max="4" width="13.5703125" style="263" customWidth="1"/>
    <col min="5" max="5" width="9.5703125" style="263" customWidth="1"/>
    <col min="6" max="6" width="10.5703125" style="263" customWidth="1"/>
    <col min="7" max="7" width="13.5703125" style="263" customWidth="1"/>
    <col min="8" max="8" width="11.5703125" style="263" customWidth="1"/>
    <col min="9" max="10" width="13.5703125" style="263" customWidth="1"/>
    <col min="11" max="11" width="14.5703125" style="263" customWidth="1"/>
    <col min="12" max="12" width="14.5703125" style="389" customWidth="1"/>
    <col min="13" max="13" width="17.85546875" style="263" customWidth="1"/>
    <col min="14" max="14" width="34.5703125" style="263" customWidth="1"/>
    <col min="15" max="15" width="12.5703125" style="263" customWidth="1"/>
    <col min="16" max="16" width="16.5703125" style="263" customWidth="1"/>
    <col min="17" max="17" width="14.5703125" style="263" customWidth="1"/>
    <col min="18" max="18" width="13.5703125" style="263" customWidth="1"/>
    <col min="19" max="19" width="9.5703125" style="263" customWidth="1"/>
    <col min="20" max="20" width="10.5703125" style="263" customWidth="1"/>
    <col min="21" max="21" width="7.5703125" style="263" customWidth="1"/>
    <col min="22" max="27" width="9.140625" style="263"/>
    <col min="28" max="28" width="10.5703125" style="263" bestFit="1" customWidth="1"/>
    <col min="29" max="16384" width="9.140625" style="263"/>
  </cols>
  <sheetData>
    <row r="1" spans="1:28" ht="18" customHeight="1" x14ac:dyDescent="0.3">
      <c r="A1" s="344">
        <v>10</v>
      </c>
      <c r="B1" s="345" t="s">
        <v>179</v>
      </c>
      <c r="C1" s="346" t="s">
        <v>39</v>
      </c>
      <c r="D1" s="346" t="s">
        <v>180</v>
      </c>
      <c r="E1" s="346" t="s">
        <v>0</v>
      </c>
      <c r="F1" s="346" t="s">
        <v>40</v>
      </c>
      <c r="G1" s="346" t="s">
        <v>41</v>
      </c>
      <c r="H1" s="346" t="s">
        <v>42</v>
      </c>
      <c r="I1" s="346" t="s">
        <v>181</v>
      </c>
      <c r="J1" s="346" t="s">
        <v>43</v>
      </c>
      <c r="K1" s="346" t="s">
        <v>44</v>
      </c>
      <c r="L1" s="346" t="s">
        <v>45</v>
      </c>
      <c r="M1" s="346" t="s">
        <v>46</v>
      </c>
      <c r="N1" s="347" t="s">
        <v>182</v>
      </c>
      <c r="AB1" s="348">
        <f>DATE(EINSTELLUNG!$C$35,$A$1,1)</f>
        <v>46296</v>
      </c>
    </row>
    <row r="2" spans="1:28" ht="18" customHeight="1" thickBot="1" x14ac:dyDescent="0.35">
      <c r="A2" s="349"/>
      <c r="B2" s="350"/>
      <c r="C2" s="351"/>
      <c r="D2" s="351"/>
      <c r="E2" s="351"/>
      <c r="F2" s="351"/>
      <c r="G2" s="351"/>
      <c r="H2" s="351"/>
      <c r="I2" s="351"/>
      <c r="J2" s="351"/>
      <c r="K2" s="351"/>
      <c r="L2" s="351"/>
      <c r="M2" s="351"/>
      <c r="N2" s="352"/>
      <c r="O2" s="353"/>
      <c r="P2" s="353"/>
      <c r="Q2" s="353"/>
      <c r="S2" s="354" t="s">
        <v>291</v>
      </c>
      <c r="T2" s="354"/>
      <c r="U2" s="354"/>
      <c r="V2" s="354"/>
      <c r="AB2" s="348">
        <f>EOMONTH(DATE(EINSTELLUNG!$C$35,$A$1,1),0)</f>
        <v>46326</v>
      </c>
    </row>
    <row r="3" spans="1:28" ht="21.95" customHeight="1" x14ac:dyDescent="0.35">
      <c r="A3" s="355" t="s">
        <v>292</v>
      </c>
      <c r="B3" s="173">
        <v>21867</v>
      </c>
      <c r="C3" s="151" t="s">
        <v>385</v>
      </c>
      <c r="D3" s="177">
        <v>46023</v>
      </c>
      <c r="E3" s="175" t="s">
        <v>2</v>
      </c>
      <c r="F3" s="176">
        <v>173</v>
      </c>
      <c r="G3" s="356">
        <f>IF(OR(E3="",F3=""),"",PID_KVLohnLookup($A$1,E3,F3,LOHNTABELLE!$H$4))</f>
        <v>2100</v>
      </c>
      <c r="H3" s="357">
        <f>IF(AND(ISNUMBER(D3),ISNUMBER(F3)),ROUNDDOWN(MIN(IF(OR(ISBLANK(I3),I3=""),EOMONTH(DATE(EINSTELLUNG!$C$35,$A$1,1),0),I3)-MAX(D3,DATE(EINSTELLUNG!$C$35,$A$1,1))+1)/DAY(EOMONTH(DATE(EINSTELLUNG!$C$35,$A$1,1),0))*F3,2),"")</f>
        <v>173</v>
      </c>
      <c r="I3" s="177"/>
      <c r="J3" s="178"/>
      <c r="K3" s="356">
        <f t="shared" ref="K3:K34" si="0">IF(OR(B3="",C3=""),"",IFERROR(IF(OR(MONTH(D3)=1,MONTH(D3)=3,MONTH(D3)=5,MONTH(D3)=7,MONTH(D3)=8,MONTH(D3)=10,MONTH(D3)=12),(G3/31)*J3,IF(OR(MONTH(D3)=4,MONTH(D3)=6,MONTH(D3)=9,MONTH(D3)=11),(G3/30)*J3,(G3/DAY(EOMONTH(D3,0)))*J3)),0))</f>
        <v>0</v>
      </c>
      <c r="L3" s="35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2100</v>
      </c>
      <c r="M3" s="179"/>
      <c r="N3" s="180"/>
      <c r="O3" s="359" t="s">
        <v>47</v>
      </c>
      <c r="P3" s="359" t="s">
        <v>48</v>
      </c>
      <c r="Q3" s="359" t="s">
        <v>49</v>
      </c>
      <c r="R3" s="360" t="s">
        <v>50</v>
      </c>
      <c r="S3" s="361"/>
      <c r="T3" s="361"/>
      <c r="U3" s="361"/>
      <c r="V3" s="361"/>
      <c r="AB3" s="362"/>
    </row>
    <row r="4" spans="1:28" ht="21.95" customHeight="1" x14ac:dyDescent="0.35">
      <c r="A4" s="363" t="s">
        <v>51</v>
      </c>
      <c r="B4" s="152">
        <v>221340</v>
      </c>
      <c r="C4" s="153" t="s">
        <v>333</v>
      </c>
      <c r="D4" s="154">
        <v>32994</v>
      </c>
      <c r="E4" s="155" t="s">
        <v>2</v>
      </c>
      <c r="F4" s="156">
        <v>151.38</v>
      </c>
      <c r="G4" s="364">
        <f>IF(OR(E4="",F4=""),"",PID_KVLohnLookup($A$1,E4,F4,LOHNTABELLE!$H$4))</f>
        <v>1768.38</v>
      </c>
      <c r="H4" s="365">
        <f>IF(AND(ISNUMBER(D4),ISNUMBER(F4)),ROUNDDOWN(MIN(IF(OR(ISBLANK(I4),I4=""),EOMONTH(DATE(EINSTELLUNG!$C$35,$A$1,1),0),I4)-MAX(D4,DATE(EINSTELLUNG!$C$35,$A$1,1))+1)/DAY(EOMONTH(DATE(EINSTELLUNG!$C$35,$A$1,1),0))*F4,2),"")</f>
        <v>151.38</v>
      </c>
      <c r="I4" s="158"/>
      <c r="J4" s="165"/>
      <c r="K4" s="364">
        <f t="shared" si="0"/>
        <v>0</v>
      </c>
      <c r="L4" s="366">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1768.38</v>
      </c>
      <c r="M4" s="167"/>
      <c r="N4" s="168"/>
      <c r="O4" s="367"/>
      <c r="P4" s="367"/>
      <c r="Q4" s="367"/>
      <c r="R4" s="368"/>
      <c r="S4" s="361"/>
      <c r="T4" s="361"/>
      <c r="U4" s="361"/>
      <c r="V4" s="361"/>
    </row>
    <row r="5" spans="1:28" ht="21.95" customHeight="1" x14ac:dyDescent="0.35">
      <c r="A5" s="363" t="s">
        <v>52</v>
      </c>
      <c r="B5" s="181"/>
      <c r="C5" s="182"/>
      <c r="D5" s="183"/>
      <c r="E5" s="184"/>
      <c r="F5" s="190"/>
      <c r="G5" s="364" t="str">
        <f>IF(OR(E5="",F5=""),"",PID_KVLohnLookup($A$1,E5,F5,LOHNTABELLE!$H$4))</f>
        <v/>
      </c>
      <c r="H5" s="365" t="str">
        <f>IF(AND(ISNUMBER(D5),ISNUMBER(F5)),ROUNDDOWN(MIN(IF(OR(ISBLANK(I5),I5=""),EOMONTH(DATE(EINSTELLUNG!$C$35,$A$1,1),0),I5)-MAX(D5,DATE(EINSTELLUNG!$C$35,$A$1,1))+1)/DAY(EOMONTH(DATE(EINSTELLUNG!$C$35,$A$1,1),0))*F5,2),"")</f>
        <v/>
      </c>
      <c r="I5" s="186"/>
      <c r="J5" s="187"/>
      <c r="K5" s="364" t="str">
        <f t="shared" si="0"/>
        <v/>
      </c>
      <c r="L5" s="366"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188"/>
      <c r="N5" s="189"/>
      <c r="O5" s="369" cm="1">
        <f t="array" ref="O5">SUMPRODUCT((F3:F82/4.310808)/5*2.08)</f>
        <v>31.303198843465079</v>
      </c>
      <c r="P5" s="370">
        <f>EINSTELLUNG!I15</f>
        <v>0</v>
      </c>
      <c r="Q5" s="370">
        <f>P5-O5</f>
        <v>-31.303198843465079</v>
      </c>
      <c r="R5" s="371">
        <f>IFERROR(Q5*Q42, 0)</f>
        <v>-373.30497670042377</v>
      </c>
      <c r="S5" s="361"/>
      <c r="T5" s="361"/>
      <c r="U5" s="361"/>
      <c r="V5" s="361"/>
    </row>
    <row r="6" spans="1:28" ht="21.95" customHeight="1" x14ac:dyDescent="0.35">
      <c r="A6" s="363" t="s">
        <v>53</v>
      </c>
      <c r="B6" s="152"/>
      <c r="C6" s="153"/>
      <c r="D6" s="154"/>
      <c r="E6" s="155"/>
      <c r="F6" s="156"/>
      <c r="G6" s="364" t="str">
        <f>IF(OR(E6="",F6=""),"",PID_KVLohnLookup($A$1,E6,F6,LOHNTABELLE!$H$4))</f>
        <v/>
      </c>
      <c r="H6" s="365" t="str">
        <f>IF(AND(ISNUMBER(D6),ISNUMBER(F6)),ROUNDDOWN(MIN(IF(OR(ISBLANK(I6),I6=""),EOMONTH(DATE(EINSTELLUNG!$C$35,$A$1,1),0),I6)-MAX(D6,DATE(EINSTELLUNG!$C$35,$A$1,1))+1)/DAY(EOMONTH(DATE(EINSTELLUNG!$C$35,$A$1,1),0))*F6,2),"")</f>
        <v/>
      </c>
      <c r="I6" s="158"/>
      <c r="J6" s="165"/>
      <c r="K6" s="364" t="str">
        <f t="shared" si="0"/>
        <v/>
      </c>
      <c r="L6" s="366"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167"/>
      <c r="N6" s="168"/>
      <c r="O6" s="372" t="str">
        <f>IF(Q5&lt;0, "Schlecht! Zu wenig Urlaub abgebaut.", IF(Q5&gt;0, "Gut! Mehr Urlaub abgebaut als aufgebaut.", ""))</f>
        <v>Schlecht! Zu wenig Urlaub abgebaut.</v>
      </c>
      <c r="P6" s="373"/>
      <c r="Q6" s="373"/>
      <c r="R6" s="374"/>
      <c r="S6" s="361"/>
      <c r="T6" s="361"/>
      <c r="U6" s="361"/>
      <c r="V6" s="361"/>
    </row>
    <row r="7" spans="1:28" ht="21.95" customHeight="1" thickBot="1" x14ac:dyDescent="0.4">
      <c r="A7" s="363" t="s">
        <v>54</v>
      </c>
      <c r="B7" s="181"/>
      <c r="C7" s="182"/>
      <c r="D7" s="183"/>
      <c r="E7" s="184"/>
      <c r="F7" s="190"/>
      <c r="G7" s="364" t="str">
        <f>IF(OR(E7="",F7=""),"",PID_KVLohnLookup($A$1,E7,F7,LOHNTABELLE!$H$4))</f>
        <v/>
      </c>
      <c r="H7" s="365" t="str">
        <f>IF(AND(ISNUMBER(D7),ISNUMBER(F7)),ROUNDDOWN(MIN(IF(OR(ISBLANK(I7),I7=""),EOMONTH(DATE(EINSTELLUNG!$C$35,$A$1,1),0),I7)-MAX(D7,DATE(EINSTELLUNG!$C$35,$A$1,1))+1)/DAY(EOMONTH(DATE(EINSTELLUNG!$C$35,$A$1,1),0))*F7,2),"")</f>
        <v/>
      </c>
      <c r="I7" s="186"/>
      <c r="J7" s="187"/>
      <c r="K7" s="364" t="str">
        <f t="shared" si="0"/>
        <v/>
      </c>
      <c r="L7" s="366"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188"/>
      <c r="N7" s="189"/>
      <c r="O7" s="361"/>
      <c r="P7" s="361"/>
      <c r="Q7" s="361"/>
      <c r="R7" s="361"/>
      <c r="S7" s="361"/>
      <c r="T7" s="361"/>
      <c r="U7" s="361"/>
      <c r="V7" s="361"/>
    </row>
    <row r="8" spans="1:28" ht="21.95" customHeight="1" x14ac:dyDescent="0.35">
      <c r="A8" s="363" t="s">
        <v>55</v>
      </c>
      <c r="B8" s="152"/>
      <c r="C8" s="153"/>
      <c r="D8" s="154"/>
      <c r="E8" s="155"/>
      <c r="F8" s="156"/>
      <c r="G8" s="364" t="str">
        <f>IF(OR(E8="",F8=""),"",PID_KVLohnLookup($A$1,E8,F8,LOHNTABELLE!$H$4))</f>
        <v/>
      </c>
      <c r="H8" s="365" t="str">
        <f>IF(AND(ISNUMBER(D8),ISNUMBER(F8)),ROUNDDOWN(MIN(IF(OR(ISBLANK(I8),I8=""),EOMONTH(DATE(EINSTELLUNG!$C$35,$A$1,1),0),I8)-MAX(D8,DATE(EINSTELLUNG!$C$35,$A$1,1))+1)/DAY(EOMONTH(DATE(EINSTELLUNG!$C$35,$A$1,1),0))*F8,2),"")</f>
        <v/>
      </c>
      <c r="I8" s="158"/>
      <c r="J8" s="165"/>
      <c r="K8" s="364" t="str">
        <f t="shared" si="0"/>
        <v/>
      </c>
      <c r="L8" s="366"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167"/>
      <c r="N8" s="168"/>
      <c r="O8" s="375" t="s">
        <v>56</v>
      </c>
      <c r="P8" s="376"/>
      <c r="Q8" s="377">
        <f>SUM(H3:H82)</f>
        <v>324.38</v>
      </c>
      <c r="R8" s="378"/>
      <c r="S8" s="361"/>
      <c r="T8" s="361"/>
      <c r="U8" s="361"/>
      <c r="V8" s="361"/>
    </row>
    <row r="9" spans="1:28" ht="21.95" customHeight="1" x14ac:dyDescent="0.35">
      <c r="A9" s="363" t="s">
        <v>57</v>
      </c>
      <c r="B9" s="181"/>
      <c r="C9" s="182"/>
      <c r="D9" s="183"/>
      <c r="E9" s="184"/>
      <c r="F9" s="190"/>
      <c r="G9" s="364" t="str">
        <f>IF(OR(E9="",F9=""),"",PID_KVLohnLookup($A$1,E9,F9,LOHNTABELLE!$H$4))</f>
        <v/>
      </c>
      <c r="H9" s="365" t="str">
        <f>IF(AND(ISNUMBER(D9),ISNUMBER(F9)),ROUNDDOWN(MIN(IF(OR(ISBLANK(I9),I9=""),EOMONTH(DATE(EINSTELLUNG!$C$35,$A$1,1),0),I9)-MAX(D9,DATE(EINSTELLUNG!$C$35,$A$1,1))+1)/DAY(EOMONTH(DATE(EINSTELLUNG!$C$35,$A$1,1),0))*F9,2),"")</f>
        <v/>
      </c>
      <c r="I9" s="186"/>
      <c r="J9" s="187"/>
      <c r="K9" s="364" t="str">
        <f t="shared" si="0"/>
        <v/>
      </c>
      <c r="L9" s="366"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188"/>
      <c r="N9" s="189"/>
      <c r="O9" s="379" t="s">
        <v>58</v>
      </c>
      <c r="P9" s="380"/>
      <c r="Q9" s="381">
        <f>EINSTELLUNG!L31</f>
        <v>0</v>
      </c>
      <c r="R9" s="382"/>
      <c r="S9" s="383">
        <f>IFERROR(Q9/Q8, 0)</f>
        <v>0</v>
      </c>
      <c r="T9" s="361"/>
      <c r="U9" s="361"/>
      <c r="V9" s="361"/>
    </row>
    <row r="10" spans="1:28" ht="21.95" customHeight="1" x14ac:dyDescent="0.35">
      <c r="A10" s="363" t="s">
        <v>59</v>
      </c>
      <c r="B10" s="152"/>
      <c r="C10" s="153"/>
      <c r="D10" s="154"/>
      <c r="E10" s="155"/>
      <c r="F10" s="156"/>
      <c r="G10" s="364" t="str">
        <f>IF(OR(E10="",F10=""),"",PID_KVLohnLookup($A$1,E10,F10,LOHNTABELLE!$H$4))</f>
        <v/>
      </c>
      <c r="H10" s="365" t="str">
        <f>IF(AND(ISNUMBER(D10),ISNUMBER(F10)),ROUNDDOWN(MIN(IF(OR(ISBLANK(I10),I10=""),EOMONTH(DATE(EINSTELLUNG!$C$35,$A$1,1),0),I10)-MAX(D10,DATE(EINSTELLUNG!$C$35,$A$1,1))+1)/DAY(EOMONTH(DATE(EINSTELLUNG!$C$35,$A$1,1),0))*F10,2),"")</f>
        <v/>
      </c>
      <c r="I10" s="158"/>
      <c r="J10" s="165"/>
      <c r="K10" s="364" t="str">
        <f t="shared" si="0"/>
        <v/>
      </c>
      <c r="L10" s="366"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167"/>
      <c r="N10" s="168"/>
      <c r="O10" s="379" t="s">
        <v>60</v>
      </c>
      <c r="P10" s="380"/>
      <c r="Q10" s="381">
        <f>EINSTELLUNG!I31</f>
        <v>0</v>
      </c>
      <c r="R10" s="382"/>
      <c r="S10" s="361"/>
      <c r="T10" s="361"/>
      <c r="U10" s="361"/>
      <c r="V10" s="361"/>
    </row>
    <row r="11" spans="1:28" ht="21.95" customHeight="1" x14ac:dyDescent="0.35">
      <c r="A11" s="363" t="s">
        <v>61</v>
      </c>
      <c r="B11" s="181"/>
      <c r="C11" s="182"/>
      <c r="D11" s="183"/>
      <c r="E11" s="184"/>
      <c r="F11" s="190"/>
      <c r="G11" s="364" t="str">
        <f>IF(OR(E11="",F11=""),"",PID_KVLohnLookup($A$1,E11,F11,LOHNTABELLE!$H$4))</f>
        <v/>
      </c>
      <c r="H11" s="365" t="str">
        <f>IF(AND(ISNUMBER(D11),ISNUMBER(F11)),ROUNDDOWN(MIN(IF(OR(ISBLANK(I11),I11=""),EOMONTH(DATE(EINSTELLUNG!$C$35,$A$1,1),0),I11)-MAX(D11,DATE(EINSTELLUNG!$C$35,$A$1,1))+1)/DAY(EOMONTH(DATE(EINSTELLUNG!$C$35,$A$1,1),0))*F11,2),"")</f>
        <v/>
      </c>
      <c r="I11" s="186"/>
      <c r="J11" s="187"/>
      <c r="K11" s="364" t="str">
        <f t="shared" si="0"/>
        <v/>
      </c>
      <c r="L11" s="366"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188"/>
      <c r="N11" s="189"/>
      <c r="O11" s="379" t="s">
        <v>62</v>
      </c>
      <c r="P11" s="380"/>
      <c r="Q11" s="381">
        <f>P5</f>
        <v>0</v>
      </c>
      <c r="R11" s="382"/>
      <c r="S11" s="361"/>
      <c r="T11" s="361"/>
      <c r="U11" s="361"/>
      <c r="V11" s="361"/>
    </row>
    <row r="12" spans="1:28" ht="21.95" customHeight="1" x14ac:dyDescent="0.35">
      <c r="A12" s="363" t="s">
        <v>63</v>
      </c>
      <c r="B12" s="152"/>
      <c r="C12" s="153"/>
      <c r="D12" s="154"/>
      <c r="E12" s="155"/>
      <c r="F12" s="156"/>
      <c r="G12" s="364" t="str">
        <f>IF(OR(E12="",F12=""),"",PID_KVLohnLookup($A$1,E12,F12,LOHNTABELLE!$H$4))</f>
        <v/>
      </c>
      <c r="H12" s="365" t="str">
        <f>IF(AND(ISNUMBER(D12),ISNUMBER(F12)),ROUNDDOWN(MIN(IF(OR(ISBLANK(I12),I12=""),EOMONTH(DATE(EINSTELLUNG!$C$35,$A$1,1),0),I12)-MAX(D12,DATE(EINSTELLUNG!$C$35,$A$1,1))+1)/DAY(EOMONTH(DATE(EINSTELLUNG!$C$35,$A$1,1),0))*F12,2),"")</f>
        <v/>
      </c>
      <c r="I12" s="158"/>
      <c r="J12" s="165"/>
      <c r="K12" s="364" t="str">
        <f t="shared" si="0"/>
        <v/>
      </c>
      <c r="L12" s="366"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167"/>
      <c r="N12" s="168"/>
      <c r="O12" s="379" t="s">
        <v>64</v>
      </c>
      <c r="P12" s="380"/>
      <c r="Q12" s="199"/>
      <c r="R12" s="200"/>
      <c r="S12" s="361"/>
      <c r="T12" s="361"/>
      <c r="U12" s="361"/>
      <c r="V12" s="361"/>
    </row>
    <row r="13" spans="1:28" ht="21.95" customHeight="1" x14ac:dyDescent="0.35">
      <c r="A13" s="363" t="s">
        <v>65</v>
      </c>
      <c r="B13" s="181"/>
      <c r="C13" s="182"/>
      <c r="D13" s="183"/>
      <c r="E13" s="184"/>
      <c r="F13" s="190"/>
      <c r="G13" s="364" t="str">
        <f>IF(OR(E13="",F13=""),"",PID_KVLohnLookup($A$1,E13,F13,LOHNTABELLE!$H$4))</f>
        <v/>
      </c>
      <c r="H13" s="365" t="str">
        <f>IF(AND(ISNUMBER(D13),ISNUMBER(F13)),ROUNDDOWN(MIN(IF(OR(ISBLANK(I13),I13=""),EOMONTH(DATE(EINSTELLUNG!$C$35,$A$1,1),0),I13)-MAX(D13,DATE(EINSTELLUNG!$C$35,$A$1,1))+1)/DAY(EOMONTH(DATE(EINSTELLUNG!$C$35,$A$1,1),0))*F13,2),"")</f>
        <v/>
      </c>
      <c r="I13" s="186"/>
      <c r="J13" s="187"/>
      <c r="K13" s="364" t="str">
        <f t="shared" si="0"/>
        <v/>
      </c>
      <c r="L13" s="366"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188"/>
      <c r="N13" s="189"/>
      <c r="O13" s="379" t="s">
        <v>66</v>
      </c>
      <c r="P13" s="380"/>
      <c r="Q13" s="381">
        <f>Q8-Q9-Q10-Q11-Q12</f>
        <v>324.38</v>
      </c>
      <c r="R13" s="382"/>
      <c r="S13" s="361"/>
      <c r="T13" s="361"/>
      <c r="U13" s="361"/>
      <c r="V13" s="361"/>
    </row>
    <row r="14" spans="1:28" ht="21.95" customHeight="1" x14ac:dyDescent="0.35">
      <c r="A14" s="363" t="s">
        <v>67</v>
      </c>
      <c r="B14" s="152"/>
      <c r="C14" s="153"/>
      <c r="D14" s="154"/>
      <c r="E14" s="155"/>
      <c r="F14" s="156"/>
      <c r="G14" s="364" t="str">
        <f>IF(OR(E14="",F14=""),"",PID_KVLohnLookup($A$1,E14,F14,LOHNTABELLE!$H$4))</f>
        <v/>
      </c>
      <c r="H14" s="365" t="str">
        <f>IF(AND(ISNUMBER(D14),ISNUMBER(F14)),ROUNDDOWN(MIN(IF(OR(ISBLANK(I14),I14=""),EOMONTH(DATE(EINSTELLUNG!$C$35,$A$1,1),0),I14)-MAX(D14,DATE(EINSTELLUNG!$C$35,$A$1,1))+1)/DAY(EOMONTH(DATE(EINSTELLUNG!$C$35,$A$1,1),0))*F14,2),"")</f>
        <v/>
      </c>
      <c r="I14" s="158"/>
      <c r="J14" s="165"/>
      <c r="K14" s="364" t="str">
        <f t="shared" si="0"/>
        <v/>
      </c>
      <c r="L14" s="366"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167"/>
      <c r="N14" s="168"/>
      <c r="O14" s="379" t="s">
        <v>68</v>
      </c>
      <c r="P14" s="380"/>
      <c r="Q14" s="381">
        <f>EINSTELLUNG!L15</f>
        <v>0</v>
      </c>
      <c r="R14" s="382"/>
      <c r="S14" s="361"/>
      <c r="T14" s="361"/>
      <c r="U14" s="361"/>
      <c r="V14" s="361"/>
    </row>
    <row r="15" spans="1:28" ht="21.95" customHeight="1" x14ac:dyDescent="0.35">
      <c r="A15" s="363" t="s">
        <v>69</v>
      </c>
      <c r="B15" s="181"/>
      <c r="C15" s="182"/>
      <c r="D15" s="186"/>
      <c r="E15" s="184"/>
      <c r="F15" s="190"/>
      <c r="G15" s="364" t="str">
        <f>IF(OR(E15="",F15=""),"",PID_KVLohnLookup($A$1,E15,F15,LOHNTABELLE!$H$4))</f>
        <v/>
      </c>
      <c r="H15" s="365" t="str">
        <f>IF(AND(ISNUMBER(D15),ISNUMBER(F15)),ROUNDDOWN(MIN(IF(OR(ISBLANK(I15),I15=""),EOMONTH(DATE(EINSTELLUNG!$C$35,$A$1,1),0),I15)-MAX(D15,DATE(EINSTELLUNG!$C$35,$A$1,1))+1)/DAY(EOMONTH(DATE(EINSTELLUNG!$C$35,$A$1,1),0))*F15,2),"")</f>
        <v/>
      </c>
      <c r="I15" s="186"/>
      <c r="J15" s="187"/>
      <c r="K15" s="364" t="str">
        <f t="shared" si="0"/>
        <v/>
      </c>
      <c r="L15" s="366"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188"/>
      <c r="N15" s="189"/>
      <c r="O15" s="379" t="s">
        <v>70</v>
      </c>
      <c r="P15" s="380"/>
      <c r="Q15" s="381">
        <f>Q13-Q14</f>
        <v>324.38</v>
      </c>
      <c r="R15" s="382"/>
      <c r="S15" s="384"/>
      <c r="T15" s="384"/>
      <c r="U15" s="384"/>
      <c r="V15" s="361"/>
    </row>
    <row r="16" spans="1:28" ht="21.95" customHeight="1" thickBot="1" x14ac:dyDescent="0.4">
      <c r="A16" s="363" t="s">
        <v>71</v>
      </c>
      <c r="B16" s="152"/>
      <c r="C16" s="153"/>
      <c r="D16" s="154"/>
      <c r="E16" s="155"/>
      <c r="F16" s="156"/>
      <c r="G16" s="364" t="str">
        <f>IF(OR(E16="",F16=""),"",PID_KVLohnLookup($A$1,E16,F16,LOHNTABELLE!$H$4))</f>
        <v/>
      </c>
      <c r="H16" s="365" t="str">
        <f>IF(AND(ISNUMBER(D16),ISNUMBER(F16)),ROUNDDOWN(MIN(IF(OR(ISBLANK(I16),I16=""),EOMONTH(DATE(EINSTELLUNG!$C$35,$A$1,1),0),I16)-MAX(D16,DATE(EINSTELLUNG!$C$35,$A$1,1))+1)/DAY(EOMONTH(DATE(EINSTELLUNG!$C$35,$A$1,1),0))*F16,2),"")</f>
        <v/>
      </c>
      <c r="I16" s="158"/>
      <c r="J16" s="165"/>
      <c r="K16" s="364" t="str">
        <f t="shared" si="0"/>
        <v/>
      </c>
      <c r="L16" s="366"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167"/>
      <c r="N16" s="168"/>
      <c r="O16" s="385" t="str">
        <f>IF(Q15&lt;0, "Schlecht! Zu wenig Stunden für Dienstplan.", IF(Q15&gt;0, "Du hast mehr als genug Stunden für Dienstplan.", ""))</f>
        <v>Du hast mehr als genug Stunden für Dienstplan.</v>
      </c>
      <c r="P16" s="386"/>
      <c r="Q16" s="386"/>
      <c r="R16" s="387"/>
      <c r="S16" s="388"/>
      <c r="T16" s="388"/>
      <c r="U16" s="388"/>
      <c r="V16" s="388"/>
      <c r="W16" s="389"/>
    </row>
    <row r="17" spans="1:29" ht="21.95" customHeight="1" x14ac:dyDescent="0.35">
      <c r="A17" s="363" t="s">
        <v>72</v>
      </c>
      <c r="B17" s="181"/>
      <c r="C17" s="182"/>
      <c r="D17" s="186"/>
      <c r="E17" s="184"/>
      <c r="F17" s="190"/>
      <c r="G17" s="364" t="str">
        <f>IF(OR(E17="",F17=""),"",PID_KVLohnLookup($A$1,E17,F17,LOHNTABELLE!$H$4))</f>
        <v/>
      </c>
      <c r="H17" s="365" t="str">
        <f>IF(AND(ISNUMBER(D17),ISNUMBER(F17)),ROUNDDOWN(MIN(IF(OR(ISBLANK(I17),I17=""),EOMONTH(DATE(EINSTELLUNG!$C$35,$A$1,1),0),I17)-MAX(D17,DATE(EINSTELLUNG!$C$35,$A$1,1))+1)/DAY(EOMONTH(DATE(EINSTELLUNG!$C$35,$A$1,1),0))*F17,2),"")</f>
        <v/>
      </c>
      <c r="I17" s="186"/>
      <c r="J17" s="187"/>
      <c r="K17" s="364" t="str">
        <f t="shared" si="0"/>
        <v/>
      </c>
      <c r="L17" s="366"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188"/>
      <c r="N17" s="189"/>
      <c r="O17" s="375" t="s">
        <v>73</v>
      </c>
      <c r="P17" s="376"/>
      <c r="Q17" s="390">
        <f>SUM(L3:L82)</f>
        <v>3868.38</v>
      </c>
      <c r="R17" s="391"/>
      <c r="S17" s="361"/>
      <c r="T17" s="361"/>
      <c r="U17" s="361"/>
      <c r="V17" s="361"/>
      <c r="W17" s="389"/>
    </row>
    <row r="18" spans="1:29" ht="21.95" customHeight="1" x14ac:dyDescent="0.35">
      <c r="A18" s="363" t="s">
        <v>74</v>
      </c>
      <c r="B18" s="152"/>
      <c r="C18" s="153"/>
      <c r="D18" s="158"/>
      <c r="E18" s="155"/>
      <c r="F18" s="156"/>
      <c r="G18" s="364" t="str">
        <f>IF(OR(E18="",F18=""),"",PID_KVLohnLookup($A$1,E18,F18,LOHNTABELLE!$H$4))</f>
        <v/>
      </c>
      <c r="H18" s="365" t="str">
        <f>IF(AND(ISNUMBER(D18),ISNUMBER(F18)),ROUNDDOWN(MIN(IF(OR(ISBLANK(I18),I18=""),EOMONTH(DATE(EINSTELLUNG!$C$35,$A$1,1),0),I18)-MAX(D18,DATE(EINSTELLUNG!$C$35,$A$1,1))+1)/DAY(EOMONTH(DATE(EINSTELLUNG!$C$35,$A$1,1),0))*F18,2),"")</f>
        <v/>
      </c>
      <c r="I18" s="158"/>
      <c r="J18" s="165"/>
      <c r="K18" s="364" t="str">
        <f t="shared" si="0"/>
        <v/>
      </c>
      <c r="L18" s="366"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167"/>
      <c r="N18" s="168"/>
      <c r="O18" s="472"/>
      <c r="P18" s="196"/>
      <c r="Q18" s="197"/>
      <c r="R18" s="198"/>
      <c r="S18" s="361"/>
      <c r="T18" s="361"/>
      <c r="U18" s="361"/>
      <c r="V18" s="361"/>
    </row>
    <row r="19" spans="1:29" ht="21.95" customHeight="1" x14ac:dyDescent="0.35">
      <c r="A19" s="363" t="s">
        <v>75</v>
      </c>
      <c r="B19" s="181"/>
      <c r="C19" s="182"/>
      <c r="D19" s="186"/>
      <c r="E19" s="184"/>
      <c r="F19" s="190"/>
      <c r="G19" s="364" t="str">
        <f>IF(OR(E19="",F19=""),"",PID_KVLohnLookup($A$1,E19,F19,LOHNTABELLE!$H$4))</f>
        <v/>
      </c>
      <c r="H19" s="365" t="str">
        <f>IF(AND(ISNUMBER(D19),ISNUMBER(F19)),ROUNDDOWN(MIN(IF(OR(ISBLANK(I19),I19=""),EOMONTH(DATE(EINSTELLUNG!$C$35,$A$1,1),0),I19)-MAX(D19,DATE(EINSTELLUNG!$C$35,$A$1,1))+1)/DAY(EOMONTH(DATE(EINSTELLUNG!$C$35,$A$1,1),0))*F19,2),"")</f>
        <v/>
      </c>
      <c r="I19" s="186"/>
      <c r="J19" s="187"/>
      <c r="K19" s="364" t="str">
        <f t="shared" si="0"/>
        <v/>
      </c>
      <c r="L19" s="366"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188"/>
      <c r="N19" s="189"/>
      <c r="O19" s="472"/>
      <c r="P19" s="196"/>
      <c r="Q19" s="197"/>
      <c r="R19" s="198"/>
      <c r="S19" s="361"/>
      <c r="T19" s="361"/>
      <c r="U19" s="361"/>
      <c r="V19" s="361"/>
    </row>
    <row r="20" spans="1:29" ht="21.95" customHeight="1" x14ac:dyDescent="0.35">
      <c r="A20" s="363" t="s">
        <v>76</v>
      </c>
      <c r="B20" s="152"/>
      <c r="C20" s="153"/>
      <c r="D20" s="154"/>
      <c r="E20" s="155"/>
      <c r="F20" s="156"/>
      <c r="G20" s="364" t="str">
        <f>IF(OR(E20="",F20=""),"",PID_KVLohnLookup($A$1,E20,F20,LOHNTABELLE!$H$4))</f>
        <v/>
      </c>
      <c r="H20" s="365" t="str">
        <f>IF(AND(ISNUMBER(D20),ISNUMBER(F20)),ROUNDDOWN(MIN(IF(OR(ISBLANK(I20),I20=""),EOMONTH(DATE(EINSTELLUNG!$C$35,$A$1,1),0),I20)-MAX(D20,DATE(EINSTELLUNG!$C$35,$A$1,1))+1)/DAY(EOMONTH(DATE(EINSTELLUNG!$C$35,$A$1,1),0))*F20,2),"")</f>
        <v/>
      </c>
      <c r="I20" s="158"/>
      <c r="J20" s="165"/>
      <c r="K20" s="364" t="str">
        <f t="shared" si="0"/>
        <v/>
      </c>
      <c r="L20" s="366"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167"/>
      <c r="N20" s="168"/>
      <c r="O20" s="472"/>
      <c r="P20" s="196"/>
      <c r="Q20" s="197"/>
      <c r="R20" s="198"/>
      <c r="S20" s="361"/>
      <c r="T20" s="361"/>
      <c r="U20" s="361"/>
      <c r="V20" s="361"/>
    </row>
    <row r="21" spans="1:29" ht="21.95" customHeight="1" x14ac:dyDescent="0.35">
      <c r="A21" s="363" t="s">
        <v>77</v>
      </c>
      <c r="B21" s="181"/>
      <c r="C21" s="182"/>
      <c r="D21" s="186"/>
      <c r="E21" s="184"/>
      <c r="F21" s="190"/>
      <c r="G21" s="364" t="str">
        <f>IF(OR(E21="",F21=""),"",PID_KVLohnLookup($A$1,E21,F21,LOHNTABELLE!$H$4))</f>
        <v/>
      </c>
      <c r="H21" s="365" t="str">
        <f>IF(AND(ISNUMBER(D21),ISNUMBER(F21)),ROUNDDOWN(MIN(IF(OR(ISBLANK(I21),I21=""),EOMONTH(DATE(EINSTELLUNG!$C$35,$A$1,1),0),I21)-MAX(D21,DATE(EINSTELLUNG!$C$35,$A$1,1))+1)/DAY(EOMONTH(DATE(EINSTELLUNG!$C$35,$A$1,1),0))*F21,2),"")</f>
        <v/>
      </c>
      <c r="I21" s="186"/>
      <c r="J21" s="187"/>
      <c r="K21" s="364" t="str">
        <f t="shared" si="0"/>
        <v/>
      </c>
      <c r="L21" s="366"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188"/>
      <c r="N21" s="189"/>
      <c r="O21" s="472"/>
      <c r="P21" s="196"/>
      <c r="Q21" s="197"/>
      <c r="R21" s="198"/>
      <c r="S21" s="361"/>
      <c r="T21" s="361"/>
      <c r="U21" s="361"/>
      <c r="V21" s="361"/>
    </row>
    <row r="22" spans="1:29" ht="21.95" customHeight="1" x14ac:dyDescent="0.35">
      <c r="A22" s="363" t="s">
        <v>78</v>
      </c>
      <c r="B22" s="152"/>
      <c r="C22" s="153"/>
      <c r="D22" s="158"/>
      <c r="E22" s="155"/>
      <c r="F22" s="156"/>
      <c r="G22" s="364" t="str">
        <f>IF(OR(E22="",F22=""),"",PID_KVLohnLookup($A$1,E22,F22,LOHNTABELLE!$H$4))</f>
        <v/>
      </c>
      <c r="H22" s="365" t="str">
        <f>IF(AND(ISNUMBER(D22),ISNUMBER(F22)),ROUNDDOWN(MIN(IF(OR(ISBLANK(I22),I22=""),EOMONTH(DATE(EINSTELLUNG!$C$35,$A$1,1),0),I22)-MAX(D22,DATE(EINSTELLUNG!$C$35,$A$1,1))+1)/DAY(EOMONTH(DATE(EINSTELLUNG!$C$35,$A$1,1),0))*F22,2),"")</f>
        <v/>
      </c>
      <c r="I22" s="158"/>
      <c r="J22" s="165"/>
      <c r="K22" s="364" t="str">
        <f t="shared" si="0"/>
        <v/>
      </c>
      <c r="L22" s="366"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167"/>
      <c r="N22" s="168"/>
      <c r="O22" s="472"/>
      <c r="P22" s="196"/>
      <c r="Q22" s="197"/>
      <c r="R22" s="198"/>
      <c r="S22" s="361"/>
      <c r="T22" s="361"/>
      <c r="U22" s="361"/>
      <c r="V22" s="361"/>
    </row>
    <row r="23" spans="1:29" ht="21.95" customHeight="1" x14ac:dyDescent="0.35">
      <c r="A23" s="363" t="s">
        <v>79</v>
      </c>
      <c r="B23" s="181"/>
      <c r="C23" s="182"/>
      <c r="D23" s="183"/>
      <c r="E23" s="184"/>
      <c r="F23" s="190"/>
      <c r="G23" s="364" t="str">
        <f>IF(OR(E23="",F23=""),"",PID_KVLohnLookup($A$1,E23,F23,LOHNTABELLE!$H$4))</f>
        <v/>
      </c>
      <c r="H23" s="365" t="str">
        <f>IF(AND(ISNUMBER(D23),ISNUMBER(F23)),ROUNDDOWN(MIN(IF(OR(ISBLANK(I23),I23=""),EOMONTH(DATE(EINSTELLUNG!$C$35,$A$1,1),0),I23)-MAX(D23,DATE(EINSTELLUNG!$C$35,$A$1,1))+1)/DAY(EOMONTH(DATE(EINSTELLUNG!$C$35,$A$1,1),0))*F23,2),"")</f>
        <v/>
      </c>
      <c r="I23" s="186"/>
      <c r="J23" s="187"/>
      <c r="K23" s="364" t="str">
        <f t="shared" si="0"/>
        <v/>
      </c>
      <c r="L23" s="366"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188"/>
      <c r="N23" s="189"/>
      <c r="O23" s="472"/>
      <c r="P23" s="196"/>
      <c r="Q23" s="197"/>
      <c r="R23" s="198"/>
      <c r="S23" s="361"/>
      <c r="T23" s="361"/>
      <c r="U23" s="361"/>
      <c r="V23" s="361"/>
      <c r="W23" s="389"/>
    </row>
    <row r="24" spans="1:29" ht="21.95" customHeight="1" x14ac:dyDescent="0.35">
      <c r="A24" s="363" t="s">
        <v>80</v>
      </c>
      <c r="B24" s="152"/>
      <c r="C24" s="153"/>
      <c r="D24" s="154"/>
      <c r="E24" s="155"/>
      <c r="F24" s="156"/>
      <c r="G24" s="364" t="str">
        <f>IF(OR(E24="",F24=""),"",PID_KVLohnLookup($A$1,E24,F24,LOHNTABELLE!$H$4))</f>
        <v/>
      </c>
      <c r="H24" s="365" t="str">
        <f>IF(AND(ISNUMBER(D24),ISNUMBER(F24)),ROUNDDOWN(MIN(IF(OR(ISBLANK(I24),I24=""),EOMONTH(DATE(EINSTELLUNG!$C$35,$A$1,1),0),I24)-MAX(D24,DATE(EINSTELLUNG!$C$35,$A$1,1))+1)/DAY(EOMONTH(DATE(EINSTELLUNG!$C$35,$A$1,1),0))*F24,2),"")</f>
        <v/>
      </c>
      <c r="I24" s="158"/>
      <c r="J24" s="165"/>
      <c r="K24" s="364" t="str">
        <f t="shared" si="0"/>
        <v/>
      </c>
      <c r="L24" s="366"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167"/>
      <c r="N24" s="168"/>
      <c r="O24" s="472"/>
      <c r="P24" s="196"/>
      <c r="Q24" s="197"/>
      <c r="R24" s="198"/>
      <c r="S24" s="361"/>
      <c r="T24" s="361"/>
      <c r="U24" s="361"/>
      <c r="V24" s="361"/>
      <c r="W24" s="389"/>
    </row>
    <row r="25" spans="1:29" ht="21.95" customHeight="1" x14ac:dyDescent="0.35">
      <c r="A25" s="363" t="s">
        <v>81</v>
      </c>
      <c r="B25" s="181"/>
      <c r="C25" s="182"/>
      <c r="D25" s="183"/>
      <c r="E25" s="184"/>
      <c r="F25" s="190"/>
      <c r="G25" s="364" t="str">
        <f>IF(OR(E25="",F25=""),"",PID_KVLohnLookup($A$1,E25,F25,LOHNTABELLE!$H$4))</f>
        <v/>
      </c>
      <c r="H25" s="365" t="str">
        <f>IF(AND(ISNUMBER(D25),ISNUMBER(F25)),ROUNDDOWN(MIN(IF(OR(ISBLANK(I25),I25=""),EOMONTH(DATE(EINSTELLUNG!$C$35,$A$1,1),0),I25)-MAX(D25,DATE(EINSTELLUNG!$C$35,$A$1,1))+1)/DAY(EOMONTH(DATE(EINSTELLUNG!$C$35,$A$1,1),0))*F25,2),"")</f>
        <v/>
      </c>
      <c r="I25" s="186"/>
      <c r="J25" s="187"/>
      <c r="K25" s="364" t="str">
        <f t="shared" si="0"/>
        <v/>
      </c>
      <c r="L25" s="366"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188"/>
      <c r="N25" s="189"/>
      <c r="O25" s="472"/>
      <c r="P25" s="196"/>
      <c r="Q25" s="197"/>
      <c r="R25" s="198"/>
      <c r="S25" s="361"/>
      <c r="T25" s="361"/>
      <c r="U25" s="361"/>
      <c r="V25" s="361"/>
    </row>
    <row r="26" spans="1:29" ht="21.95" customHeight="1" x14ac:dyDescent="0.35">
      <c r="A26" s="363" t="s">
        <v>82</v>
      </c>
      <c r="B26" s="152"/>
      <c r="C26" s="153"/>
      <c r="D26" s="154"/>
      <c r="E26" s="155"/>
      <c r="F26" s="156"/>
      <c r="G26" s="364" t="str">
        <f>IF(OR(E26="",F26=""),"",PID_KVLohnLookup($A$1,E26,F26,LOHNTABELLE!$H$4))</f>
        <v/>
      </c>
      <c r="H26" s="365" t="str">
        <f>IF(AND(ISNUMBER(D26),ISNUMBER(F26)),ROUNDDOWN(MIN(IF(OR(ISBLANK(I26),I26=""),EOMONTH(DATE(EINSTELLUNG!$C$35,$A$1,1),0),I26)-MAX(D26,DATE(EINSTELLUNG!$C$35,$A$1,1))+1)/DAY(EOMONTH(DATE(EINSTELLUNG!$C$35,$A$1,1),0))*F26,2),"")</f>
        <v/>
      </c>
      <c r="I26" s="158"/>
      <c r="J26" s="165"/>
      <c r="K26" s="364" t="str">
        <f t="shared" si="0"/>
        <v/>
      </c>
      <c r="L26" s="366"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167"/>
      <c r="N26" s="168"/>
      <c r="O26" s="195"/>
      <c r="P26" s="196"/>
      <c r="Q26" s="197"/>
      <c r="R26" s="198"/>
      <c r="S26" s="361"/>
      <c r="T26" s="361"/>
      <c r="U26" s="361"/>
      <c r="V26" s="361"/>
    </row>
    <row r="27" spans="1:29" ht="21.95" customHeight="1" x14ac:dyDescent="0.35">
      <c r="A27" s="363" t="s">
        <v>83</v>
      </c>
      <c r="B27" s="181"/>
      <c r="C27" s="182"/>
      <c r="D27" s="183"/>
      <c r="E27" s="184"/>
      <c r="F27" s="190"/>
      <c r="G27" s="364" t="str">
        <f>IF(OR(E27="",F27=""),"",PID_KVLohnLookup($A$1,E27,F27,LOHNTABELLE!$H$4))</f>
        <v/>
      </c>
      <c r="H27" s="365" t="str">
        <f>IF(AND(ISNUMBER(D27),ISNUMBER(F27)),ROUNDDOWN(MIN(IF(OR(ISBLANK(I27),I27=""),EOMONTH(DATE(EINSTELLUNG!$C$35,$A$1,1),0),I27)-MAX(D27,DATE(EINSTELLUNG!$C$35,$A$1,1))+1)/DAY(EOMONTH(DATE(EINSTELLUNG!$C$35,$A$1,1),0))*F27,2),"")</f>
        <v/>
      </c>
      <c r="I27" s="186"/>
      <c r="J27" s="187"/>
      <c r="K27" s="364" t="str">
        <f t="shared" si="0"/>
        <v/>
      </c>
      <c r="L27" s="366"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188"/>
      <c r="N27" s="189"/>
      <c r="O27" s="195"/>
      <c r="P27" s="196"/>
      <c r="Q27" s="197"/>
      <c r="R27" s="198"/>
      <c r="S27" s="392" t="s">
        <v>84</v>
      </c>
      <c r="T27" s="392"/>
      <c r="U27" s="392"/>
      <c r="V27" s="392"/>
    </row>
    <row r="28" spans="1:29" ht="21.95" customHeight="1" x14ac:dyDescent="0.35">
      <c r="A28" s="363" t="s">
        <v>85</v>
      </c>
      <c r="B28" s="152"/>
      <c r="C28" s="153"/>
      <c r="D28" s="154"/>
      <c r="E28" s="155"/>
      <c r="F28" s="156"/>
      <c r="G28" s="364" t="str">
        <f>IF(OR(E28="",F28=""),"",PID_KVLohnLookup($A$1,E28,F28,LOHNTABELLE!$H$4))</f>
        <v/>
      </c>
      <c r="H28" s="365" t="str">
        <f>IF(AND(ISNUMBER(D28),ISNUMBER(F28)),ROUNDDOWN(MIN(IF(OR(ISBLANK(I28),I28=""),EOMONTH(DATE(EINSTELLUNG!$C$35,$A$1,1),0),I28)-MAX(D28,DATE(EINSTELLUNG!$C$35,$A$1,1))+1)/DAY(EOMONTH(DATE(EINSTELLUNG!$C$35,$A$1,1),0))*F28,2),"")</f>
        <v/>
      </c>
      <c r="I28" s="158"/>
      <c r="J28" s="165"/>
      <c r="K28" s="364" t="str">
        <f t="shared" si="0"/>
        <v/>
      </c>
      <c r="L28" s="366"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167"/>
      <c r="N28" s="168"/>
      <c r="O28" s="195"/>
      <c r="P28" s="196"/>
      <c r="Q28" s="197"/>
      <c r="R28" s="198"/>
      <c r="S28" s="361"/>
      <c r="T28" s="361"/>
      <c r="U28" s="361"/>
      <c r="V28" s="361"/>
    </row>
    <row r="29" spans="1:29" ht="21.95" customHeight="1" thickBot="1" x14ac:dyDescent="0.4">
      <c r="A29" s="363" t="s">
        <v>86</v>
      </c>
      <c r="B29" s="181"/>
      <c r="C29" s="182"/>
      <c r="D29" s="183"/>
      <c r="E29" s="184"/>
      <c r="F29" s="190"/>
      <c r="G29" s="364" t="str">
        <f>IF(OR(E29="",F29=""),"",PID_KVLohnLookup($A$1,E29,F29,LOHNTABELLE!$H$4))</f>
        <v/>
      </c>
      <c r="H29" s="365" t="str">
        <f>IF(AND(ISNUMBER(D29),ISNUMBER(F29)),ROUNDDOWN(MIN(IF(OR(ISBLANK(I29),I29=""),EOMONTH(DATE(EINSTELLUNG!$C$35,$A$1,1),0),I29)-MAX(D29,DATE(EINSTELLUNG!$C$35,$A$1,1))+1)/DAY(EOMONTH(DATE(EINSTELLUNG!$C$35,$A$1,1),0))*F29,2),"")</f>
        <v/>
      </c>
      <c r="I29" s="186"/>
      <c r="J29" s="187"/>
      <c r="K29" s="364" t="str">
        <f t="shared" si="0"/>
        <v/>
      </c>
      <c r="L29" s="366"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188"/>
      <c r="N29" s="189"/>
      <c r="O29" s="393" t="s">
        <v>87</v>
      </c>
      <c r="P29" s="394"/>
      <c r="Q29" s="395">
        <f>EINSTELLUNG!O15</f>
        <v>0</v>
      </c>
      <c r="R29" s="396"/>
      <c r="S29" s="361"/>
      <c r="T29" s="361"/>
      <c r="U29" s="361"/>
      <c r="V29" s="361"/>
    </row>
    <row r="30" spans="1:29" ht="21.95" customHeight="1" thickBot="1" x14ac:dyDescent="0.4">
      <c r="A30" s="363" t="s">
        <v>88</v>
      </c>
      <c r="B30" s="152"/>
      <c r="C30" s="153"/>
      <c r="D30" s="154"/>
      <c r="E30" s="155"/>
      <c r="F30" s="156"/>
      <c r="G30" s="364" t="str">
        <f>IF(OR(E30="",F30=""),"",PID_KVLohnLookup($A$1,E30,F30,LOHNTABELLE!$H$4))</f>
        <v/>
      </c>
      <c r="H30" s="365" t="str">
        <f>IF(AND(ISNUMBER(D30),ISNUMBER(F30)),ROUNDDOWN(MIN(IF(OR(ISBLANK(I30),I30=""),EOMONTH(DATE(EINSTELLUNG!$C$35,$A$1,1),0),I30)-MAX(D30,DATE(EINSTELLUNG!$C$35,$A$1,1))+1)/DAY(EOMONTH(DATE(EINSTELLUNG!$C$35,$A$1,1),0))*F30,2),"")</f>
        <v/>
      </c>
      <c r="I30" s="158"/>
      <c r="J30" s="165"/>
      <c r="K30" s="364" t="str">
        <f t="shared" si="0"/>
        <v/>
      </c>
      <c r="L30" s="366"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167"/>
      <c r="N30" s="168"/>
      <c r="O30" s="361"/>
      <c r="P30" s="361"/>
      <c r="Q30" s="361"/>
      <c r="R30" s="361"/>
      <c r="S30" s="361"/>
      <c r="T30" s="361"/>
      <c r="U30" s="361"/>
      <c r="V30" s="361"/>
      <c r="W30" s="397"/>
      <c r="X30" s="397"/>
      <c r="Y30" s="397"/>
      <c r="Z30" s="397"/>
      <c r="AA30" s="397"/>
      <c r="AB30" s="397"/>
      <c r="AC30" s="397"/>
    </row>
    <row r="31" spans="1:29" ht="21.95" customHeight="1" thickBot="1" x14ac:dyDescent="0.4">
      <c r="A31" s="363" t="s">
        <v>89</v>
      </c>
      <c r="B31" s="181"/>
      <c r="C31" s="182"/>
      <c r="D31" s="183"/>
      <c r="E31" s="184"/>
      <c r="F31" s="190"/>
      <c r="G31" s="364" t="str">
        <f>IF(OR(E31="",F31=""),"",PID_KVLohnLookup($A$1,E31,F31,LOHNTABELLE!$H$4))</f>
        <v/>
      </c>
      <c r="H31" s="365" t="str">
        <f>IF(AND(ISNUMBER(D31),ISNUMBER(F31)),ROUNDDOWN(MIN(IF(OR(ISBLANK(I31),I31=""),EOMONTH(DATE(EINSTELLUNG!$C$35,$A$1,1),0),I31)-MAX(D31,DATE(EINSTELLUNG!$C$35,$A$1,1))+1)/DAY(EOMONTH(DATE(EINSTELLUNG!$C$35,$A$1,1),0))*F31,2),"")</f>
        <v/>
      </c>
      <c r="I31" s="186"/>
      <c r="J31" s="187"/>
      <c r="K31" s="364" t="str">
        <f t="shared" si="0"/>
        <v/>
      </c>
      <c r="L31" s="366"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188"/>
      <c r="N31" s="189"/>
      <c r="O31" s="398" t="s">
        <v>321</v>
      </c>
      <c r="P31" s="399"/>
      <c r="Q31" s="400">
        <v>0</v>
      </c>
      <c r="R31" s="401"/>
      <c r="S31" s="361"/>
      <c r="T31" s="361"/>
      <c r="U31" s="361"/>
      <c r="V31" s="361"/>
    </row>
    <row r="32" spans="1:29" ht="21.95" customHeight="1" thickBot="1" x14ac:dyDescent="0.4">
      <c r="A32" s="363" t="s">
        <v>91</v>
      </c>
      <c r="B32" s="152"/>
      <c r="C32" s="153"/>
      <c r="D32" s="154"/>
      <c r="E32" s="155"/>
      <c r="F32" s="156"/>
      <c r="G32" s="364" t="str">
        <f>IF(OR(E32="",F32=""),"",PID_KVLohnLookup($A$1,E32,F32,LOHNTABELLE!$H$4))</f>
        <v/>
      </c>
      <c r="H32" s="365" t="str">
        <f>IF(AND(ISNUMBER(D32),ISNUMBER(F32)),ROUNDDOWN(MIN(IF(OR(ISBLANK(I32),I32=""),EOMONTH(DATE(EINSTELLUNG!$C$35,$A$1,1),0),I32)-MAX(D32,DATE(EINSTELLUNG!$C$35,$A$1,1))+1)/DAY(EOMONTH(DATE(EINSTELLUNG!$C$35,$A$1,1),0))*F32,2),"")</f>
        <v/>
      </c>
      <c r="I32" s="158"/>
      <c r="J32" s="165"/>
      <c r="K32" s="364" t="str">
        <f t="shared" si="0"/>
        <v/>
      </c>
      <c r="L32" s="366"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167"/>
      <c r="N32" s="168"/>
      <c r="O32" s="361"/>
      <c r="P32" s="361"/>
      <c r="Q32" s="361"/>
      <c r="R32" s="361"/>
      <c r="S32" s="361"/>
      <c r="T32" s="361"/>
      <c r="U32" s="361"/>
      <c r="V32" s="361"/>
    </row>
    <row r="33" spans="1:22" ht="21.95" customHeight="1" x14ac:dyDescent="0.35">
      <c r="A33" s="363" t="s">
        <v>92</v>
      </c>
      <c r="B33" s="181"/>
      <c r="C33" s="182"/>
      <c r="D33" s="183"/>
      <c r="E33" s="184"/>
      <c r="F33" s="190"/>
      <c r="G33" s="364" t="str">
        <f>IF(OR(E33="",F33=""),"",PID_KVLohnLookup($A$1,E33,F33,LOHNTABELLE!$H$4))</f>
        <v/>
      </c>
      <c r="H33" s="365" t="str">
        <f>IF(AND(ISNUMBER(D33),ISNUMBER(F33)),ROUNDDOWN(MIN(IF(OR(ISBLANK(I33),I33=""),EOMONTH(DATE(EINSTELLUNG!$C$35,$A$1,1),0),I33)-MAX(D33,DATE(EINSTELLUNG!$C$35,$A$1,1))+1)/DAY(EOMONTH(DATE(EINSTELLUNG!$C$35,$A$1,1),0))*F33,2),"")</f>
        <v/>
      </c>
      <c r="I33" s="186"/>
      <c r="J33" s="187"/>
      <c r="K33" s="364" t="str">
        <f t="shared" si="0"/>
        <v/>
      </c>
      <c r="L33" s="366"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188"/>
      <c r="N33" s="189"/>
      <c r="O33" s="402"/>
      <c r="P33" s="403"/>
      <c r="Q33" s="346" t="str">
        <f>EINSTELLUNG!B3</f>
        <v>Budget</v>
      </c>
      <c r="R33" s="346"/>
      <c r="S33" s="346" t="str">
        <f>EINSTELLUNG!B19</f>
        <v>Projection/Aktuell Zahlen</v>
      </c>
      <c r="T33" s="346"/>
      <c r="U33" s="346" t="s">
        <v>95</v>
      </c>
      <c r="V33" s="347"/>
    </row>
    <row r="34" spans="1:22" ht="21.95" customHeight="1" x14ac:dyDescent="0.35">
      <c r="A34" s="363" t="s">
        <v>96</v>
      </c>
      <c r="B34" s="152"/>
      <c r="C34" s="153"/>
      <c r="D34" s="154"/>
      <c r="E34" s="155"/>
      <c r="F34" s="156"/>
      <c r="G34" s="364" t="str">
        <f>IF(OR(E34="",F34=""),"",PID_KVLohnLookup($A$1,E34,F34,LOHNTABELLE!$H$4))</f>
        <v/>
      </c>
      <c r="H34" s="365" t="str">
        <f>IF(AND(ISNUMBER(D34),ISNUMBER(F34)),ROUNDDOWN(MIN(IF(OR(ISBLANK(I34),I34=""),EOMONTH(DATE(EINSTELLUNG!$C$35,$A$1,1),0),I34)-MAX(D34,DATE(EINSTELLUNG!$C$35,$A$1,1))+1)/DAY(EOMONTH(DATE(EINSTELLUNG!$C$35,$A$1,1),0))*F34,2),"")</f>
        <v/>
      </c>
      <c r="I34" s="158"/>
      <c r="J34" s="165"/>
      <c r="K34" s="364" t="str">
        <f t="shared" si="0"/>
        <v/>
      </c>
      <c r="L34" s="366"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167"/>
      <c r="N34" s="168"/>
      <c r="O34" s="404"/>
      <c r="P34" s="405"/>
      <c r="Q34" s="406"/>
      <c r="R34" s="406"/>
      <c r="S34" s="406"/>
      <c r="T34" s="406"/>
      <c r="U34" s="406"/>
      <c r="V34" s="407"/>
    </row>
    <row r="35" spans="1:22" ht="21.95" customHeight="1" x14ac:dyDescent="0.35">
      <c r="A35" s="363" t="s">
        <v>97</v>
      </c>
      <c r="B35" s="181"/>
      <c r="C35" s="182"/>
      <c r="D35" s="183"/>
      <c r="E35" s="184"/>
      <c r="F35" s="190"/>
      <c r="G35" s="364" t="str">
        <f>IF(OR(E35="",F35=""),"",PID_KVLohnLookup($A$1,E35,F35,LOHNTABELLE!$H$4))</f>
        <v/>
      </c>
      <c r="H35" s="365" t="str">
        <f>IF(AND(ISNUMBER(D35),ISNUMBER(F35)),ROUNDDOWN(MIN(IF(OR(ISBLANK(I35),I35=""),EOMONTH(DATE(EINSTELLUNG!$C$35,$A$1,1),0),I35)-MAX(D35,DATE(EINSTELLUNG!$C$35,$A$1,1))+1)/DAY(EOMONTH(DATE(EINSTELLUNG!$C$35,$A$1,1),0))*F35,2),"")</f>
        <v/>
      </c>
      <c r="I35" s="186"/>
      <c r="J35" s="187"/>
      <c r="K35" s="364" t="str">
        <f t="shared" ref="K35:K66" si="1">IF(OR(B35="",C35=""),"",IFERROR(IF(OR(MONTH(D35)=1,MONTH(D35)=3,MONTH(D35)=5,MONTH(D35)=7,MONTH(D35)=8,MONTH(D35)=10,MONTH(D35)=12),(G35/31)*J35,IF(OR(MONTH(D35)=4,MONTH(D35)=6,MONTH(D35)=9,MONTH(D35)=11),(G35/30)*J35,(G35/DAY(EOMONTH(D35,0)))*J35)),0))</f>
        <v/>
      </c>
      <c r="L35" s="366"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188"/>
      <c r="N35" s="189"/>
      <c r="O35" s="379" t="s">
        <v>98</v>
      </c>
      <c r="P35" s="380"/>
      <c r="Q35" s="408">
        <f>EINSTELLUNG!C15</f>
        <v>0</v>
      </c>
      <c r="R35" s="408"/>
      <c r="S35" s="408">
        <f>EINSTELLUNG!C31</f>
        <v>0</v>
      </c>
      <c r="T35" s="408"/>
      <c r="U35" s="408">
        <f>S35-Q35</f>
        <v>0</v>
      </c>
      <c r="V35" s="409"/>
    </row>
    <row r="36" spans="1:22" ht="21.95" customHeight="1" x14ac:dyDescent="0.35">
      <c r="A36" s="363" t="s">
        <v>99</v>
      </c>
      <c r="B36" s="152"/>
      <c r="C36" s="153"/>
      <c r="D36" s="158"/>
      <c r="E36" s="155"/>
      <c r="F36" s="156"/>
      <c r="G36" s="364" t="str">
        <f>IF(OR(E36="",F36=""),"",PID_KVLohnLookup($A$1,E36,F36,LOHNTABELLE!$H$4))</f>
        <v/>
      </c>
      <c r="H36" s="365" t="str">
        <f>IF(AND(ISNUMBER(D36),ISNUMBER(F36)),ROUNDDOWN(MIN(IF(OR(ISBLANK(I36),I36=""),EOMONTH(DATE(EINSTELLUNG!$C$35,$A$1,1),0),I36)-MAX(D36,DATE(EINSTELLUNG!$C$35,$A$1,1))+1)/DAY(EOMONTH(DATE(EINSTELLUNG!$C$35,$A$1,1),0))*F36,2),"")</f>
        <v/>
      </c>
      <c r="I36" s="158"/>
      <c r="J36" s="165"/>
      <c r="K36" s="364" t="str">
        <f t="shared" si="1"/>
        <v/>
      </c>
      <c r="L36" s="366"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167"/>
      <c r="N36" s="168"/>
      <c r="O36" s="379" t="s">
        <v>100</v>
      </c>
      <c r="P36" s="380"/>
      <c r="Q36" s="408">
        <f>EINSTELLUNG!D15</f>
        <v>0</v>
      </c>
      <c r="R36" s="408"/>
      <c r="S36" s="408">
        <f ca="1">SumMergedCells(Q17:R29)</f>
        <v>3868.38</v>
      </c>
      <c r="T36" s="408"/>
      <c r="U36" s="408">
        <f t="shared" ref="U36:U41" ca="1" si="2">S36-Q36</f>
        <v>3868.38</v>
      </c>
      <c r="V36" s="409"/>
    </row>
    <row r="37" spans="1:22" ht="21.95" customHeight="1" x14ac:dyDescent="0.35">
      <c r="A37" s="363" t="s">
        <v>101</v>
      </c>
      <c r="B37" s="181"/>
      <c r="C37" s="182"/>
      <c r="D37" s="183"/>
      <c r="E37" s="184"/>
      <c r="F37" s="190"/>
      <c r="G37" s="364" t="str">
        <f>IF(OR(E37="",F37=""),"",PID_KVLohnLookup($A$1,E37,F37,LOHNTABELLE!$H$4))</f>
        <v/>
      </c>
      <c r="H37" s="365" t="str">
        <f>IF(AND(ISNUMBER(D37),ISNUMBER(F37)),ROUNDDOWN(MIN(IF(OR(ISBLANK(I37),I37=""),EOMONTH(DATE(EINSTELLUNG!$C$35,$A$1,1),0),I37)-MAX(D37,DATE(EINSTELLUNG!$C$35,$A$1,1))+1)/DAY(EOMONTH(DATE(EINSTELLUNG!$C$35,$A$1,1),0))*F37,2),"")</f>
        <v/>
      </c>
      <c r="I37" s="186"/>
      <c r="J37" s="187"/>
      <c r="K37" s="364" t="str">
        <f t="shared" si="1"/>
        <v/>
      </c>
      <c r="L37" s="366"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188"/>
      <c r="N37" s="189"/>
      <c r="O37" s="379" t="s">
        <v>102</v>
      </c>
      <c r="P37" s="380"/>
      <c r="Q37" s="410">
        <f>IF(ISERROR(Q36/Q35), 0, Q36/Q35)</f>
        <v>0</v>
      </c>
      <c r="R37" s="410"/>
      <c r="S37" s="410">
        <f ca="1">IF(ISERROR(S36/S35), 0, S36/S35)</f>
        <v>0</v>
      </c>
      <c r="T37" s="410"/>
      <c r="U37" s="410">
        <f t="shared" ca="1" si="2"/>
        <v>0</v>
      </c>
      <c r="V37" s="411"/>
    </row>
    <row r="38" spans="1:22" ht="21.95" customHeight="1" x14ac:dyDescent="0.35">
      <c r="A38" s="363" t="s">
        <v>103</v>
      </c>
      <c r="B38" s="152"/>
      <c r="C38" s="153"/>
      <c r="D38" s="154"/>
      <c r="E38" s="155"/>
      <c r="F38" s="156"/>
      <c r="G38" s="364" t="str">
        <f>IF(OR(E38="",F38=""),"",PID_KVLohnLookup($A$1,E38,F38,LOHNTABELLE!$H$4))</f>
        <v/>
      </c>
      <c r="H38" s="365" t="str">
        <f>IF(AND(ISNUMBER(D38),ISNUMBER(F38)),ROUNDDOWN(MIN(IF(OR(ISBLANK(I38),I38=""),EOMONTH(DATE(EINSTELLUNG!$C$35,$A$1,1),0),I38)-MAX(D38,DATE(EINSTELLUNG!$C$35,$A$1,1))+1)/DAY(EOMONTH(DATE(EINSTELLUNG!$C$35,$A$1,1),0))*F38,2),"")</f>
        <v/>
      </c>
      <c r="I38" s="158"/>
      <c r="J38" s="165"/>
      <c r="K38" s="364" t="str">
        <f t="shared" si="1"/>
        <v/>
      </c>
      <c r="L38" s="366"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167"/>
      <c r="N38" s="168"/>
      <c r="O38" s="379" t="s">
        <v>104</v>
      </c>
      <c r="P38" s="380"/>
      <c r="Q38" s="381">
        <f>EINSTELLUNG!F15</f>
        <v>0</v>
      </c>
      <c r="R38" s="381"/>
      <c r="S38" s="381">
        <f>EINSTELLUNG!F31</f>
        <v>0</v>
      </c>
      <c r="T38" s="381"/>
      <c r="U38" s="381">
        <f t="shared" si="2"/>
        <v>0</v>
      </c>
      <c r="V38" s="382"/>
    </row>
    <row r="39" spans="1:22" ht="21.95" customHeight="1" x14ac:dyDescent="0.35">
      <c r="A39" s="363" t="s">
        <v>105</v>
      </c>
      <c r="B39" s="181"/>
      <c r="C39" s="182"/>
      <c r="D39" s="183"/>
      <c r="E39" s="184"/>
      <c r="F39" s="190"/>
      <c r="G39" s="364" t="str">
        <f>IF(OR(E39="",F39=""),"",PID_KVLohnLookup($A$1,E39,F39,LOHNTABELLE!$H$4))</f>
        <v/>
      </c>
      <c r="H39" s="365" t="str">
        <f>IF(AND(ISNUMBER(D39),ISNUMBER(F39)),ROUNDDOWN(MIN(IF(OR(ISBLANK(I39),I39=""),EOMONTH(DATE(EINSTELLUNG!$C$35,$A$1,1),0),I39)-MAX(D39,DATE(EINSTELLUNG!$C$35,$A$1,1))+1)/DAY(EOMONTH(DATE(EINSTELLUNG!$C$35,$A$1,1),0))*F39,2),"")</f>
        <v/>
      </c>
      <c r="I39" s="186"/>
      <c r="J39" s="187"/>
      <c r="K39" s="364" t="str">
        <f t="shared" si="1"/>
        <v/>
      </c>
      <c r="L39" s="366"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188"/>
      <c r="N39" s="189"/>
      <c r="O39" s="379" t="s">
        <v>106</v>
      </c>
      <c r="P39" s="380"/>
      <c r="Q39" s="408">
        <f>IF(Q38=0, 0, Q35/Q38)</f>
        <v>0</v>
      </c>
      <c r="R39" s="408"/>
      <c r="S39" s="408">
        <f>IF(S38=0, 0, S35/S38)</f>
        <v>0</v>
      </c>
      <c r="T39" s="408"/>
      <c r="U39" s="408">
        <f t="shared" si="2"/>
        <v>0</v>
      </c>
      <c r="V39" s="409"/>
    </row>
    <row r="40" spans="1:22" ht="21.95" customHeight="1" x14ac:dyDescent="0.35">
      <c r="A40" s="363" t="s">
        <v>107</v>
      </c>
      <c r="B40" s="152"/>
      <c r="C40" s="153"/>
      <c r="D40" s="154"/>
      <c r="E40" s="155"/>
      <c r="F40" s="156"/>
      <c r="G40" s="364" t="str">
        <f>IF(OR(E40="",F40=""),"",PID_KVLohnLookup($A$1,E40,F40,LOHNTABELLE!$H$4))</f>
        <v/>
      </c>
      <c r="H40" s="365" t="str">
        <f>IF(AND(ISNUMBER(D40),ISNUMBER(F40)),ROUNDDOWN(MIN(IF(OR(ISBLANK(I40),I40=""),EOMONTH(DATE(EINSTELLUNG!$C$35,$A$1,1),0),I40)-MAX(D40,DATE(EINSTELLUNG!$C$35,$A$1,1))+1)/DAY(EOMONTH(DATE(EINSTELLUNG!$C$35,$A$1,1),0))*F40,2),"")</f>
        <v/>
      </c>
      <c r="I40" s="158"/>
      <c r="J40" s="165"/>
      <c r="K40" s="364" t="str">
        <f t="shared" si="1"/>
        <v/>
      </c>
      <c r="L40" s="366"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167"/>
      <c r="N40" s="168"/>
      <c r="O40" s="379" t="s">
        <v>108</v>
      </c>
      <c r="P40" s="380"/>
      <c r="Q40" s="408">
        <f>IF(Q13=0, 0, Q35/Q13)</f>
        <v>0</v>
      </c>
      <c r="R40" s="408"/>
      <c r="S40" s="408">
        <f>IF(Q13=0, 0, S35/Q13)</f>
        <v>0</v>
      </c>
      <c r="T40" s="408"/>
      <c r="U40" s="408">
        <f t="shared" si="2"/>
        <v>0</v>
      </c>
      <c r="V40" s="409"/>
    </row>
    <row r="41" spans="1:22" ht="21.95" customHeight="1" x14ac:dyDescent="0.35">
      <c r="A41" s="363" t="s">
        <v>109</v>
      </c>
      <c r="B41" s="181"/>
      <c r="C41" s="182"/>
      <c r="D41" s="183"/>
      <c r="E41" s="184"/>
      <c r="F41" s="190"/>
      <c r="G41" s="364" t="str">
        <f>IF(OR(E41="",F41=""),"",PID_KVLohnLookup($A$1,E41,F41,LOHNTABELLE!$H$4))</f>
        <v/>
      </c>
      <c r="H41" s="365" t="str">
        <f>IF(AND(ISNUMBER(D41),ISNUMBER(F41)),ROUNDDOWN(MIN(IF(OR(ISBLANK(I41),I41=""),EOMONTH(DATE(EINSTELLUNG!$C$35,$A$1,1),0),I41)-MAX(D41,DATE(EINSTELLUNG!$C$35,$A$1,1))+1)/DAY(EOMONTH(DATE(EINSTELLUNG!$C$35,$A$1,1),0))*F41,2),"")</f>
        <v/>
      </c>
      <c r="I41" s="186"/>
      <c r="J41" s="187"/>
      <c r="K41" s="364" t="str">
        <f t="shared" si="1"/>
        <v/>
      </c>
      <c r="L41" s="366"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188"/>
      <c r="N41" s="189"/>
      <c r="O41" s="412" t="s">
        <v>110</v>
      </c>
      <c r="P41" s="413"/>
      <c r="Q41" s="414">
        <f>IF(Q13=0, 0, Q38/Q13)</f>
        <v>0</v>
      </c>
      <c r="R41" s="414"/>
      <c r="S41" s="414">
        <f>IF(Q13=0, 0, S38/Q13)</f>
        <v>0</v>
      </c>
      <c r="T41" s="414"/>
      <c r="U41" s="414">
        <f t="shared" si="2"/>
        <v>0</v>
      </c>
      <c r="V41" s="415"/>
    </row>
    <row r="42" spans="1:22" ht="21.95" customHeight="1" thickBot="1" x14ac:dyDescent="0.4">
      <c r="A42" s="363" t="s">
        <v>111</v>
      </c>
      <c r="B42" s="152"/>
      <c r="C42" s="153"/>
      <c r="D42" s="154"/>
      <c r="E42" s="155"/>
      <c r="F42" s="156"/>
      <c r="G42" s="364" t="str">
        <f>IF(OR(E42="",F42=""),"",PID_KVLohnLookup($A$1,E42,F42,LOHNTABELLE!$H$4))</f>
        <v/>
      </c>
      <c r="H42" s="365" t="str">
        <f>IF(AND(ISNUMBER(D42),ISNUMBER(F42)),ROUNDDOWN(MIN(IF(OR(ISBLANK(I42),I42=""),EOMONTH(DATE(EINSTELLUNG!$C$35,$A$1,1),0),I42)-MAX(D42,DATE(EINSTELLUNG!$C$35,$A$1,1))+1)/DAY(EOMONTH(DATE(EINSTELLUNG!$C$35,$A$1,1),0))*F42,2),"")</f>
        <v/>
      </c>
      <c r="I42" s="158"/>
      <c r="J42" s="165"/>
      <c r="K42" s="364" t="str">
        <f t="shared" si="1"/>
        <v/>
      </c>
      <c r="L42" s="366"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167"/>
      <c r="N42" s="169"/>
      <c r="O42" s="416" t="s">
        <v>112</v>
      </c>
      <c r="P42" s="394"/>
      <c r="Q42" s="417">
        <f>IFERROR(Q17/Q8, 0)</f>
        <v>11.925457796411617</v>
      </c>
      <c r="R42" s="418"/>
      <c r="S42" s="417"/>
      <c r="T42" s="417"/>
      <c r="U42" s="417"/>
      <c r="V42" s="396"/>
    </row>
    <row r="43" spans="1:22" ht="21.95" customHeight="1" x14ac:dyDescent="0.35">
      <c r="A43" s="363" t="s">
        <v>113</v>
      </c>
      <c r="B43" s="181"/>
      <c r="C43" s="182"/>
      <c r="D43" s="183"/>
      <c r="E43" s="184"/>
      <c r="F43" s="190"/>
      <c r="G43" s="364" t="str">
        <f>IF(OR(E43="",F43=""),"",PID_KVLohnLookup($A$1,E43,F43,LOHNTABELLE!$H$4))</f>
        <v/>
      </c>
      <c r="H43" s="365" t="str">
        <f>IF(AND(ISNUMBER(D43),ISNUMBER(F43)),ROUNDDOWN(MIN(IF(OR(ISBLANK(I43),I43=""),EOMONTH(DATE(EINSTELLUNG!$C$35,$A$1,1),0),I43)-MAX(D43,DATE(EINSTELLUNG!$C$35,$A$1,1))+1)/DAY(EOMONTH(DATE(EINSTELLUNG!$C$35,$A$1,1),0))*F43,2),"")</f>
        <v/>
      </c>
      <c r="I43" s="186"/>
      <c r="J43" s="187"/>
      <c r="K43" s="364" t="str">
        <f t="shared" si="1"/>
        <v/>
      </c>
      <c r="L43" s="366"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91"/>
      <c r="N43" s="189"/>
      <c r="O43" s="419"/>
      <c r="P43" s="419"/>
      <c r="Q43" s="419"/>
      <c r="R43" s="361"/>
      <c r="S43" s="361"/>
      <c r="T43" s="361"/>
      <c r="U43" s="361"/>
      <c r="V43" s="361"/>
    </row>
    <row r="44" spans="1:22" ht="21.95" customHeight="1" x14ac:dyDescent="0.35">
      <c r="A44" s="363" t="s">
        <v>114</v>
      </c>
      <c r="B44" s="152"/>
      <c r="C44" s="153"/>
      <c r="D44" s="154"/>
      <c r="E44" s="155"/>
      <c r="F44" s="156"/>
      <c r="G44" s="364" t="str">
        <f>IF(OR(E44="",F44=""),"",PID_KVLohnLookup($A$1,E44,F44,LOHNTABELLE!$H$4))</f>
        <v/>
      </c>
      <c r="H44" s="365" t="str">
        <f>IF(AND(ISNUMBER(D44),ISNUMBER(F44)),ROUNDDOWN(MIN(IF(OR(ISBLANK(I44),I44=""),EOMONTH(DATE(EINSTELLUNG!$C$35,$A$1,1),0),I44)-MAX(D44,DATE(EINSTELLUNG!$C$35,$A$1,1))+1)/DAY(EOMONTH(DATE(EINSTELLUNG!$C$35,$A$1,1),0))*F44,2),"")</f>
        <v/>
      </c>
      <c r="I44" s="158"/>
      <c r="J44" s="165"/>
      <c r="K44" s="364" t="str">
        <f t="shared" si="1"/>
        <v/>
      </c>
      <c r="L44" s="366"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70"/>
      <c r="N44" s="168"/>
      <c r="O44" s="420" t="s">
        <v>115</v>
      </c>
      <c r="P44" s="420"/>
      <c r="Q44" s="420"/>
      <c r="R44" s="420"/>
      <c r="S44" s="420"/>
      <c r="T44" s="420"/>
      <c r="U44" s="420"/>
      <c r="V44" s="420"/>
    </row>
    <row r="45" spans="1:22" ht="21.95" customHeight="1" x14ac:dyDescent="0.35">
      <c r="A45" s="363" t="s">
        <v>116</v>
      </c>
      <c r="B45" s="181"/>
      <c r="C45" s="182"/>
      <c r="D45" s="183"/>
      <c r="E45" s="184"/>
      <c r="F45" s="190"/>
      <c r="G45" s="364" t="str">
        <f>IF(OR(E45="",F45=""),"",PID_KVLohnLookup($A$1,E45,F45,LOHNTABELLE!$H$4))</f>
        <v/>
      </c>
      <c r="H45" s="365" t="str">
        <f>IF(AND(ISNUMBER(D45),ISNUMBER(F45)),ROUNDDOWN(MIN(IF(OR(ISBLANK(I45),I45=""),EOMONTH(DATE(EINSTELLUNG!$C$35,$A$1,1),0),I45)-MAX(D45,DATE(EINSTELLUNG!$C$35,$A$1,1))+1)/DAY(EOMONTH(DATE(EINSTELLUNG!$C$35,$A$1,1),0))*F45,2),"")</f>
        <v/>
      </c>
      <c r="I45" s="186"/>
      <c r="J45" s="187"/>
      <c r="K45" s="364" t="str">
        <f t="shared" si="1"/>
        <v/>
      </c>
      <c r="L45" s="366"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91"/>
      <c r="N45" s="189"/>
      <c r="O45" s="421"/>
      <c r="P45" s="421"/>
      <c r="Q45" s="421"/>
      <c r="R45" s="422"/>
      <c r="S45" s="422"/>
      <c r="T45" s="422"/>
      <c r="U45" s="422"/>
      <c r="V45" s="361"/>
    </row>
    <row r="46" spans="1:22" ht="21.95" customHeight="1" x14ac:dyDescent="0.35">
      <c r="A46" s="363" t="s">
        <v>117</v>
      </c>
      <c r="B46" s="152"/>
      <c r="C46" s="153"/>
      <c r="D46" s="158"/>
      <c r="E46" s="155"/>
      <c r="F46" s="156"/>
      <c r="G46" s="364" t="str">
        <f>IF(OR(E46="",F46=""),"",PID_KVLohnLookup($A$1,E46,F46,LOHNTABELLE!$H$4))</f>
        <v/>
      </c>
      <c r="H46" s="365" t="str">
        <f>IF(AND(ISNUMBER(D46),ISNUMBER(F46)),ROUNDDOWN(MIN(IF(OR(ISBLANK(I46),I46=""),EOMONTH(DATE(EINSTELLUNG!$C$35,$A$1,1),0),I46)-MAX(D46,DATE(EINSTELLUNG!$C$35,$A$1,1))+1)/DAY(EOMONTH(DATE(EINSTELLUNG!$C$35,$A$1,1),0))*F46,2),"")</f>
        <v/>
      </c>
      <c r="I46" s="158"/>
      <c r="J46" s="165"/>
      <c r="K46" s="364" t="str">
        <f t="shared" si="1"/>
        <v/>
      </c>
      <c r="L46" s="366"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70"/>
      <c r="N46" s="168"/>
      <c r="O46" s="361"/>
      <c r="P46" s="361"/>
      <c r="Q46" s="361"/>
      <c r="R46" s="361"/>
      <c r="S46" s="361"/>
      <c r="T46" s="361"/>
      <c r="U46" s="361"/>
      <c r="V46" s="361"/>
    </row>
    <row r="47" spans="1:22" ht="21.95" customHeight="1" x14ac:dyDescent="0.35">
      <c r="A47" s="363" t="s">
        <v>118</v>
      </c>
      <c r="B47" s="181"/>
      <c r="C47" s="182"/>
      <c r="D47" s="183"/>
      <c r="E47" s="184"/>
      <c r="F47" s="190"/>
      <c r="G47" s="364" t="str">
        <f>IF(OR(E47="",F47=""),"",PID_KVLohnLookup($A$1,E47,F47,LOHNTABELLE!$H$4))</f>
        <v/>
      </c>
      <c r="H47" s="365" t="str">
        <f>IF(AND(ISNUMBER(D47),ISNUMBER(F47)),ROUNDDOWN(MIN(IF(OR(ISBLANK(I47),I47=""),EOMONTH(DATE(EINSTELLUNG!$C$35,$A$1,1),0),I47)-MAX(D47,DATE(EINSTELLUNG!$C$35,$A$1,1))+1)/DAY(EOMONTH(DATE(EINSTELLUNG!$C$35,$A$1,1),0))*F47,2),"")</f>
        <v/>
      </c>
      <c r="I47" s="186"/>
      <c r="J47" s="187"/>
      <c r="K47" s="364" t="str">
        <f t="shared" si="1"/>
        <v/>
      </c>
      <c r="L47" s="366"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91"/>
      <c r="N47" s="189"/>
      <c r="O47" s="361"/>
      <c r="P47" s="361"/>
      <c r="Q47" s="361"/>
      <c r="R47" s="361"/>
      <c r="S47" s="361"/>
      <c r="T47" s="361"/>
      <c r="U47" s="361"/>
      <c r="V47" s="361"/>
    </row>
    <row r="48" spans="1:22" ht="18" customHeight="1" x14ac:dyDescent="0.35">
      <c r="A48" s="363" t="s">
        <v>119</v>
      </c>
      <c r="B48" s="152"/>
      <c r="C48" s="153"/>
      <c r="D48" s="154"/>
      <c r="E48" s="155"/>
      <c r="F48" s="156"/>
      <c r="G48" s="364" t="str">
        <f>IF(OR(E48="",F48=""),"",PID_KVLohnLookup($A$1,E48,F48,LOHNTABELLE!$H$4))</f>
        <v/>
      </c>
      <c r="H48" s="365" t="str">
        <f>IF(AND(ISNUMBER(D48),ISNUMBER(F48)),ROUNDDOWN(MIN(IF(OR(ISBLANK(I48),I48=""),EOMONTH(DATE(EINSTELLUNG!$C$35,$A$1,1),0),I48)-MAX(D48,DATE(EINSTELLUNG!$C$35,$A$1,1))+1)/DAY(EOMONTH(DATE(EINSTELLUNG!$C$35,$A$1,1),0))*F48,2),"")</f>
        <v/>
      </c>
      <c r="I48" s="158"/>
      <c r="J48" s="165"/>
      <c r="K48" s="364" t="str">
        <f t="shared" si="1"/>
        <v/>
      </c>
      <c r="L48" s="366"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70"/>
      <c r="N48" s="168"/>
      <c r="O48" s="361"/>
      <c r="P48" s="361"/>
      <c r="Q48" s="361"/>
      <c r="R48" s="361"/>
      <c r="S48" s="361"/>
      <c r="T48" s="361"/>
      <c r="U48" s="361"/>
      <c r="V48" s="361"/>
    </row>
    <row r="49" spans="1:22" ht="21.95" customHeight="1" x14ac:dyDescent="0.35">
      <c r="A49" s="363" t="s">
        <v>120</v>
      </c>
      <c r="B49" s="181"/>
      <c r="C49" s="182"/>
      <c r="D49" s="183"/>
      <c r="E49" s="184"/>
      <c r="F49" s="190"/>
      <c r="G49" s="364" t="str">
        <f>IF(OR(E49="",F49=""),"",PID_KVLohnLookup($A$1,E49,F49,LOHNTABELLE!$H$4))</f>
        <v/>
      </c>
      <c r="H49" s="365" t="str">
        <f>IF(AND(ISNUMBER(D49),ISNUMBER(F49)),ROUNDDOWN(MIN(IF(OR(ISBLANK(I49),I49=""),EOMONTH(DATE(EINSTELLUNG!$C$35,$A$1,1),0),I49)-MAX(D49,DATE(EINSTELLUNG!$C$35,$A$1,1))+1)/DAY(EOMONTH(DATE(EINSTELLUNG!$C$35,$A$1,1),0))*F49,2),"")</f>
        <v/>
      </c>
      <c r="I49" s="186"/>
      <c r="J49" s="187"/>
      <c r="K49" s="364" t="str">
        <f t="shared" si="1"/>
        <v/>
      </c>
      <c r="L49" s="366"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91"/>
      <c r="N49" s="189"/>
      <c r="O49" s="361"/>
      <c r="P49" s="361"/>
      <c r="Q49" s="361"/>
      <c r="R49" s="361"/>
      <c r="S49" s="361"/>
      <c r="T49" s="361"/>
      <c r="U49" s="361"/>
      <c r="V49" s="361"/>
    </row>
    <row r="50" spans="1:22" ht="21.95" customHeight="1" x14ac:dyDescent="0.35">
      <c r="A50" s="363" t="s">
        <v>121</v>
      </c>
      <c r="B50" s="152"/>
      <c r="C50" s="153"/>
      <c r="D50" s="154"/>
      <c r="E50" s="155"/>
      <c r="F50" s="156"/>
      <c r="G50" s="364" t="str">
        <f>IF(OR(E50="",F50=""),"",PID_KVLohnLookup($A$1,E50,F50,LOHNTABELLE!$H$4))</f>
        <v/>
      </c>
      <c r="H50" s="365" t="str">
        <f>IF(AND(ISNUMBER(D50),ISNUMBER(F50)),ROUNDDOWN(MIN(IF(OR(ISBLANK(I50),I50=""),EOMONTH(DATE(EINSTELLUNG!$C$35,$A$1,1),0),I50)-MAX(D50,DATE(EINSTELLUNG!$C$35,$A$1,1))+1)/DAY(EOMONTH(DATE(EINSTELLUNG!$C$35,$A$1,1),0))*F50,2),"")</f>
        <v/>
      </c>
      <c r="I50" s="158"/>
      <c r="J50" s="165"/>
      <c r="K50" s="364" t="str">
        <f t="shared" si="1"/>
        <v/>
      </c>
      <c r="L50" s="366"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70"/>
      <c r="N50" s="168"/>
      <c r="O50" s="361"/>
      <c r="P50" s="361"/>
      <c r="Q50" s="361"/>
      <c r="R50" s="361"/>
      <c r="S50" s="361"/>
      <c r="T50" s="361"/>
      <c r="U50" s="361"/>
      <c r="V50" s="361"/>
    </row>
    <row r="51" spans="1:22" ht="21.95" customHeight="1" x14ac:dyDescent="0.35">
      <c r="A51" s="363" t="s">
        <v>122</v>
      </c>
      <c r="B51" s="181"/>
      <c r="C51" s="182"/>
      <c r="D51" s="183"/>
      <c r="E51" s="184"/>
      <c r="F51" s="190"/>
      <c r="G51" s="364" t="str">
        <f>IF(OR(E51="",F51=""),"",PID_KVLohnLookup($A$1,E51,F51,LOHNTABELLE!$H$4))</f>
        <v/>
      </c>
      <c r="H51" s="365" t="str">
        <f>IF(AND(ISNUMBER(D51),ISNUMBER(F51)),ROUNDDOWN(MIN(IF(OR(ISBLANK(I51),I51=""),EOMONTH(DATE(EINSTELLUNG!$C$35,$A$1,1),0),I51)-MAX(D51,DATE(EINSTELLUNG!$C$35,$A$1,1))+1)/DAY(EOMONTH(DATE(EINSTELLUNG!$C$35,$A$1,1),0))*F51,2),"")</f>
        <v/>
      </c>
      <c r="I51" s="186"/>
      <c r="J51" s="187"/>
      <c r="K51" s="364" t="str">
        <f t="shared" si="1"/>
        <v/>
      </c>
      <c r="L51" s="366"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188"/>
      <c r="N51" s="192"/>
    </row>
    <row r="52" spans="1:22" ht="21.95" customHeight="1" x14ac:dyDescent="0.35">
      <c r="A52" s="363" t="s">
        <v>123</v>
      </c>
      <c r="B52" s="152"/>
      <c r="C52" s="153"/>
      <c r="D52" s="154"/>
      <c r="E52" s="155"/>
      <c r="F52" s="156"/>
      <c r="G52" s="364" t="str">
        <f>IF(OR(E52="",F52=""),"",PID_KVLohnLookup($A$1,E52,F52,LOHNTABELLE!$H$4))</f>
        <v/>
      </c>
      <c r="H52" s="365" t="str">
        <f>IF(AND(ISNUMBER(D52),ISNUMBER(F52)),ROUNDDOWN(MIN(IF(OR(ISBLANK(I52),I52=""),EOMONTH(DATE(EINSTELLUNG!$C$35,$A$1,1),0),I52)-MAX(D52,DATE(EINSTELLUNG!$C$35,$A$1,1))+1)/DAY(EOMONTH(DATE(EINSTELLUNG!$C$35,$A$1,1),0))*F52,2),"")</f>
        <v/>
      </c>
      <c r="I52" s="158"/>
      <c r="J52" s="165"/>
      <c r="K52" s="364" t="str">
        <f t="shared" si="1"/>
        <v/>
      </c>
      <c r="L52" s="366"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167"/>
      <c r="N52" s="168"/>
    </row>
    <row r="53" spans="1:22" ht="21.95" customHeight="1" x14ac:dyDescent="0.35">
      <c r="A53" s="363" t="s">
        <v>124</v>
      </c>
      <c r="B53" s="181"/>
      <c r="C53" s="182"/>
      <c r="D53" s="183"/>
      <c r="E53" s="184"/>
      <c r="F53" s="190"/>
      <c r="G53" s="364" t="str">
        <f>IF(OR(E53="",F53=""),"",PID_KVLohnLookup($A$1,E53,F53,LOHNTABELLE!$H$4))</f>
        <v/>
      </c>
      <c r="H53" s="365" t="str">
        <f>IF(AND(ISNUMBER(D53),ISNUMBER(F53)),ROUNDDOWN(MIN(IF(OR(ISBLANK(I53),I53=""),EOMONTH(DATE(EINSTELLUNG!$C$35,$A$1,1),0),I53)-MAX(D53,DATE(EINSTELLUNG!$C$35,$A$1,1))+1)/DAY(EOMONTH(DATE(EINSTELLUNG!$C$35,$A$1,1),0))*F53,2),"")</f>
        <v/>
      </c>
      <c r="I53" s="186"/>
      <c r="J53" s="187"/>
      <c r="K53" s="364" t="str">
        <f t="shared" si="1"/>
        <v/>
      </c>
      <c r="L53" s="366"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188"/>
      <c r="N53" s="189"/>
    </row>
    <row r="54" spans="1:22" ht="21.95" customHeight="1" x14ac:dyDescent="0.35">
      <c r="A54" s="363" t="s">
        <v>125</v>
      </c>
      <c r="B54" s="152"/>
      <c r="C54" s="153"/>
      <c r="D54" s="154"/>
      <c r="E54" s="155"/>
      <c r="F54" s="156"/>
      <c r="G54" s="364" t="str">
        <f>IF(OR(E54="",F54=""),"",PID_KVLohnLookup($A$1,E54,F54,LOHNTABELLE!$H$4))</f>
        <v/>
      </c>
      <c r="H54" s="365" t="str">
        <f>IF(AND(ISNUMBER(D54),ISNUMBER(F54)),ROUNDDOWN(MIN(IF(OR(ISBLANK(I54),I54=""),EOMONTH(DATE(EINSTELLUNG!$C$35,$A$1,1),0),I54)-MAX(D54,DATE(EINSTELLUNG!$C$35,$A$1,1))+1)/DAY(EOMONTH(DATE(EINSTELLUNG!$C$35,$A$1,1),0))*F54,2),"")</f>
        <v/>
      </c>
      <c r="I54" s="158"/>
      <c r="J54" s="165"/>
      <c r="K54" s="364" t="str">
        <f t="shared" si="1"/>
        <v/>
      </c>
      <c r="L54" s="366"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167"/>
      <c r="N54" s="168"/>
    </row>
    <row r="55" spans="1:22" ht="21.95" customHeight="1" x14ac:dyDescent="0.35">
      <c r="A55" s="363" t="s">
        <v>126</v>
      </c>
      <c r="B55" s="181"/>
      <c r="C55" s="182"/>
      <c r="D55" s="186"/>
      <c r="E55" s="184"/>
      <c r="F55" s="190"/>
      <c r="G55" s="364" t="str">
        <f>IF(OR(E55="",F55=""),"",PID_KVLohnLookup($A$1,E55,F55,LOHNTABELLE!$H$4))</f>
        <v/>
      </c>
      <c r="H55" s="365" t="str">
        <f>IF(AND(ISNUMBER(D55),ISNUMBER(F55)),ROUNDDOWN(MIN(IF(OR(ISBLANK(I55),I55=""),EOMONTH(DATE(EINSTELLUNG!$C$35,$A$1,1),0),I55)-MAX(D55,DATE(EINSTELLUNG!$C$35,$A$1,1))+1)/DAY(EOMONTH(DATE(EINSTELLUNG!$C$35,$A$1,1),0))*F55,2),"")</f>
        <v/>
      </c>
      <c r="I55" s="186"/>
      <c r="J55" s="187"/>
      <c r="K55" s="364" t="str">
        <f t="shared" si="1"/>
        <v/>
      </c>
      <c r="L55" s="366"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188"/>
      <c r="N55" s="189"/>
    </row>
    <row r="56" spans="1:22" ht="21.95" customHeight="1" x14ac:dyDescent="0.35">
      <c r="A56" s="363" t="s">
        <v>127</v>
      </c>
      <c r="B56" s="152"/>
      <c r="C56" s="153"/>
      <c r="D56" s="154"/>
      <c r="E56" s="155"/>
      <c r="F56" s="156"/>
      <c r="G56" s="364" t="str">
        <f>IF(OR(E56="",F56=""),"",PID_KVLohnLookup($A$1,E56,F56,LOHNTABELLE!$H$4))</f>
        <v/>
      </c>
      <c r="H56" s="365" t="str">
        <f>IF(AND(ISNUMBER(D56),ISNUMBER(F56)),ROUNDDOWN(MIN(IF(OR(ISBLANK(I56),I56=""),EOMONTH(DATE(EINSTELLUNG!$C$35,$A$1,1),0),I56)-MAX(D56,DATE(EINSTELLUNG!$C$35,$A$1,1))+1)/DAY(EOMONTH(DATE(EINSTELLUNG!$C$35,$A$1,1),0))*F56,2),"")</f>
        <v/>
      </c>
      <c r="I56" s="158"/>
      <c r="J56" s="165"/>
      <c r="K56" s="364" t="str">
        <f t="shared" si="1"/>
        <v/>
      </c>
      <c r="L56" s="366"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167"/>
      <c r="N56" s="168"/>
    </row>
    <row r="57" spans="1:22" ht="21.95" customHeight="1" x14ac:dyDescent="0.35">
      <c r="A57" s="363" t="s">
        <v>128</v>
      </c>
      <c r="B57" s="181"/>
      <c r="C57" s="182"/>
      <c r="D57" s="186"/>
      <c r="E57" s="184"/>
      <c r="F57" s="190"/>
      <c r="G57" s="364" t="str">
        <f>IF(OR(E57="",F57=""),"",PID_KVLohnLookup($A$1,E57,F57,LOHNTABELLE!$H$4))</f>
        <v/>
      </c>
      <c r="H57" s="365" t="str">
        <f>IF(AND(ISNUMBER(D57),ISNUMBER(F57)),ROUNDDOWN(MIN(IF(OR(ISBLANK(I57),I57=""),EOMONTH(DATE(EINSTELLUNG!$C$35,$A$1,1),0),I57)-MAX(D57,DATE(EINSTELLUNG!$C$35,$A$1,1))+1)/DAY(EOMONTH(DATE(EINSTELLUNG!$C$35,$A$1,1),0))*F57,2),"")</f>
        <v/>
      </c>
      <c r="I57" s="186"/>
      <c r="J57" s="187"/>
      <c r="K57" s="364" t="str">
        <f t="shared" si="1"/>
        <v/>
      </c>
      <c r="L57" s="366"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188"/>
      <c r="N57" s="189"/>
    </row>
    <row r="58" spans="1:22" ht="21.95" customHeight="1" x14ac:dyDescent="0.35">
      <c r="A58" s="363" t="s">
        <v>129</v>
      </c>
      <c r="B58" s="152"/>
      <c r="C58" s="153"/>
      <c r="D58" s="158"/>
      <c r="E58" s="155"/>
      <c r="F58" s="156"/>
      <c r="G58" s="364" t="str">
        <f>IF(OR(E58="",F58=""),"",PID_KVLohnLookup($A$1,E58,F58,LOHNTABELLE!$H$4))</f>
        <v/>
      </c>
      <c r="H58" s="365" t="str">
        <f>IF(AND(ISNUMBER(D58),ISNUMBER(F58)),ROUNDDOWN(MIN(IF(OR(ISBLANK(I58),I58=""),EOMONTH(DATE(EINSTELLUNG!$C$35,$A$1,1),0),I58)-MAX(D58,DATE(EINSTELLUNG!$C$35,$A$1,1))+1)/DAY(EOMONTH(DATE(EINSTELLUNG!$C$35,$A$1,1),0))*F58,2),"")</f>
        <v/>
      </c>
      <c r="I58" s="158"/>
      <c r="J58" s="165"/>
      <c r="K58" s="364" t="str">
        <f t="shared" si="1"/>
        <v/>
      </c>
      <c r="L58" s="366"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167"/>
      <c r="N58" s="168"/>
    </row>
    <row r="59" spans="1:22" ht="21.95" customHeight="1" x14ac:dyDescent="0.35">
      <c r="A59" s="363" t="s">
        <v>130</v>
      </c>
      <c r="B59" s="181"/>
      <c r="C59" s="182"/>
      <c r="D59" s="186"/>
      <c r="E59" s="184"/>
      <c r="F59" s="190"/>
      <c r="G59" s="364" t="str">
        <f>IF(OR(E59="",F59=""),"",PID_KVLohnLookup($A$1,E59,F59,LOHNTABELLE!$H$4))</f>
        <v/>
      </c>
      <c r="H59" s="365" t="str">
        <f>IF(AND(ISNUMBER(D59),ISNUMBER(F59)),ROUNDDOWN(MIN(IF(OR(ISBLANK(I59),I59=""),EOMONTH(DATE(EINSTELLUNG!$C$35,$A$1,1),0),I59)-MAX(D59,DATE(EINSTELLUNG!$C$35,$A$1,1))+1)/DAY(EOMONTH(DATE(EINSTELLUNG!$C$35,$A$1,1),0))*F59,2),"")</f>
        <v/>
      </c>
      <c r="I59" s="186"/>
      <c r="J59" s="187"/>
      <c r="K59" s="364" t="str">
        <f t="shared" si="1"/>
        <v/>
      </c>
      <c r="L59" s="366"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188"/>
      <c r="N59" s="189"/>
    </row>
    <row r="60" spans="1:22" ht="21.95" customHeight="1" x14ac:dyDescent="0.35">
      <c r="A60" s="363" t="s">
        <v>131</v>
      </c>
      <c r="B60" s="152"/>
      <c r="C60" s="153"/>
      <c r="D60" s="154"/>
      <c r="E60" s="155"/>
      <c r="F60" s="156"/>
      <c r="G60" s="364" t="str">
        <f>IF(OR(E60="",F60=""),"",PID_KVLohnLookup($A$1,E60,F60,LOHNTABELLE!$H$4))</f>
        <v/>
      </c>
      <c r="H60" s="365" t="str">
        <f>IF(AND(ISNUMBER(D60),ISNUMBER(F60)),ROUNDDOWN(MIN(IF(OR(ISBLANK(I60),I60=""),EOMONTH(DATE(EINSTELLUNG!$C$35,$A$1,1),0),I60)-MAX(D60,DATE(EINSTELLUNG!$C$35,$A$1,1))+1)/DAY(EOMONTH(DATE(EINSTELLUNG!$C$35,$A$1,1),0))*F60,2),"")</f>
        <v/>
      </c>
      <c r="I60" s="158"/>
      <c r="J60" s="165"/>
      <c r="K60" s="364" t="str">
        <f t="shared" si="1"/>
        <v/>
      </c>
      <c r="L60" s="366"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167"/>
      <c r="N60" s="168"/>
    </row>
    <row r="61" spans="1:22" ht="21.95" customHeight="1" x14ac:dyDescent="0.35">
      <c r="A61" s="363" t="s">
        <v>132</v>
      </c>
      <c r="B61" s="181"/>
      <c r="C61" s="182"/>
      <c r="D61" s="186"/>
      <c r="E61" s="184"/>
      <c r="F61" s="190"/>
      <c r="G61" s="364" t="str">
        <f>IF(OR(E61="",F61=""),"",PID_KVLohnLookup($A$1,E61,F61,LOHNTABELLE!$H$4))</f>
        <v/>
      </c>
      <c r="H61" s="365" t="str">
        <f>IF(AND(ISNUMBER(D61),ISNUMBER(F61)),ROUNDDOWN(MIN(IF(OR(ISBLANK(I61),I61=""),EOMONTH(DATE(EINSTELLUNG!$C$35,$A$1,1),0),I61)-MAX(D61,DATE(EINSTELLUNG!$C$35,$A$1,1))+1)/DAY(EOMONTH(DATE(EINSTELLUNG!$C$35,$A$1,1),0))*F61,2),"")</f>
        <v/>
      </c>
      <c r="I61" s="186"/>
      <c r="J61" s="187"/>
      <c r="K61" s="364" t="str">
        <f t="shared" si="1"/>
        <v/>
      </c>
      <c r="L61" s="366"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88"/>
      <c r="N61" s="189"/>
    </row>
    <row r="62" spans="1:22" ht="21.95" customHeight="1" x14ac:dyDescent="0.35">
      <c r="A62" s="363" t="s">
        <v>133</v>
      </c>
      <c r="B62" s="152"/>
      <c r="C62" s="153"/>
      <c r="D62" s="158"/>
      <c r="E62" s="155"/>
      <c r="F62" s="156"/>
      <c r="G62" s="364" t="str">
        <f>IF(OR(E62="",F62=""),"",PID_KVLohnLookup($A$1,E62,F62,LOHNTABELLE!$H$4))</f>
        <v/>
      </c>
      <c r="H62" s="365" t="str">
        <f>IF(AND(ISNUMBER(D62),ISNUMBER(F62)),ROUNDDOWN(MIN(IF(OR(ISBLANK(I62),I62=""),EOMONTH(DATE(EINSTELLUNG!$C$35,$A$1,1),0),I62)-MAX(D62,DATE(EINSTELLUNG!$C$35,$A$1,1))+1)/DAY(EOMONTH(DATE(EINSTELLUNG!$C$35,$A$1,1),0))*F62,2),"")</f>
        <v/>
      </c>
      <c r="I62" s="158"/>
      <c r="J62" s="165"/>
      <c r="K62" s="364" t="str">
        <f t="shared" si="1"/>
        <v/>
      </c>
      <c r="L62" s="366"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167"/>
      <c r="N62" s="168"/>
    </row>
    <row r="63" spans="1:22" ht="21.95" customHeight="1" x14ac:dyDescent="0.35">
      <c r="A63" s="363" t="s">
        <v>134</v>
      </c>
      <c r="B63" s="181"/>
      <c r="C63" s="182"/>
      <c r="D63" s="186"/>
      <c r="E63" s="184"/>
      <c r="F63" s="185"/>
      <c r="G63" s="364" t="str">
        <f>IF(OR(E63="",F63=""),"",PID_KVLohnLookup($A$1,E63,F63,LOHNTABELLE!$H$4))</f>
        <v/>
      </c>
      <c r="H63" s="365" t="str">
        <f>IF(AND(ISNUMBER(D63),ISNUMBER(F63)),ROUNDDOWN(MIN(IF(OR(ISBLANK(I63),I63=""),EOMONTH(DATE(EINSTELLUNG!$C$35,$A$1,1),0),I63)-MAX(D63,DATE(EINSTELLUNG!$C$35,$A$1,1))+1)/DAY(EOMONTH(DATE(EINSTELLUNG!$C$35,$A$1,1),0))*F63,2),"")</f>
        <v/>
      </c>
      <c r="I63" s="186"/>
      <c r="J63" s="187"/>
      <c r="K63" s="364" t="str">
        <f t="shared" si="1"/>
        <v/>
      </c>
      <c r="L63" s="366"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88"/>
      <c r="N63" s="189"/>
    </row>
    <row r="64" spans="1:22" ht="21.95" customHeight="1" x14ac:dyDescent="0.35">
      <c r="A64" s="363" t="s">
        <v>135</v>
      </c>
      <c r="B64" s="152"/>
      <c r="C64" s="159"/>
      <c r="D64" s="158"/>
      <c r="E64" s="155"/>
      <c r="F64" s="156"/>
      <c r="G64" s="364" t="str">
        <f>IF(OR(E64="",F64=""),"",PID_KVLohnLookup($A$1,E64,F64,LOHNTABELLE!$H$4))</f>
        <v/>
      </c>
      <c r="H64" s="365" t="str">
        <f>IF(AND(ISNUMBER(D64),ISNUMBER(F64)),ROUNDDOWN(MIN(IF(OR(ISBLANK(I64),I64=""),EOMONTH(DATE(EINSTELLUNG!$C$35,$A$1,1),0),I64)-MAX(D64,DATE(EINSTELLUNG!$C$35,$A$1,1))+1)/DAY(EOMONTH(DATE(EINSTELLUNG!$C$35,$A$1,1),0))*F64,2),"")</f>
        <v/>
      </c>
      <c r="I64" s="158"/>
      <c r="J64" s="165"/>
      <c r="K64" s="364" t="str">
        <f t="shared" si="1"/>
        <v/>
      </c>
      <c r="L64" s="366"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167"/>
      <c r="N64" s="168"/>
    </row>
    <row r="65" spans="1:14" ht="21.95" customHeight="1" x14ac:dyDescent="0.35">
      <c r="A65" s="363" t="s">
        <v>136</v>
      </c>
      <c r="B65" s="181"/>
      <c r="C65" s="182"/>
      <c r="D65" s="186"/>
      <c r="E65" s="184"/>
      <c r="F65" s="190"/>
      <c r="G65" s="364" t="str">
        <f>IF(OR(E65="",F65=""),"",PID_KVLohnLookup($A$1,E65,F65,LOHNTABELLE!$H$4))</f>
        <v/>
      </c>
      <c r="H65" s="365" t="str">
        <f>IF(AND(ISNUMBER(D65),ISNUMBER(F65)),ROUNDDOWN(MIN(IF(OR(ISBLANK(I65),I65=""),EOMONTH(DATE(EINSTELLUNG!$C$35,$A$1,1),0),I65)-MAX(D65,DATE(EINSTELLUNG!$C$35,$A$1,1))+1)/DAY(EOMONTH(DATE(EINSTELLUNG!$C$35,$A$1,1),0))*F65,2),"")</f>
        <v/>
      </c>
      <c r="I65" s="186"/>
      <c r="J65" s="187"/>
      <c r="K65" s="364" t="str">
        <f t="shared" si="1"/>
        <v/>
      </c>
      <c r="L65" s="366"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88"/>
      <c r="N65" s="189"/>
    </row>
    <row r="66" spans="1:14" ht="21.95" customHeight="1" x14ac:dyDescent="0.35">
      <c r="A66" s="363" t="s">
        <v>137</v>
      </c>
      <c r="B66" s="152"/>
      <c r="C66" s="153"/>
      <c r="D66" s="158"/>
      <c r="E66" s="155"/>
      <c r="F66" s="156"/>
      <c r="G66" s="364" t="str">
        <f>IF(OR(E66="",F66=""),"",PID_KVLohnLookup($A$1,E66,F66,LOHNTABELLE!$H$4))</f>
        <v/>
      </c>
      <c r="H66" s="365" t="str">
        <f>IF(AND(ISNUMBER(D66),ISNUMBER(F66)),ROUNDDOWN(MIN(IF(OR(ISBLANK(I66),I66=""),EOMONTH(DATE(EINSTELLUNG!$C$35,$A$1,1),0),I66)-MAX(D66,DATE(EINSTELLUNG!$C$35,$A$1,1))+1)/DAY(EOMONTH(DATE(EINSTELLUNG!$C$35,$A$1,1),0))*F66,2),"")</f>
        <v/>
      </c>
      <c r="I66" s="158"/>
      <c r="J66" s="165"/>
      <c r="K66" s="364" t="str">
        <f t="shared" si="1"/>
        <v/>
      </c>
      <c r="L66" s="366"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167"/>
      <c r="N66" s="168"/>
    </row>
    <row r="67" spans="1:14" ht="21.95" customHeight="1" x14ac:dyDescent="0.35">
      <c r="A67" s="363" t="s">
        <v>138</v>
      </c>
      <c r="B67" s="181"/>
      <c r="C67" s="182"/>
      <c r="D67" s="186"/>
      <c r="E67" s="184"/>
      <c r="F67" s="190"/>
      <c r="G67" s="364" t="str">
        <f>IF(OR(E67="",F67=""),"",PID_KVLohnLookup($A$1,E67,F67,LOHNTABELLE!$H$4))</f>
        <v/>
      </c>
      <c r="H67" s="365" t="str">
        <f>IF(AND(ISNUMBER(D67),ISNUMBER(F67)),ROUNDDOWN(MIN(IF(OR(ISBLANK(I67),I67=""),EOMONTH(DATE(EINSTELLUNG!$C$35,$A$1,1),0),I67)-MAX(D67,DATE(EINSTELLUNG!$C$35,$A$1,1))+1)/DAY(EOMONTH(DATE(EINSTELLUNG!$C$35,$A$1,1),0))*F67,2),"")</f>
        <v/>
      </c>
      <c r="I67" s="186"/>
      <c r="J67" s="187"/>
      <c r="K67" s="364" t="str">
        <f t="shared" ref="K67:K98" si="3">IF(OR(B67="",C67=""),"",IFERROR(IF(OR(MONTH(D67)=1,MONTH(D67)=3,MONTH(D67)=5,MONTH(D67)=7,MONTH(D67)=8,MONTH(D67)=10,MONTH(D67)=12),(G67/31)*J67,IF(OR(MONTH(D67)=4,MONTH(D67)=6,MONTH(D67)=9,MONTH(D67)=11),(G67/30)*J67,(G67/DAY(EOMONTH(D67,0)))*J67)),0))</f>
        <v/>
      </c>
      <c r="L67" s="366"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88"/>
      <c r="N67" s="189"/>
    </row>
    <row r="68" spans="1:14" ht="21.95" customHeight="1" x14ac:dyDescent="0.35">
      <c r="A68" s="363" t="s">
        <v>139</v>
      </c>
      <c r="B68" s="152"/>
      <c r="C68" s="153"/>
      <c r="D68" s="158"/>
      <c r="E68" s="155"/>
      <c r="F68" s="156"/>
      <c r="G68" s="364" t="str">
        <f>IF(OR(E68="",F68=""),"",PID_KVLohnLookup($A$1,E68,F68,LOHNTABELLE!$H$4))</f>
        <v/>
      </c>
      <c r="H68" s="365" t="str">
        <f>IF(AND(ISNUMBER(D68),ISNUMBER(F68)),ROUNDDOWN(MIN(IF(OR(ISBLANK(I68),I68=""),EOMONTH(DATE(EINSTELLUNG!$C$35,$A$1,1),0),I68)-MAX(D68,DATE(EINSTELLUNG!$C$35,$A$1,1))+1)/DAY(EOMONTH(DATE(EINSTELLUNG!$C$35,$A$1,1),0))*F68,2),"")</f>
        <v/>
      </c>
      <c r="I68" s="158"/>
      <c r="J68" s="165"/>
      <c r="K68" s="364" t="str">
        <f t="shared" si="3"/>
        <v/>
      </c>
      <c r="L68" s="366"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167"/>
      <c r="N68" s="168"/>
    </row>
    <row r="69" spans="1:14" ht="21.95" customHeight="1" x14ac:dyDescent="0.35">
      <c r="A69" s="363" t="s">
        <v>140</v>
      </c>
      <c r="B69" s="181"/>
      <c r="C69" s="182"/>
      <c r="D69" s="186"/>
      <c r="E69" s="184"/>
      <c r="F69" s="190"/>
      <c r="G69" s="364" t="str">
        <f>IF(OR(E69="",F69=""),"",PID_KVLohnLookup($A$1,E69,F69,LOHNTABELLE!$H$4))</f>
        <v/>
      </c>
      <c r="H69" s="365" t="str">
        <f>IF(AND(ISNUMBER(D69),ISNUMBER(F69)),ROUNDDOWN(MIN(IF(OR(ISBLANK(I69),I69=""),EOMONTH(DATE(EINSTELLUNG!$C$35,$A$1,1),0),I69)-MAX(D69,DATE(EINSTELLUNG!$C$35,$A$1,1))+1)/DAY(EOMONTH(DATE(EINSTELLUNG!$C$35,$A$1,1),0))*F69,2),"")</f>
        <v/>
      </c>
      <c r="I69" s="186"/>
      <c r="J69" s="187"/>
      <c r="K69" s="364" t="str">
        <f t="shared" si="3"/>
        <v/>
      </c>
      <c r="L69" s="366"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88"/>
      <c r="N69" s="189"/>
    </row>
    <row r="70" spans="1:14" ht="21.95" customHeight="1" x14ac:dyDescent="0.35">
      <c r="A70" s="363" t="s">
        <v>141</v>
      </c>
      <c r="B70" s="152"/>
      <c r="C70" s="153"/>
      <c r="D70" s="158"/>
      <c r="E70" s="155"/>
      <c r="F70" s="156"/>
      <c r="G70" s="364" t="str">
        <f>IF(OR(E70="",F70=""),"",PID_KVLohnLookup($A$1,E70,F70,LOHNTABELLE!$H$4))</f>
        <v/>
      </c>
      <c r="H70" s="365" t="str">
        <f>IF(AND(ISNUMBER(D70),ISNUMBER(F70)),ROUNDDOWN(MIN(IF(OR(ISBLANK(I70),I70=""),EOMONTH(DATE(EINSTELLUNG!$C$35,$A$1,1),0),I70)-MAX(D70,DATE(EINSTELLUNG!$C$35,$A$1,1))+1)/DAY(EOMONTH(DATE(EINSTELLUNG!$C$35,$A$1,1),0))*F70,2),"")</f>
        <v/>
      </c>
      <c r="I70" s="158"/>
      <c r="J70" s="165"/>
      <c r="K70" s="364" t="str">
        <f t="shared" si="3"/>
        <v/>
      </c>
      <c r="L70" s="366"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167"/>
      <c r="N70" s="168"/>
    </row>
    <row r="71" spans="1:14" ht="21.95" customHeight="1" x14ac:dyDescent="0.35">
      <c r="A71" s="363" t="s">
        <v>142</v>
      </c>
      <c r="B71" s="181"/>
      <c r="C71" s="182"/>
      <c r="D71" s="186"/>
      <c r="E71" s="184"/>
      <c r="F71" s="190"/>
      <c r="G71" s="364" t="str">
        <f>IF(OR(E71="",F71=""),"",PID_KVLohnLookup($A$1,E71,F71,LOHNTABELLE!$H$4))</f>
        <v/>
      </c>
      <c r="H71" s="365" t="str">
        <f>IF(AND(ISNUMBER(D71),ISNUMBER(F71)),ROUNDDOWN(MIN(IF(OR(ISBLANK(I71),I71=""),EOMONTH(DATE(EINSTELLUNG!$C$35,$A$1,1),0),I71)-MAX(D71,DATE(EINSTELLUNG!$C$35,$A$1,1))+1)/DAY(EOMONTH(DATE(EINSTELLUNG!$C$35,$A$1,1),0))*F71,2),"")</f>
        <v/>
      </c>
      <c r="I71" s="186"/>
      <c r="J71" s="187"/>
      <c r="K71" s="364" t="str">
        <f t="shared" si="3"/>
        <v/>
      </c>
      <c r="L71" s="366"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88"/>
      <c r="N71" s="189"/>
    </row>
    <row r="72" spans="1:14" ht="21.95" customHeight="1" x14ac:dyDescent="0.35">
      <c r="A72" s="363" t="s">
        <v>143</v>
      </c>
      <c r="B72" s="152"/>
      <c r="C72" s="153"/>
      <c r="D72" s="158"/>
      <c r="E72" s="155"/>
      <c r="F72" s="156"/>
      <c r="G72" s="364" t="str">
        <f>IF(OR(E72="",F72=""),"",PID_KVLohnLookup($A$1,E72,F72,LOHNTABELLE!$H$4))</f>
        <v/>
      </c>
      <c r="H72" s="365" t="str">
        <f>IF(AND(ISNUMBER(D72),ISNUMBER(F72)),ROUNDDOWN(MIN(IF(OR(ISBLANK(I72),I72=""),EOMONTH(DATE(EINSTELLUNG!$C$35,$A$1,1),0),I72)-MAX(D72,DATE(EINSTELLUNG!$C$35,$A$1,1))+1)/DAY(EOMONTH(DATE(EINSTELLUNG!$C$35,$A$1,1),0))*F72,2),"")</f>
        <v/>
      </c>
      <c r="I72" s="158"/>
      <c r="J72" s="165"/>
      <c r="K72" s="364" t="str">
        <f t="shared" si="3"/>
        <v/>
      </c>
      <c r="L72" s="366"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167"/>
      <c r="N72" s="168"/>
    </row>
    <row r="73" spans="1:14" ht="21.95" customHeight="1" x14ac:dyDescent="0.35">
      <c r="A73" s="363" t="s">
        <v>144</v>
      </c>
      <c r="B73" s="181"/>
      <c r="C73" s="182"/>
      <c r="D73" s="186"/>
      <c r="E73" s="184"/>
      <c r="F73" s="190"/>
      <c r="G73" s="364" t="str">
        <f>IF(OR(E73="",F73=""),"",PID_KVLohnLookup($A$1,E73,F73,LOHNTABELLE!$H$4))</f>
        <v/>
      </c>
      <c r="H73" s="365" t="str">
        <f>IF(AND(ISNUMBER(D73),ISNUMBER(F73)),ROUNDDOWN(MIN(IF(OR(ISBLANK(I73),I73=""),EOMONTH(DATE(EINSTELLUNG!$C$35,$A$1,1),0),I73)-MAX(D73,DATE(EINSTELLUNG!$C$35,$A$1,1))+1)/DAY(EOMONTH(DATE(EINSTELLUNG!$C$35,$A$1,1),0))*F73,2),"")</f>
        <v/>
      </c>
      <c r="I73" s="186"/>
      <c r="J73" s="187"/>
      <c r="K73" s="364" t="str">
        <f t="shared" si="3"/>
        <v/>
      </c>
      <c r="L73" s="366"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88"/>
      <c r="N73" s="189"/>
    </row>
    <row r="74" spans="1:14" ht="21.95" customHeight="1" x14ac:dyDescent="0.35">
      <c r="A74" s="363" t="s">
        <v>145</v>
      </c>
      <c r="B74" s="152"/>
      <c r="C74" s="153"/>
      <c r="D74" s="158"/>
      <c r="E74" s="155"/>
      <c r="F74" s="156"/>
      <c r="G74" s="364" t="str">
        <f>IF(OR(E74="",F74=""),"",PID_KVLohnLookup($A$1,E74,F74,LOHNTABELLE!$H$4))</f>
        <v/>
      </c>
      <c r="H74" s="365" t="str">
        <f>IF(AND(ISNUMBER(D74),ISNUMBER(F74)),ROUNDDOWN(MIN(IF(OR(ISBLANK(I74),I74=""),EOMONTH(DATE(EINSTELLUNG!$C$35,$A$1,1),0),I74)-MAX(D74,DATE(EINSTELLUNG!$C$35,$A$1,1))+1)/DAY(EOMONTH(DATE(EINSTELLUNG!$C$35,$A$1,1),0))*F74,2),"")</f>
        <v/>
      </c>
      <c r="I74" s="158"/>
      <c r="J74" s="165"/>
      <c r="K74" s="364" t="str">
        <f t="shared" si="3"/>
        <v/>
      </c>
      <c r="L74" s="366"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167"/>
      <c r="N74" s="168"/>
    </row>
    <row r="75" spans="1:14" ht="21.95" customHeight="1" x14ac:dyDescent="0.35">
      <c r="A75" s="363" t="s">
        <v>146</v>
      </c>
      <c r="B75" s="181"/>
      <c r="C75" s="182"/>
      <c r="D75" s="186"/>
      <c r="E75" s="184"/>
      <c r="F75" s="190"/>
      <c r="G75" s="364" t="str">
        <f>IF(OR(E75="",F75=""),"",PID_KVLohnLookup($A$1,E75,F75,LOHNTABELLE!$H$4))</f>
        <v/>
      </c>
      <c r="H75" s="365" t="str">
        <f>IF(AND(ISNUMBER(D75),ISNUMBER(F75)),ROUNDDOWN(MIN(IF(OR(ISBLANK(I75),I75=""),EOMONTH(DATE(EINSTELLUNG!$C$35,$A$1,1),0),I75)-MAX(D75,DATE(EINSTELLUNG!$C$35,$A$1,1))+1)/DAY(EOMONTH(DATE(EINSTELLUNG!$C$35,$A$1,1),0))*F75,2),"")</f>
        <v/>
      </c>
      <c r="I75" s="186"/>
      <c r="J75" s="187"/>
      <c r="K75" s="364" t="str">
        <f t="shared" si="3"/>
        <v/>
      </c>
      <c r="L75" s="366"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88"/>
      <c r="N75" s="189"/>
    </row>
    <row r="76" spans="1:14" ht="21.95" customHeight="1" x14ac:dyDescent="0.35">
      <c r="A76" s="363" t="s">
        <v>147</v>
      </c>
      <c r="B76" s="152"/>
      <c r="C76" s="153"/>
      <c r="D76" s="158"/>
      <c r="E76" s="155"/>
      <c r="F76" s="156"/>
      <c r="G76" s="364" t="str">
        <f>IF(OR(E76="",F76=""),"",PID_KVLohnLookup($A$1,E76,F76,LOHNTABELLE!$H$4))</f>
        <v/>
      </c>
      <c r="H76" s="365" t="str">
        <f>IF(AND(ISNUMBER(D76),ISNUMBER(F76)),ROUNDDOWN(MIN(IF(OR(ISBLANK(I76),I76=""),EOMONTH(DATE(EINSTELLUNG!$C$35,$A$1,1),0),I76)-MAX(D76,DATE(EINSTELLUNG!$C$35,$A$1,1))+1)/DAY(EOMONTH(DATE(EINSTELLUNG!$C$35,$A$1,1),0))*F76,2),"")</f>
        <v/>
      </c>
      <c r="I76" s="158"/>
      <c r="J76" s="165"/>
      <c r="K76" s="364" t="str">
        <f t="shared" si="3"/>
        <v/>
      </c>
      <c r="L76" s="366"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167"/>
      <c r="N76" s="168"/>
    </row>
    <row r="77" spans="1:14" ht="21.95" customHeight="1" x14ac:dyDescent="0.35">
      <c r="A77" s="363" t="s">
        <v>148</v>
      </c>
      <c r="B77" s="181"/>
      <c r="C77" s="182"/>
      <c r="D77" s="186"/>
      <c r="E77" s="184"/>
      <c r="F77" s="190"/>
      <c r="G77" s="364" t="str">
        <f>IF(OR(E77="",F77=""),"",PID_KVLohnLookup($A$1,E77,F77,LOHNTABELLE!$H$4))</f>
        <v/>
      </c>
      <c r="H77" s="365" t="str">
        <f>IF(AND(ISNUMBER(D77),ISNUMBER(F77)),ROUNDDOWN(MIN(IF(OR(ISBLANK(I77),I77=""),EOMONTH(DATE(EINSTELLUNG!$C$35,$A$1,1),0),I77)-MAX(D77,DATE(EINSTELLUNG!$C$35,$A$1,1))+1)/DAY(EOMONTH(DATE(EINSTELLUNG!$C$35,$A$1,1),0))*F77,2),"")</f>
        <v/>
      </c>
      <c r="I77" s="186"/>
      <c r="J77" s="187"/>
      <c r="K77" s="364" t="str">
        <f t="shared" si="3"/>
        <v/>
      </c>
      <c r="L77" s="366"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88"/>
      <c r="N77" s="189"/>
    </row>
    <row r="78" spans="1:14" ht="21.95" customHeight="1" x14ac:dyDescent="0.35">
      <c r="A78" s="363" t="s">
        <v>149</v>
      </c>
      <c r="B78" s="152"/>
      <c r="C78" s="153"/>
      <c r="D78" s="158"/>
      <c r="E78" s="155"/>
      <c r="F78" s="156"/>
      <c r="G78" s="364" t="str">
        <f>IF(OR(E78="",F78=""),"",PID_KVLohnLookup($A$1,E78,F78,LOHNTABELLE!$H$4))</f>
        <v/>
      </c>
      <c r="H78" s="365" t="str">
        <f>IF(AND(ISNUMBER(D78),ISNUMBER(F78)),ROUNDDOWN(MIN(IF(OR(ISBLANK(I78),I78=""),EOMONTH(DATE(EINSTELLUNG!$C$35,$A$1,1),0),I78)-MAX(D78,DATE(EINSTELLUNG!$C$35,$A$1,1))+1)/DAY(EOMONTH(DATE(EINSTELLUNG!$C$35,$A$1,1),0))*F78,2),"")</f>
        <v/>
      </c>
      <c r="I78" s="158"/>
      <c r="J78" s="165"/>
      <c r="K78" s="364" t="str">
        <f t="shared" si="3"/>
        <v/>
      </c>
      <c r="L78" s="366"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167"/>
      <c r="N78" s="168"/>
    </row>
    <row r="79" spans="1:14" ht="21.95" customHeight="1" x14ac:dyDescent="0.35">
      <c r="A79" s="363" t="s">
        <v>150</v>
      </c>
      <c r="B79" s="181"/>
      <c r="C79" s="182"/>
      <c r="D79" s="186"/>
      <c r="E79" s="184"/>
      <c r="F79" s="190"/>
      <c r="G79" s="364" t="str">
        <f>IF(OR(E79="",F79=""),"",PID_KVLohnLookup($A$1,E79,F79,LOHNTABELLE!$H$4))</f>
        <v/>
      </c>
      <c r="H79" s="365" t="str">
        <f>IF(AND(ISNUMBER(D79),ISNUMBER(F79)),ROUNDDOWN(MIN(IF(OR(ISBLANK(I79),I79=""),EOMONTH(DATE(EINSTELLUNG!$C$35,$A$1,1),0),I79)-MAX(D79,DATE(EINSTELLUNG!$C$35,$A$1,1))+1)/DAY(EOMONTH(DATE(EINSTELLUNG!$C$35,$A$1,1),0))*F79,2),"")</f>
        <v/>
      </c>
      <c r="I79" s="186"/>
      <c r="J79" s="187"/>
      <c r="K79" s="364" t="str">
        <f t="shared" si="3"/>
        <v/>
      </c>
      <c r="L79" s="366"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88"/>
      <c r="N79" s="189"/>
    </row>
    <row r="80" spans="1:14" ht="21.95" customHeight="1" x14ac:dyDescent="0.35">
      <c r="A80" s="363" t="s">
        <v>151</v>
      </c>
      <c r="B80" s="152"/>
      <c r="C80" s="153"/>
      <c r="D80" s="158"/>
      <c r="E80" s="155"/>
      <c r="F80" s="156"/>
      <c r="G80" s="364" t="str">
        <f>IF(OR(E80="",F80=""),"",PID_KVLohnLookup($A$1,E80,F80,LOHNTABELLE!$H$4))</f>
        <v/>
      </c>
      <c r="H80" s="365" t="str">
        <f>IF(AND(ISNUMBER(D80),ISNUMBER(F80)),ROUNDDOWN(MIN(IF(OR(ISBLANK(I80),I80=""),EOMONTH(DATE(EINSTELLUNG!$C$35,$A$1,1),0),I80)-MAX(D80,DATE(EINSTELLUNG!$C$35,$A$1,1))+1)/DAY(EOMONTH(DATE(EINSTELLUNG!$C$35,$A$1,1),0))*F80,2),"")</f>
        <v/>
      </c>
      <c r="I80" s="158"/>
      <c r="J80" s="165"/>
      <c r="K80" s="364" t="str">
        <f t="shared" si="3"/>
        <v/>
      </c>
      <c r="L80" s="366"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167"/>
      <c r="N80" s="168"/>
    </row>
    <row r="81" spans="1:14" ht="21.95" customHeight="1" x14ac:dyDescent="0.35">
      <c r="A81" s="363" t="s">
        <v>152</v>
      </c>
      <c r="B81" s="181"/>
      <c r="C81" s="182"/>
      <c r="D81" s="186"/>
      <c r="E81" s="184"/>
      <c r="F81" s="190"/>
      <c r="G81" s="364" t="str">
        <f>IF(OR(E81="",F81=""),"",PID_KVLohnLookup($A$1,E81,F81,LOHNTABELLE!$H$4))</f>
        <v/>
      </c>
      <c r="H81" s="365" t="str">
        <f>IF(AND(ISNUMBER(D81),ISNUMBER(F81)),ROUNDDOWN(MIN(IF(OR(ISBLANK(I81),I81=""),EOMONTH(DATE(EINSTELLUNG!$C$35,$A$1,1),0),I81)-MAX(D81,DATE(EINSTELLUNG!$C$35,$A$1,1))+1)/DAY(EOMONTH(DATE(EINSTELLUNG!$C$35,$A$1,1),0))*F81,2),"")</f>
        <v/>
      </c>
      <c r="I81" s="186"/>
      <c r="J81" s="187"/>
      <c r="K81" s="364" t="str">
        <f t="shared" si="3"/>
        <v/>
      </c>
      <c r="L81" s="366"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88"/>
      <c r="N81" s="189"/>
    </row>
    <row r="82" spans="1:14" ht="21.95" customHeight="1" thickBot="1" x14ac:dyDescent="0.4">
      <c r="A82" s="423" t="s">
        <v>153</v>
      </c>
      <c r="B82" s="160"/>
      <c r="C82" s="161"/>
      <c r="D82" s="162"/>
      <c r="E82" s="163"/>
      <c r="F82" s="164"/>
      <c r="G82" s="424" t="str">
        <f>IF(OR(E82="",F82=""),"",PID_KVLohnLookup($A$1,E82,F82,LOHNTABELLE!$H$4))</f>
        <v/>
      </c>
      <c r="H82" s="425" t="str">
        <f>IF(AND(ISNUMBER(D82),ISNUMBER(F82)),ROUNDDOWN(MIN(IF(OR(ISBLANK(I82),I82=""),EOMONTH(DATE(EINSTELLUNG!$C$35,$A$1,1),0),I82)-MAX(D82,DATE(EINSTELLUNG!$C$35,$A$1,1))+1)/DAY(EOMONTH(DATE(EINSTELLUNG!$C$35,$A$1,1),0))*F82,2),"")</f>
        <v/>
      </c>
      <c r="I82" s="162"/>
      <c r="J82" s="166"/>
      <c r="K82" s="424" t="str">
        <f t="shared" si="3"/>
        <v/>
      </c>
      <c r="L82" s="42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71"/>
      <c r="N82" s="172"/>
    </row>
    <row r="83" spans="1:14" ht="15.95" customHeight="1" x14ac:dyDescent="0.3">
      <c r="A83" s="462"/>
      <c r="B83" s="462"/>
    </row>
    <row r="100" spans="26:26" ht="15.95" customHeight="1" x14ac:dyDescent="0.3">
      <c r="Z100" s="343"/>
    </row>
  </sheetData>
  <sheetProtection algorithmName="SHA-512" hashValue="sJQIMcUY9eKTwNbeEhnXta8PGs5FDA2g4PpKV5fq1oismVB7Mdhy/2t8sQ654C88VMqHxGrHGhlrQMhNMoIQjA==" saltValue="dP2ntznE+lpAFEH5OQRkig=="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1656C62-A3C8-4523-9DB9-1E60DAD3D455}">
          <x14:formula1>
            <xm:f>KV_DROPDOWN_HELPER!$AJY$1:$AJY$12</xm:f>
          </x14:formula1>
          <xm:sqref>E3:E82</xm:sqref>
        </x14:dataValidation>
        <x14:dataValidation type="list" allowBlank="1" showInputMessage="1" showErrorMessage="1" xr:uid="{DC1152DC-06B8-4306-AF14-626D654CE0EE}">
          <x14:formula1>
            <xm:f>KV_DROPDOWN_HELPER!$AAS$1:$AAS$13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40625" defaultRowHeight="15.95" customHeight="1" x14ac:dyDescent="0.3"/>
  <cols>
    <col min="1" max="1" width="4.42578125" style="427" customWidth="1"/>
    <col min="2" max="2" width="9.140625" style="427" customWidth="1"/>
    <col min="3" max="3" width="35.5703125" style="263" customWidth="1"/>
    <col min="4" max="4" width="13.5703125" style="263" customWidth="1"/>
    <col min="5" max="5" width="9.5703125" style="263" customWidth="1"/>
    <col min="6" max="6" width="10.5703125" style="263" customWidth="1"/>
    <col min="7" max="7" width="13.5703125" style="263" customWidth="1"/>
    <col min="8" max="8" width="11.5703125" style="263" customWidth="1"/>
    <col min="9" max="10" width="13.5703125" style="263" customWidth="1"/>
    <col min="11" max="11" width="14.5703125" style="263" customWidth="1"/>
    <col min="12" max="12" width="14.5703125" style="389" customWidth="1"/>
    <col min="13" max="13" width="17.85546875" style="263" customWidth="1"/>
    <col min="14" max="14" width="34.5703125" style="263" customWidth="1"/>
    <col min="15" max="15" width="12.5703125" style="263" customWidth="1"/>
    <col min="16" max="16" width="16.5703125" style="263" customWidth="1"/>
    <col min="17" max="17" width="14.5703125" style="263" customWidth="1"/>
    <col min="18" max="18" width="13.5703125" style="263" customWidth="1"/>
    <col min="19" max="19" width="9.5703125" style="263" customWidth="1"/>
    <col min="20" max="20" width="10.5703125" style="263" customWidth="1"/>
    <col min="21" max="21" width="7.5703125" style="263" customWidth="1"/>
    <col min="22" max="27" width="9.140625" style="263"/>
    <col min="28" max="28" width="10.5703125" style="263" bestFit="1" customWidth="1"/>
    <col min="29" max="16384" width="9.140625" style="263"/>
  </cols>
  <sheetData>
    <row r="1" spans="1:28" ht="18" customHeight="1" x14ac:dyDescent="0.3">
      <c r="A1" s="344">
        <v>11</v>
      </c>
      <c r="B1" s="345" t="s">
        <v>179</v>
      </c>
      <c r="C1" s="346" t="s">
        <v>39</v>
      </c>
      <c r="D1" s="346" t="s">
        <v>180</v>
      </c>
      <c r="E1" s="346" t="s">
        <v>0</v>
      </c>
      <c r="F1" s="346" t="s">
        <v>40</v>
      </c>
      <c r="G1" s="346" t="s">
        <v>41</v>
      </c>
      <c r="H1" s="346" t="s">
        <v>42</v>
      </c>
      <c r="I1" s="346" t="s">
        <v>181</v>
      </c>
      <c r="J1" s="346" t="s">
        <v>43</v>
      </c>
      <c r="K1" s="346" t="s">
        <v>44</v>
      </c>
      <c r="L1" s="346" t="s">
        <v>45</v>
      </c>
      <c r="M1" s="346" t="s">
        <v>46</v>
      </c>
      <c r="N1" s="347" t="s">
        <v>182</v>
      </c>
      <c r="AB1" s="348">
        <f>DATE(EINSTELLUNG!$C$35,$A$1,1)</f>
        <v>46327</v>
      </c>
    </row>
    <row r="2" spans="1:28" ht="18" customHeight="1" thickBot="1" x14ac:dyDescent="0.35">
      <c r="A2" s="349"/>
      <c r="B2" s="350"/>
      <c r="C2" s="351"/>
      <c r="D2" s="351"/>
      <c r="E2" s="351"/>
      <c r="F2" s="351"/>
      <c r="G2" s="351"/>
      <c r="H2" s="351"/>
      <c r="I2" s="351"/>
      <c r="J2" s="351"/>
      <c r="K2" s="351"/>
      <c r="L2" s="351"/>
      <c r="M2" s="351"/>
      <c r="N2" s="352"/>
      <c r="O2" s="353"/>
      <c r="P2" s="353"/>
      <c r="Q2" s="353"/>
      <c r="S2" s="354" t="s">
        <v>291</v>
      </c>
      <c r="T2" s="354"/>
      <c r="U2" s="354"/>
      <c r="V2" s="354"/>
      <c r="AB2" s="348">
        <f>EOMONTH(DATE(EINSTELLUNG!$C$35,$A$1,1),0)</f>
        <v>46356</v>
      </c>
    </row>
    <row r="3" spans="1:28" ht="21.95" customHeight="1" x14ac:dyDescent="0.35">
      <c r="A3" s="355" t="s">
        <v>292</v>
      </c>
      <c r="B3" s="173">
        <v>21867</v>
      </c>
      <c r="C3" s="151" t="s">
        <v>385</v>
      </c>
      <c r="D3" s="177">
        <v>46023</v>
      </c>
      <c r="E3" s="175" t="s">
        <v>2</v>
      </c>
      <c r="F3" s="473">
        <v>173</v>
      </c>
      <c r="G3" s="356">
        <f>IF(OR(E3="",F3=""),"",PID_KVLohnLookup($A$1,E3,F3,LOHNTABELLE!$H$4))</f>
        <v>2100</v>
      </c>
      <c r="H3" s="357">
        <f>IF(AND(ISNUMBER(D3),ISNUMBER(F3)),ROUNDDOWN(MIN(IF(OR(ISBLANK(I3),I3=""),EOMONTH(DATE(EINSTELLUNG!$C$35,$A$1,1),0),I3)-MAX(D3,DATE(EINSTELLUNG!$C$35,$A$1,1))+1)/DAY(EOMONTH(DATE(EINSTELLUNG!$C$35,$A$1,1),0))*F3,2),"")</f>
        <v>173</v>
      </c>
      <c r="I3" s="177"/>
      <c r="J3" s="178"/>
      <c r="K3" s="356">
        <f t="shared" ref="K3:K34" si="0">IF(OR(B3="",C3=""),"",IFERROR(IF(OR(MONTH(D3)=1,MONTH(D3)=3,MONTH(D3)=5,MONTH(D3)=7,MONTH(D3)=8,MONTH(D3)=10,MONTH(D3)=12),(G3/31)*J3,IF(OR(MONTH(D3)=4,MONTH(D3)=6,MONTH(D3)=9,MONTH(D3)=11),(G3/30)*J3,(G3/DAY(EOMONTH(D3,0)))*J3)),0))</f>
        <v>0</v>
      </c>
      <c r="L3" s="35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2100</v>
      </c>
      <c r="M3" s="179"/>
      <c r="N3" s="180"/>
      <c r="O3" s="359" t="s">
        <v>47</v>
      </c>
      <c r="P3" s="359" t="s">
        <v>48</v>
      </c>
      <c r="Q3" s="359" t="s">
        <v>49</v>
      </c>
      <c r="R3" s="360" t="s">
        <v>50</v>
      </c>
      <c r="S3" s="361"/>
      <c r="T3" s="361"/>
      <c r="U3" s="361"/>
      <c r="V3" s="361"/>
      <c r="AB3" s="362"/>
    </row>
    <row r="4" spans="1:28" ht="21.95" customHeight="1" x14ac:dyDescent="0.35">
      <c r="A4" s="363" t="s">
        <v>51</v>
      </c>
      <c r="B4" s="152">
        <v>221340</v>
      </c>
      <c r="C4" s="153" t="s">
        <v>333</v>
      </c>
      <c r="D4" s="154">
        <v>32994</v>
      </c>
      <c r="E4" s="155" t="s">
        <v>2</v>
      </c>
      <c r="F4" s="156">
        <v>151.38</v>
      </c>
      <c r="G4" s="364">
        <f>IF(OR(E4="",F4=""),"",PID_KVLohnLookup($A$1,E4,F4,LOHNTABELLE!$H$4))</f>
        <v>1768.38</v>
      </c>
      <c r="H4" s="365">
        <f>IF(AND(ISNUMBER(D4),ISNUMBER(F4)),ROUNDDOWN(MIN(IF(OR(ISBLANK(I4),I4=""),EOMONTH(DATE(EINSTELLUNG!$C$35,$A$1,1),0),I4)-MAX(D4,DATE(EINSTELLUNG!$C$35,$A$1,1))+1)/DAY(EOMONTH(DATE(EINSTELLUNG!$C$35,$A$1,1),0))*F4,2),"")</f>
        <v>151.38</v>
      </c>
      <c r="I4" s="158"/>
      <c r="J4" s="165"/>
      <c r="K4" s="364">
        <f t="shared" si="0"/>
        <v>0</v>
      </c>
      <c r="L4" s="366">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1768.38</v>
      </c>
      <c r="M4" s="167"/>
      <c r="N4" s="168"/>
      <c r="O4" s="367"/>
      <c r="P4" s="367"/>
      <c r="Q4" s="367"/>
      <c r="R4" s="368"/>
      <c r="S4" s="361"/>
      <c r="T4" s="361"/>
      <c r="U4" s="361"/>
      <c r="V4" s="361"/>
    </row>
    <row r="5" spans="1:28" ht="21.95" customHeight="1" x14ac:dyDescent="0.35">
      <c r="A5" s="363" t="s">
        <v>52</v>
      </c>
      <c r="B5" s="181"/>
      <c r="C5" s="182"/>
      <c r="D5" s="183"/>
      <c r="E5" s="184"/>
      <c r="F5" s="190"/>
      <c r="G5" s="364" t="str">
        <f>IF(OR(E5="",F5=""),"",PID_KVLohnLookup($A$1,E5,F5,LOHNTABELLE!$H$4))</f>
        <v/>
      </c>
      <c r="H5" s="365" t="str">
        <f>IF(AND(ISNUMBER(D5),ISNUMBER(F5)),ROUNDDOWN(MIN(IF(OR(ISBLANK(I5),I5=""),EOMONTH(DATE(EINSTELLUNG!$C$35,$A$1,1),0),I5)-MAX(D5,DATE(EINSTELLUNG!$C$35,$A$1,1))+1)/DAY(EOMONTH(DATE(EINSTELLUNG!$C$35,$A$1,1),0))*F5,2),"")</f>
        <v/>
      </c>
      <c r="I5" s="186"/>
      <c r="J5" s="187"/>
      <c r="K5" s="364" t="str">
        <f t="shared" si="0"/>
        <v/>
      </c>
      <c r="L5" s="366"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188"/>
      <c r="N5" s="189"/>
      <c r="O5" s="369" cm="1">
        <f t="array" ref="O5">SUMPRODUCT((F3:F82/4.310808)/5*2.08)</f>
        <v>31.303198843465079</v>
      </c>
      <c r="P5" s="370">
        <f>EINSTELLUNG!I16</f>
        <v>0</v>
      </c>
      <c r="Q5" s="370">
        <f>P5-O5</f>
        <v>-31.303198843465079</v>
      </c>
      <c r="R5" s="371">
        <f>IFERROR(Q5*Q42, 0)</f>
        <v>-373.30497670042377</v>
      </c>
      <c r="S5" s="361"/>
      <c r="T5" s="361"/>
      <c r="U5" s="361"/>
      <c r="V5" s="361"/>
    </row>
    <row r="6" spans="1:28" ht="21.95" customHeight="1" x14ac:dyDescent="0.35">
      <c r="A6" s="363" t="s">
        <v>53</v>
      </c>
      <c r="B6" s="152"/>
      <c r="C6" s="153"/>
      <c r="D6" s="154"/>
      <c r="E6" s="155"/>
      <c r="F6" s="156"/>
      <c r="G6" s="364" t="str">
        <f>IF(OR(E6="",F6=""),"",PID_KVLohnLookup($A$1,E6,F6,LOHNTABELLE!$H$4))</f>
        <v/>
      </c>
      <c r="H6" s="365" t="str">
        <f>IF(AND(ISNUMBER(D6),ISNUMBER(F6)),ROUNDDOWN(MIN(IF(OR(ISBLANK(I6),I6=""),EOMONTH(DATE(EINSTELLUNG!$C$35,$A$1,1),0),I6)-MAX(D6,DATE(EINSTELLUNG!$C$35,$A$1,1))+1)/DAY(EOMONTH(DATE(EINSTELLUNG!$C$35,$A$1,1),0))*F6,2),"")</f>
        <v/>
      </c>
      <c r="I6" s="158"/>
      <c r="J6" s="165"/>
      <c r="K6" s="364" t="str">
        <f t="shared" si="0"/>
        <v/>
      </c>
      <c r="L6" s="366"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167"/>
      <c r="N6" s="168"/>
      <c r="O6" s="372" t="str">
        <f>IF(Q5&lt;0, "Schlecht! Zu wenig Urlaub abgebaut.", IF(Q5&gt;0, "Gut! Mehr Urlaub abgebaut als aufgebaut.", ""))</f>
        <v>Schlecht! Zu wenig Urlaub abgebaut.</v>
      </c>
      <c r="P6" s="373"/>
      <c r="Q6" s="373"/>
      <c r="R6" s="374"/>
      <c r="S6" s="361"/>
      <c r="T6" s="361"/>
      <c r="U6" s="361"/>
      <c r="V6" s="361"/>
    </row>
    <row r="7" spans="1:28" ht="21.95" customHeight="1" thickBot="1" x14ac:dyDescent="0.4">
      <c r="A7" s="363" t="s">
        <v>54</v>
      </c>
      <c r="B7" s="181"/>
      <c r="C7" s="182"/>
      <c r="D7" s="183"/>
      <c r="E7" s="184"/>
      <c r="F7" s="190"/>
      <c r="G7" s="364" t="str">
        <f>IF(OR(E7="",F7=""),"",PID_KVLohnLookup($A$1,E7,F7,LOHNTABELLE!$H$4))</f>
        <v/>
      </c>
      <c r="H7" s="365" t="str">
        <f>IF(AND(ISNUMBER(D7),ISNUMBER(F7)),ROUNDDOWN(MIN(IF(OR(ISBLANK(I7),I7=""),EOMONTH(DATE(EINSTELLUNG!$C$35,$A$1,1),0),I7)-MAX(D7,DATE(EINSTELLUNG!$C$35,$A$1,1))+1)/DAY(EOMONTH(DATE(EINSTELLUNG!$C$35,$A$1,1),0))*F7,2),"")</f>
        <v/>
      </c>
      <c r="I7" s="186"/>
      <c r="J7" s="187"/>
      <c r="K7" s="364" t="str">
        <f t="shared" si="0"/>
        <v/>
      </c>
      <c r="L7" s="366"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188"/>
      <c r="N7" s="189"/>
      <c r="O7" s="361"/>
      <c r="P7" s="361"/>
      <c r="Q7" s="361"/>
      <c r="R7" s="361"/>
      <c r="S7" s="361"/>
      <c r="T7" s="361"/>
      <c r="U7" s="361"/>
      <c r="V7" s="361"/>
    </row>
    <row r="8" spans="1:28" ht="21.95" customHeight="1" x14ac:dyDescent="0.35">
      <c r="A8" s="363" t="s">
        <v>55</v>
      </c>
      <c r="B8" s="152"/>
      <c r="C8" s="153"/>
      <c r="D8" s="154"/>
      <c r="E8" s="155"/>
      <c r="F8" s="156"/>
      <c r="G8" s="364" t="str">
        <f>IF(OR(E8="",F8=""),"",PID_KVLohnLookup($A$1,E8,F8,LOHNTABELLE!$H$4))</f>
        <v/>
      </c>
      <c r="H8" s="365" t="str">
        <f>IF(AND(ISNUMBER(D8),ISNUMBER(F8)),ROUNDDOWN(MIN(IF(OR(ISBLANK(I8),I8=""),EOMONTH(DATE(EINSTELLUNG!$C$35,$A$1,1),0),I8)-MAX(D8,DATE(EINSTELLUNG!$C$35,$A$1,1))+1)/DAY(EOMONTH(DATE(EINSTELLUNG!$C$35,$A$1,1),0))*F8,2),"")</f>
        <v/>
      </c>
      <c r="I8" s="158"/>
      <c r="J8" s="165"/>
      <c r="K8" s="364" t="str">
        <f t="shared" si="0"/>
        <v/>
      </c>
      <c r="L8" s="366"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167"/>
      <c r="N8" s="168"/>
      <c r="O8" s="375" t="s">
        <v>56</v>
      </c>
      <c r="P8" s="376"/>
      <c r="Q8" s="377">
        <f>SUM(H3:H82)</f>
        <v>324.38</v>
      </c>
      <c r="R8" s="378"/>
      <c r="S8" s="361"/>
      <c r="T8" s="361"/>
      <c r="U8" s="361"/>
      <c r="V8" s="361"/>
    </row>
    <row r="9" spans="1:28" ht="21.95" customHeight="1" x14ac:dyDescent="0.35">
      <c r="A9" s="363" t="s">
        <v>57</v>
      </c>
      <c r="B9" s="181"/>
      <c r="C9" s="182"/>
      <c r="D9" s="183"/>
      <c r="E9" s="184"/>
      <c r="F9" s="190"/>
      <c r="G9" s="364" t="str">
        <f>IF(OR(E9="",F9=""),"",PID_KVLohnLookup($A$1,E9,F9,LOHNTABELLE!$H$4))</f>
        <v/>
      </c>
      <c r="H9" s="365" t="str">
        <f>IF(AND(ISNUMBER(D9),ISNUMBER(F9)),ROUNDDOWN(MIN(IF(OR(ISBLANK(I9),I9=""),EOMONTH(DATE(EINSTELLUNG!$C$35,$A$1,1),0),I9)-MAX(D9,DATE(EINSTELLUNG!$C$35,$A$1,1))+1)/DAY(EOMONTH(DATE(EINSTELLUNG!$C$35,$A$1,1),0))*F9,2),"")</f>
        <v/>
      </c>
      <c r="I9" s="186"/>
      <c r="J9" s="187"/>
      <c r="K9" s="364" t="str">
        <f t="shared" si="0"/>
        <v/>
      </c>
      <c r="L9" s="366"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188"/>
      <c r="N9" s="189"/>
      <c r="O9" s="379" t="s">
        <v>58</v>
      </c>
      <c r="P9" s="380"/>
      <c r="Q9" s="381">
        <f>EINSTELLUNG!L32</f>
        <v>0</v>
      </c>
      <c r="R9" s="382"/>
      <c r="S9" s="383">
        <f>IFERROR(Q9/Q8, 0)</f>
        <v>0</v>
      </c>
      <c r="T9" s="361"/>
      <c r="U9" s="361"/>
      <c r="V9" s="361"/>
    </row>
    <row r="10" spans="1:28" ht="21.95" customHeight="1" x14ac:dyDescent="0.35">
      <c r="A10" s="363" t="s">
        <v>59</v>
      </c>
      <c r="B10" s="152"/>
      <c r="C10" s="153"/>
      <c r="D10" s="154"/>
      <c r="E10" s="155"/>
      <c r="F10" s="156"/>
      <c r="G10" s="364" t="str">
        <f>IF(OR(E10="",F10=""),"",PID_KVLohnLookup($A$1,E10,F10,LOHNTABELLE!$H$4))</f>
        <v/>
      </c>
      <c r="H10" s="365" t="str">
        <f>IF(AND(ISNUMBER(D10),ISNUMBER(F10)),ROUNDDOWN(MIN(IF(OR(ISBLANK(I10),I10=""),EOMONTH(DATE(EINSTELLUNG!$C$35,$A$1,1),0),I10)-MAX(D10,DATE(EINSTELLUNG!$C$35,$A$1,1))+1)/DAY(EOMONTH(DATE(EINSTELLUNG!$C$35,$A$1,1),0))*F10,2),"")</f>
        <v/>
      </c>
      <c r="I10" s="158"/>
      <c r="J10" s="165"/>
      <c r="K10" s="364" t="str">
        <f t="shared" si="0"/>
        <v/>
      </c>
      <c r="L10" s="366"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167"/>
      <c r="N10" s="168"/>
      <c r="O10" s="379" t="s">
        <v>60</v>
      </c>
      <c r="P10" s="380"/>
      <c r="Q10" s="381">
        <f>EINSTELLUNG!I32</f>
        <v>0</v>
      </c>
      <c r="R10" s="382"/>
      <c r="S10" s="361"/>
      <c r="T10" s="361"/>
      <c r="U10" s="361"/>
      <c r="V10" s="361"/>
    </row>
    <row r="11" spans="1:28" ht="21.95" customHeight="1" x14ac:dyDescent="0.35">
      <c r="A11" s="363" t="s">
        <v>61</v>
      </c>
      <c r="B11" s="181"/>
      <c r="C11" s="182"/>
      <c r="D11" s="183"/>
      <c r="E11" s="184"/>
      <c r="F11" s="190"/>
      <c r="G11" s="364" t="str">
        <f>IF(OR(E11="",F11=""),"",PID_KVLohnLookup($A$1,E11,F11,LOHNTABELLE!$H$4))</f>
        <v/>
      </c>
      <c r="H11" s="365" t="str">
        <f>IF(AND(ISNUMBER(D11),ISNUMBER(F11)),ROUNDDOWN(MIN(IF(OR(ISBLANK(I11),I11=""),EOMONTH(DATE(EINSTELLUNG!$C$35,$A$1,1),0),I11)-MAX(D11,DATE(EINSTELLUNG!$C$35,$A$1,1))+1)/DAY(EOMONTH(DATE(EINSTELLUNG!$C$35,$A$1,1),0))*F11,2),"")</f>
        <v/>
      </c>
      <c r="I11" s="186"/>
      <c r="J11" s="187"/>
      <c r="K11" s="364" t="str">
        <f t="shared" si="0"/>
        <v/>
      </c>
      <c r="L11" s="366"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188"/>
      <c r="N11" s="189"/>
      <c r="O11" s="379" t="s">
        <v>62</v>
      </c>
      <c r="P11" s="380"/>
      <c r="Q11" s="381">
        <f>P5</f>
        <v>0</v>
      </c>
      <c r="R11" s="382"/>
      <c r="S11" s="361"/>
      <c r="T11" s="361"/>
      <c r="U11" s="361"/>
      <c r="V11" s="361"/>
    </row>
    <row r="12" spans="1:28" ht="21.95" customHeight="1" x14ac:dyDescent="0.35">
      <c r="A12" s="363" t="s">
        <v>63</v>
      </c>
      <c r="B12" s="152"/>
      <c r="C12" s="153"/>
      <c r="D12" s="154"/>
      <c r="E12" s="155"/>
      <c r="F12" s="156"/>
      <c r="G12" s="364" t="str">
        <f>IF(OR(E12="",F12=""),"",PID_KVLohnLookup($A$1,E12,F12,LOHNTABELLE!$H$4))</f>
        <v/>
      </c>
      <c r="H12" s="365" t="str">
        <f>IF(AND(ISNUMBER(D12),ISNUMBER(F12)),ROUNDDOWN(MIN(IF(OR(ISBLANK(I12),I12=""),EOMONTH(DATE(EINSTELLUNG!$C$35,$A$1,1),0),I12)-MAX(D12,DATE(EINSTELLUNG!$C$35,$A$1,1))+1)/DAY(EOMONTH(DATE(EINSTELLUNG!$C$35,$A$1,1),0))*F12,2),"")</f>
        <v/>
      </c>
      <c r="I12" s="158"/>
      <c r="J12" s="165"/>
      <c r="K12" s="364" t="str">
        <f t="shared" si="0"/>
        <v/>
      </c>
      <c r="L12" s="366"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167"/>
      <c r="N12" s="168"/>
      <c r="O12" s="379" t="s">
        <v>66</v>
      </c>
      <c r="P12" s="380"/>
      <c r="Q12" s="381">
        <f>Q8-Q9-Q10-Q11</f>
        <v>324.38</v>
      </c>
      <c r="R12" s="382"/>
      <c r="S12" s="361"/>
      <c r="T12" s="361"/>
      <c r="U12" s="361"/>
      <c r="V12" s="361"/>
    </row>
    <row r="13" spans="1:28" ht="21.95" customHeight="1" x14ac:dyDescent="0.35">
      <c r="A13" s="363" t="s">
        <v>65</v>
      </c>
      <c r="B13" s="181"/>
      <c r="C13" s="182"/>
      <c r="D13" s="183"/>
      <c r="E13" s="184"/>
      <c r="F13" s="190"/>
      <c r="G13" s="364" t="str">
        <f>IF(OR(E13="",F13=""),"",PID_KVLohnLookup($A$1,E13,F13,LOHNTABELLE!$H$4))</f>
        <v/>
      </c>
      <c r="H13" s="365" t="str">
        <f>IF(AND(ISNUMBER(D13),ISNUMBER(F13)),ROUNDDOWN(MIN(IF(OR(ISBLANK(I13),I13=""),EOMONTH(DATE(EINSTELLUNG!$C$35,$A$1,1),0),I13)-MAX(D13,DATE(EINSTELLUNG!$C$35,$A$1,1))+1)/DAY(EOMONTH(DATE(EINSTELLUNG!$C$35,$A$1,1),0))*F13,2),"")</f>
        <v/>
      </c>
      <c r="I13" s="186"/>
      <c r="J13" s="187"/>
      <c r="K13" s="364" t="str">
        <f t="shared" si="0"/>
        <v/>
      </c>
      <c r="L13" s="366"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188"/>
      <c r="N13" s="189"/>
      <c r="O13" s="379" t="s">
        <v>68</v>
      </c>
      <c r="P13" s="380"/>
      <c r="Q13" s="381">
        <f>EINSTELLUNG!L16</f>
        <v>0</v>
      </c>
      <c r="R13" s="382"/>
      <c r="S13" s="361"/>
      <c r="T13" s="361"/>
      <c r="U13" s="361"/>
      <c r="V13" s="361"/>
    </row>
    <row r="14" spans="1:28" ht="21.95" customHeight="1" x14ac:dyDescent="0.35">
      <c r="A14" s="363" t="s">
        <v>67</v>
      </c>
      <c r="B14" s="152"/>
      <c r="C14" s="153"/>
      <c r="D14" s="154"/>
      <c r="E14" s="155"/>
      <c r="F14" s="156"/>
      <c r="G14" s="364" t="str">
        <f>IF(OR(E14="",F14=""),"",PID_KVLohnLookup($A$1,E14,F14,LOHNTABELLE!$H$4))</f>
        <v/>
      </c>
      <c r="H14" s="365" t="str">
        <f>IF(AND(ISNUMBER(D14),ISNUMBER(F14)),ROUNDDOWN(MIN(IF(OR(ISBLANK(I14),I14=""),EOMONTH(DATE(EINSTELLUNG!$C$35,$A$1,1),0),I14)-MAX(D14,DATE(EINSTELLUNG!$C$35,$A$1,1))+1)/DAY(EOMONTH(DATE(EINSTELLUNG!$C$35,$A$1,1),0))*F14,2),"")</f>
        <v/>
      </c>
      <c r="I14" s="158"/>
      <c r="J14" s="165"/>
      <c r="K14" s="364" t="str">
        <f t="shared" si="0"/>
        <v/>
      </c>
      <c r="L14" s="366"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167"/>
      <c r="N14" s="168"/>
      <c r="O14" s="379" t="s">
        <v>70</v>
      </c>
      <c r="P14" s="380"/>
      <c r="Q14" s="381">
        <f>Q12-Q13</f>
        <v>324.38</v>
      </c>
      <c r="R14" s="382"/>
      <c r="S14" s="361"/>
      <c r="T14" s="361"/>
      <c r="U14" s="361"/>
      <c r="V14" s="361"/>
    </row>
    <row r="15" spans="1:28" ht="21.95" customHeight="1" x14ac:dyDescent="0.35">
      <c r="A15" s="363" t="s">
        <v>69</v>
      </c>
      <c r="B15" s="181"/>
      <c r="C15" s="182"/>
      <c r="D15" s="186"/>
      <c r="E15" s="184"/>
      <c r="F15" s="190"/>
      <c r="G15" s="364" t="str">
        <f>IF(OR(E15="",F15=""),"",PID_KVLohnLookup($A$1,E15,F15,LOHNTABELLE!$H$4))</f>
        <v/>
      </c>
      <c r="H15" s="365" t="str">
        <f>IF(AND(ISNUMBER(D15),ISNUMBER(F15)),ROUNDDOWN(MIN(IF(OR(ISBLANK(I15),I15=""),EOMONTH(DATE(EINSTELLUNG!$C$35,$A$1,1),0),I15)-MAX(D15,DATE(EINSTELLUNG!$C$35,$A$1,1))+1)/DAY(EOMONTH(DATE(EINSTELLUNG!$C$35,$A$1,1),0))*F15,2),"")</f>
        <v/>
      </c>
      <c r="I15" s="186"/>
      <c r="J15" s="187"/>
      <c r="K15" s="364" t="str">
        <f t="shared" si="0"/>
        <v/>
      </c>
      <c r="L15" s="366"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188"/>
      <c r="N15" s="189"/>
      <c r="O15" s="455" t="str">
        <f>IF(Q14&lt;0, "Schlecht! Zu wenig Stunden für Dienstplan.", IF(Q14&gt;0, "Du hast mehr als genug Stunden für Dienstplan.", ""))</f>
        <v>Du hast mehr als genug Stunden für Dienstplan.</v>
      </c>
      <c r="P15" s="456"/>
      <c r="Q15" s="456"/>
      <c r="R15" s="457"/>
      <c r="S15" s="384"/>
      <c r="T15" s="384"/>
      <c r="U15" s="384"/>
      <c r="V15" s="361"/>
    </row>
    <row r="16" spans="1:28" ht="21.95" customHeight="1" thickBot="1" x14ac:dyDescent="0.4">
      <c r="A16" s="363" t="s">
        <v>71</v>
      </c>
      <c r="B16" s="152"/>
      <c r="C16" s="153"/>
      <c r="D16" s="154"/>
      <c r="E16" s="155"/>
      <c r="F16" s="156"/>
      <c r="G16" s="364" t="str">
        <f>IF(OR(E16="",F16=""),"",PID_KVLohnLookup($A$1,E16,F16,LOHNTABELLE!$H$4))</f>
        <v/>
      </c>
      <c r="H16" s="365" t="str">
        <f>IF(AND(ISNUMBER(D16),ISNUMBER(F16)),ROUNDDOWN(MIN(IF(OR(ISBLANK(I16),I16=""),EOMONTH(DATE(EINSTELLUNG!$C$35,$A$1,1),0),I16)-MAX(D16,DATE(EINSTELLUNG!$C$35,$A$1,1))+1)/DAY(EOMONTH(DATE(EINSTELLUNG!$C$35,$A$1,1),0))*F16,2),"")</f>
        <v/>
      </c>
      <c r="I16" s="158"/>
      <c r="J16" s="165"/>
      <c r="K16" s="364" t="str">
        <f t="shared" si="0"/>
        <v/>
      </c>
      <c r="L16" s="366"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167"/>
      <c r="N16" s="168"/>
      <c r="O16" s="458"/>
      <c r="P16" s="459"/>
      <c r="Q16" s="459"/>
      <c r="R16" s="460"/>
      <c r="S16" s="388"/>
      <c r="T16" s="388"/>
      <c r="U16" s="388"/>
      <c r="V16" s="388"/>
      <c r="W16" s="389"/>
    </row>
    <row r="17" spans="1:29" ht="21.95" customHeight="1" x14ac:dyDescent="0.35">
      <c r="A17" s="363" t="s">
        <v>72</v>
      </c>
      <c r="B17" s="181"/>
      <c r="C17" s="182"/>
      <c r="D17" s="186"/>
      <c r="E17" s="184"/>
      <c r="F17" s="190"/>
      <c r="G17" s="364" t="str">
        <f>IF(OR(E17="",F17=""),"",PID_KVLohnLookup($A$1,E17,F17,LOHNTABELLE!$H$4))</f>
        <v/>
      </c>
      <c r="H17" s="365" t="str">
        <f>IF(AND(ISNUMBER(D17),ISNUMBER(F17)),ROUNDDOWN(MIN(IF(OR(ISBLANK(I17),I17=""),EOMONTH(DATE(EINSTELLUNG!$C$35,$A$1,1),0),I17)-MAX(D17,DATE(EINSTELLUNG!$C$35,$A$1,1))+1)/DAY(EOMONTH(DATE(EINSTELLUNG!$C$35,$A$1,1),0))*F17,2),"")</f>
        <v/>
      </c>
      <c r="I17" s="186"/>
      <c r="J17" s="187"/>
      <c r="K17" s="364" t="str">
        <f t="shared" si="0"/>
        <v/>
      </c>
      <c r="L17" s="366"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188"/>
      <c r="N17" s="189"/>
      <c r="O17" s="375" t="s">
        <v>73</v>
      </c>
      <c r="P17" s="376"/>
      <c r="Q17" s="390">
        <f>SUM(L3:L82)</f>
        <v>3868.38</v>
      </c>
      <c r="R17" s="391"/>
      <c r="S17" s="361"/>
      <c r="T17" s="361"/>
      <c r="U17" s="361"/>
      <c r="V17" s="361"/>
      <c r="W17" s="389"/>
    </row>
    <row r="18" spans="1:29" ht="21.95" customHeight="1" x14ac:dyDescent="0.35">
      <c r="A18" s="363" t="s">
        <v>74</v>
      </c>
      <c r="B18" s="152"/>
      <c r="C18" s="153"/>
      <c r="D18" s="158"/>
      <c r="E18" s="155"/>
      <c r="F18" s="156"/>
      <c r="G18" s="364" t="str">
        <f>IF(OR(E18="",F18=""),"",PID_KVLohnLookup($A$1,E18,F18,LOHNTABELLE!$H$4))</f>
        <v/>
      </c>
      <c r="H18" s="365" t="str">
        <f>IF(AND(ISNUMBER(D18),ISNUMBER(F18)),ROUNDDOWN(MIN(IF(OR(ISBLANK(I18),I18=""),EOMONTH(DATE(EINSTELLUNG!$C$35,$A$1,1),0),I18)-MAX(D18,DATE(EINSTELLUNG!$C$35,$A$1,1))+1)/DAY(EOMONTH(DATE(EINSTELLUNG!$C$35,$A$1,1),0))*F18,2),"")</f>
        <v/>
      </c>
      <c r="I18" s="158"/>
      <c r="J18" s="165"/>
      <c r="K18" s="364" t="str">
        <f t="shared" si="0"/>
        <v/>
      </c>
      <c r="L18" s="366"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167"/>
      <c r="N18" s="168"/>
      <c r="O18" s="472"/>
      <c r="P18" s="196"/>
      <c r="Q18" s="197"/>
      <c r="R18" s="198"/>
      <c r="S18" s="361"/>
      <c r="T18" s="361"/>
      <c r="U18" s="361"/>
      <c r="V18" s="361"/>
    </row>
    <row r="19" spans="1:29" ht="21.95" customHeight="1" x14ac:dyDescent="0.35">
      <c r="A19" s="363" t="s">
        <v>75</v>
      </c>
      <c r="B19" s="181"/>
      <c r="C19" s="182"/>
      <c r="D19" s="186"/>
      <c r="E19" s="184"/>
      <c r="F19" s="190"/>
      <c r="G19" s="364" t="str">
        <f>IF(OR(E19="",F19=""),"",PID_KVLohnLookup($A$1,E19,F19,LOHNTABELLE!$H$4))</f>
        <v/>
      </c>
      <c r="H19" s="365" t="str">
        <f>IF(AND(ISNUMBER(D19),ISNUMBER(F19)),ROUNDDOWN(MIN(IF(OR(ISBLANK(I19),I19=""),EOMONTH(DATE(EINSTELLUNG!$C$35,$A$1,1),0),I19)-MAX(D19,DATE(EINSTELLUNG!$C$35,$A$1,1))+1)/DAY(EOMONTH(DATE(EINSTELLUNG!$C$35,$A$1,1),0))*F19,2),"")</f>
        <v/>
      </c>
      <c r="I19" s="186"/>
      <c r="J19" s="187"/>
      <c r="K19" s="364" t="str">
        <f t="shared" si="0"/>
        <v/>
      </c>
      <c r="L19" s="366"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188"/>
      <c r="N19" s="189"/>
      <c r="O19" s="472"/>
      <c r="P19" s="196"/>
      <c r="Q19" s="197"/>
      <c r="R19" s="198"/>
      <c r="S19" s="361"/>
      <c r="T19" s="361"/>
      <c r="U19" s="361"/>
      <c r="V19" s="361"/>
    </row>
    <row r="20" spans="1:29" ht="21.95" customHeight="1" x14ac:dyDescent="0.35">
      <c r="A20" s="363" t="s">
        <v>76</v>
      </c>
      <c r="B20" s="152"/>
      <c r="C20" s="153"/>
      <c r="D20" s="154"/>
      <c r="E20" s="155"/>
      <c r="F20" s="156"/>
      <c r="G20" s="364" t="str">
        <f>IF(OR(E20="",F20=""),"",PID_KVLohnLookup($A$1,E20,F20,LOHNTABELLE!$H$4))</f>
        <v/>
      </c>
      <c r="H20" s="365" t="str">
        <f>IF(AND(ISNUMBER(D20),ISNUMBER(F20)),ROUNDDOWN(MIN(IF(OR(ISBLANK(I20),I20=""),EOMONTH(DATE(EINSTELLUNG!$C$35,$A$1,1),0),I20)-MAX(D20,DATE(EINSTELLUNG!$C$35,$A$1,1))+1)/DAY(EOMONTH(DATE(EINSTELLUNG!$C$35,$A$1,1),0))*F20,2),"")</f>
        <v/>
      </c>
      <c r="I20" s="158"/>
      <c r="J20" s="165"/>
      <c r="K20" s="364" t="str">
        <f t="shared" si="0"/>
        <v/>
      </c>
      <c r="L20" s="366"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167"/>
      <c r="N20" s="168"/>
      <c r="O20" s="472"/>
      <c r="P20" s="196"/>
      <c r="Q20" s="197"/>
      <c r="R20" s="198"/>
      <c r="S20" s="361"/>
      <c r="T20" s="361"/>
      <c r="U20" s="361"/>
      <c r="V20" s="361"/>
    </row>
    <row r="21" spans="1:29" ht="21.95" customHeight="1" x14ac:dyDescent="0.35">
      <c r="A21" s="363" t="s">
        <v>77</v>
      </c>
      <c r="B21" s="181"/>
      <c r="C21" s="182"/>
      <c r="D21" s="186"/>
      <c r="E21" s="184"/>
      <c r="F21" s="190"/>
      <c r="G21" s="364" t="str">
        <f>IF(OR(E21="",F21=""),"",PID_KVLohnLookup($A$1,E21,F21,LOHNTABELLE!$H$4))</f>
        <v/>
      </c>
      <c r="H21" s="365" t="str">
        <f>IF(AND(ISNUMBER(D21),ISNUMBER(F21)),ROUNDDOWN(MIN(IF(OR(ISBLANK(I21),I21=""),EOMONTH(DATE(EINSTELLUNG!$C$35,$A$1,1),0),I21)-MAX(D21,DATE(EINSTELLUNG!$C$35,$A$1,1))+1)/DAY(EOMONTH(DATE(EINSTELLUNG!$C$35,$A$1,1),0))*F21,2),"")</f>
        <v/>
      </c>
      <c r="I21" s="186"/>
      <c r="J21" s="187"/>
      <c r="K21" s="364" t="str">
        <f t="shared" si="0"/>
        <v/>
      </c>
      <c r="L21" s="366"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188"/>
      <c r="N21" s="189"/>
      <c r="O21" s="472"/>
      <c r="P21" s="196"/>
      <c r="Q21" s="197"/>
      <c r="R21" s="198"/>
      <c r="S21" s="361"/>
      <c r="T21" s="361"/>
      <c r="U21" s="361"/>
      <c r="V21" s="361"/>
    </row>
    <row r="22" spans="1:29" ht="21.95" customHeight="1" x14ac:dyDescent="0.35">
      <c r="A22" s="363" t="s">
        <v>78</v>
      </c>
      <c r="B22" s="152"/>
      <c r="C22" s="153"/>
      <c r="D22" s="158"/>
      <c r="E22" s="155"/>
      <c r="F22" s="156"/>
      <c r="G22" s="364" t="str">
        <f>IF(OR(E22="",F22=""),"",PID_KVLohnLookup($A$1,E22,F22,LOHNTABELLE!$H$4))</f>
        <v/>
      </c>
      <c r="H22" s="365" t="str">
        <f>IF(AND(ISNUMBER(D22),ISNUMBER(F22)),ROUNDDOWN(MIN(IF(OR(ISBLANK(I22),I22=""),EOMONTH(DATE(EINSTELLUNG!$C$35,$A$1,1),0),I22)-MAX(D22,DATE(EINSTELLUNG!$C$35,$A$1,1))+1)/DAY(EOMONTH(DATE(EINSTELLUNG!$C$35,$A$1,1),0))*F22,2),"")</f>
        <v/>
      </c>
      <c r="I22" s="158"/>
      <c r="J22" s="165"/>
      <c r="K22" s="364" t="str">
        <f t="shared" si="0"/>
        <v/>
      </c>
      <c r="L22" s="366"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167"/>
      <c r="N22" s="168"/>
      <c r="O22" s="472"/>
      <c r="P22" s="196"/>
      <c r="Q22" s="197"/>
      <c r="R22" s="198"/>
      <c r="S22" s="361"/>
      <c r="T22" s="361"/>
      <c r="U22" s="361"/>
      <c r="V22" s="361"/>
    </row>
    <row r="23" spans="1:29" ht="21.95" customHeight="1" x14ac:dyDescent="0.35">
      <c r="A23" s="363" t="s">
        <v>79</v>
      </c>
      <c r="B23" s="181"/>
      <c r="C23" s="182"/>
      <c r="D23" s="183"/>
      <c r="E23" s="184"/>
      <c r="F23" s="190"/>
      <c r="G23" s="364" t="str">
        <f>IF(OR(E23="",F23=""),"",PID_KVLohnLookup($A$1,E23,F23,LOHNTABELLE!$H$4))</f>
        <v/>
      </c>
      <c r="H23" s="365" t="str">
        <f>IF(AND(ISNUMBER(D23),ISNUMBER(F23)),ROUNDDOWN(MIN(IF(OR(ISBLANK(I23),I23=""),EOMONTH(DATE(EINSTELLUNG!$C$35,$A$1,1),0),I23)-MAX(D23,DATE(EINSTELLUNG!$C$35,$A$1,1))+1)/DAY(EOMONTH(DATE(EINSTELLUNG!$C$35,$A$1,1),0))*F23,2),"")</f>
        <v/>
      </c>
      <c r="I23" s="186"/>
      <c r="J23" s="187"/>
      <c r="K23" s="364" t="str">
        <f t="shared" si="0"/>
        <v/>
      </c>
      <c r="L23" s="366"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188"/>
      <c r="N23" s="189"/>
      <c r="O23" s="472"/>
      <c r="P23" s="196"/>
      <c r="Q23" s="197"/>
      <c r="R23" s="198"/>
      <c r="S23" s="361"/>
      <c r="T23" s="361"/>
      <c r="U23" s="361"/>
      <c r="V23" s="361"/>
      <c r="W23" s="389"/>
    </row>
    <row r="24" spans="1:29" ht="21.95" customHeight="1" x14ac:dyDescent="0.35">
      <c r="A24" s="363" t="s">
        <v>80</v>
      </c>
      <c r="B24" s="152"/>
      <c r="C24" s="153"/>
      <c r="D24" s="154"/>
      <c r="E24" s="155"/>
      <c r="F24" s="156"/>
      <c r="G24" s="364" t="str">
        <f>IF(OR(E24="",F24=""),"",PID_KVLohnLookup($A$1,E24,F24,LOHNTABELLE!$H$4))</f>
        <v/>
      </c>
      <c r="H24" s="365" t="str">
        <f>IF(AND(ISNUMBER(D24),ISNUMBER(F24)),ROUNDDOWN(MIN(IF(OR(ISBLANK(I24),I24=""),EOMONTH(DATE(EINSTELLUNG!$C$35,$A$1,1),0),I24)-MAX(D24,DATE(EINSTELLUNG!$C$35,$A$1,1))+1)/DAY(EOMONTH(DATE(EINSTELLUNG!$C$35,$A$1,1),0))*F24,2),"")</f>
        <v/>
      </c>
      <c r="I24" s="158"/>
      <c r="J24" s="165"/>
      <c r="K24" s="364" t="str">
        <f t="shared" si="0"/>
        <v/>
      </c>
      <c r="L24" s="366"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167"/>
      <c r="N24" s="168"/>
      <c r="O24" s="472"/>
      <c r="P24" s="196"/>
      <c r="Q24" s="197"/>
      <c r="R24" s="198"/>
      <c r="S24" s="361"/>
      <c r="T24" s="361"/>
      <c r="U24" s="361"/>
      <c r="V24" s="361"/>
      <c r="W24" s="389"/>
    </row>
    <row r="25" spans="1:29" ht="21.95" customHeight="1" x14ac:dyDescent="0.35">
      <c r="A25" s="363" t="s">
        <v>81</v>
      </c>
      <c r="B25" s="181"/>
      <c r="C25" s="182"/>
      <c r="D25" s="183"/>
      <c r="E25" s="184"/>
      <c r="F25" s="190"/>
      <c r="G25" s="364" t="str">
        <f>IF(OR(E25="",F25=""),"",PID_KVLohnLookup($A$1,E25,F25,LOHNTABELLE!$H$4))</f>
        <v/>
      </c>
      <c r="H25" s="365" t="str">
        <f>IF(AND(ISNUMBER(D25),ISNUMBER(F25)),ROUNDDOWN(MIN(IF(OR(ISBLANK(I25),I25=""),EOMONTH(DATE(EINSTELLUNG!$C$35,$A$1,1),0),I25)-MAX(D25,DATE(EINSTELLUNG!$C$35,$A$1,1))+1)/DAY(EOMONTH(DATE(EINSTELLUNG!$C$35,$A$1,1),0))*F25,2),"")</f>
        <v/>
      </c>
      <c r="I25" s="186"/>
      <c r="J25" s="187"/>
      <c r="K25" s="364" t="str">
        <f t="shared" si="0"/>
        <v/>
      </c>
      <c r="L25" s="366"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188"/>
      <c r="N25" s="189"/>
      <c r="O25" s="472"/>
      <c r="P25" s="196"/>
      <c r="Q25" s="197"/>
      <c r="R25" s="198"/>
      <c r="S25" s="361"/>
      <c r="T25" s="361"/>
      <c r="U25" s="361"/>
      <c r="V25" s="361"/>
    </row>
    <row r="26" spans="1:29" ht="21.95" customHeight="1" x14ac:dyDescent="0.35">
      <c r="A26" s="363" t="s">
        <v>82</v>
      </c>
      <c r="B26" s="152"/>
      <c r="C26" s="153"/>
      <c r="D26" s="154"/>
      <c r="E26" s="155"/>
      <c r="F26" s="156"/>
      <c r="G26" s="364" t="str">
        <f>IF(OR(E26="",F26=""),"",PID_KVLohnLookup($A$1,E26,F26,LOHNTABELLE!$H$4))</f>
        <v/>
      </c>
      <c r="H26" s="365" t="str">
        <f>IF(AND(ISNUMBER(D26),ISNUMBER(F26)),ROUNDDOWN(MIN(IF(OR(ISBLANK(I26),I26=""),EOMONTH(DATE(EINSTELLUNG!$C$35,$A$1,1),0),I26)-MAX(D26,DATE(EINSTELLUNG!$C$35,$A$1,1))+1)/DAY(EOMONTH(DATE(EINSTELLUNG!$C$35,$A$1,1),0))*F26,2),"")</f>
        <v/>
      </c>
      <c r="I26" s="158"/>
      <c r="J26" s="165"/>
      <c r="K26" s="364" t="str">
        <f t="shared" si="0"/>
        <v/>
      </c>
      <c r="L26" s="366"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167"/>
      <c r="N26" s="168"/>
      <c r="O26" s="195"/>
      <c r="P26" s="196"/>
      <c r="Q26" s="197"/>
      <c r="R26" s="198"/>
      <c r="S26" s="361"/>
      <c r="T26" s="361"/>
      <c r="U26" s="361"/>
      <c r="V26" s="361"/>
    </row>
    <row r="27" spans="1:29" ht="21.95" customHeight="1" x14ac:dyDescent="0.35">
      <c r="A27" s="363" t="s">
        <v>83</v>
      </c>
      <c r="B27" s="181"/>
      <c r="C27" s="182"/>
      <c r="D27" s="183"/>
      <c r="E27" s="184"/>
      <c r="F27" s="190"/>
      <c r="G27" s="364" t="str">
        <f>IF(OR(E27="",F27=""),"",PID_KVLohnLookup($A$1,E27,F27,LOHNTABELLE!$H$4))</f>
        <v/>
      </c>
      <c r="H27" s="365" t="str">
        <f>IF(AND(ISNUMBER(D27),ISNUMBER(F27)),ROUNDDOWN(MIN(IF(OR(ISBLANK(I27),I27=""),EOMONTH(DATE(EINSTELLUNG!$C$35,$A$1,1),0),I27)-MAX(D27,DATE(EINSTELLUNG!$C$35,$A$1,1))+1)/DAY(EOMONTH(DATE(EINSTELLUNG!$C$35,$A$1,1),0))*F27,2),"")</f>
        <v/>
      </c>
      <c r="I27" s="186"/>
      <c r="J27" s="187"/>
      <c r="K27" s="364" t="str">
        <f t="shared" si="0"/>
        <v/>
      </c>
      <c r="L27" s="366"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188"/>
      <c r="N27" s="189"/>
      <c r="O27" s="195"/>
      <c r="P27" s="196"/>
      <c r="Q27" s="197"/>
      <c r="R27" s="198"/>
      <c r="S27" s="392" t="s">
        <v>84</v>
      </c>
      <c r="T27" s="392"/>
      <c r="U27" s="392"/>
      <c r="V27" s="392"/>
    </row>
    <row r="28" spans="1:29" ht="21.95" customHeight="1" x14ac:dyDescent="0.35">
      <c r="A28" s="363" t="s">
        <v>85</v>
      </c>
      <c r="B28" s="152"/>
      <c r="C28" s="153"/>
      <c r="D28" s="154"/>
      <c r="E28" s="155"/>
      <c r="F28" s="156"/>
      <c r="G28" s="364" t="str">
        <f>IF(OR(E28="",F28=""),"",PID_KVLohnLookup($A$1,E28,F28,LOHNTABELLE!$H$4))</f>
        <v/>
      </c>
      <c r="H28" s="365" t="str">
        <f>IF(AND(ISNUMBER(D28),ISNUMBER(F28)),ROUNDDOWN(MIN(IF(OR(ISBLANK(I28),I28=""),EOMONTH(DATE(EINSTELLUNG!$C$35,$A$1,1),0),I28)-MAX(D28,DATE(EINSTELLUNG!$C$35,$A$1,1))+1)/DAY(EOMONTH(DATE(EINSTELLUNG!$C$35,$A$1,1),0))*F28,2),"")</f>
        <v/>
      </c>
      <c r="I28" s="158"/>
      <c r="J28" s="165"/>
      <c r="K28" s="364" t="str">
        <f t="shared" si="0"/>
        <v/>
      </c>
      <c r="L28" s="366"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167"/>
      <c r="N28" s="168"/>
      <c r="O28" s="195"/>
      <c r="P28" s="196"/>
      <c r="Q28" s="197"/>
      <c r="R28" s="198"/>
      <c r="S28" s="361"/>
      <c r="T28" s="361"/>
      <c r="U28" s="361"/>
      <c r="V28" s="361"/>
    </row>
    <row r="29" spans="1:29" ht="21.95" customHeight="1" thickBot="1" x14ac:dyDescent="0.4">
      <c r="A29" s="363" t="s">
        <v>86</v>
      </c>
      <c r="B29" s="181"/>
      <c r="C29" s="182"/>
      <c r="D29" s="183"/>
      <c r="E29" s="184"/>
      <c r="F29" s="190"/>
      <c r="G29" s="364" t="str">
        <f>IF(OR(E29="",F29=""),"",PID_KVLohnLookup($A$1,E29,F29,LOHNTABELLE!$H$4))</f>
        <v/>
      </c>
      <c r="H29" s="365" t="str">
        <f>IF(AND(ISNUMBER(D29),ISNUMBER(F29)),ROUNDDOWN(MIN(IF(OR(ISBLANK(I29),I29=""),EOMONTH(DATE(EINSTELLUNG!$C$35,$A$1,1),0),I29)-MAX(D29,DATE(EINSTELLUNG!$C$35,$A$1,1))+1)/DAY(EOMONTH(DATE(EINSTELLUNG!$C$35,$A$1,1),0))*F29,2),"")</f>
        <v/>
      </c>
      <c r="I29" s="186"/>
      <c r="J29" s="187"/>
      <c r="K29" s="364" t="str">
        <f t="shared" si="0"/>
        <v/>
      </c>
      <c r="L29" s="366"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188"/>
      <c r="N29" s="189"/>
      <c r="O29" s="393" t="s">
        <v>87</v>
      </c>
      <c r="P29" s="394"/>
      <c r="Q29" s="395">
        <f>EINSTELLUNG!O16</f>
        <v>0</v>
      </c>
      <c r="R29" s="396"/>
      <c r="S29" s="361"/>
      <c r="T29" s="361"/>
      <c r="U29" s="361"/>
      <c r="V29" s="361"/>
    </row>
    <row r="30" spans="1:29" ht="21.95" customHeight="1" thickBot="1" x14ac:dyDescent="0.4">
      <c r="A30" s="363" t="s">
        <v>88</v>
      </c>
      <c r="B30" s="152"/>
      <c r="C30" s="153"/>
      <c r="D30" s="154"/>
      <c r="E30" s="155"/>
      <c r="F30" s="156"/>
      <c r="G30" s="364" t="str">
        <f>IF(OR(E30="",F30=""),"",PID_KVLohnLookup($A$1,E30,F30,LOHNTABELLE!$H$4))</f>
        <v/>
      </c>
      <c r="H30" s="365" t="str">
        <f>IF(AND(ISNUMBER(D30),ISNUMBER(F30)),ROUNDDOWN(MIN(IF(OR(ISBLANK(I30),I30=""),EOMONTH(DATE(EINSTELLUNG!$C$35,$A$1,1),0),I30)-MAX(D30,DATE(EINSTELLUNG!$C$35,$A$1,1))+1)/DAY(EOMONTH(DATE(EINSTELLUNG!$C$35,$A$1,1),0))*F30,2),"")</f>
        <v/>
      </c>
      <c r="I30" s="158"/>
      <c r="J30" s="165"/>
      <c r="K30" s="364" t="str">
        <f t="shared" si="0"/>
        <v/>
      </c>
      <c r="L30" s="366"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167"/>
      <c r="N30" s="168"/>
      <c r="O30" s="361"/>
      <c r="P30" s="361"/>
      <c r="Q30" s="361"/>
      <c r="R30" s="361"/>
      <c r="S30" s="361"/>
      <c r="T30" s="361"/>
      <c r="U30" s="361"/>
      <c r="V30" s="361"/>
      <c r="W30" s="397"/>
      <c r="X30" s="397"/>
      <c r="Y30" s="397"/>
      <c r="Z30" s="397"/>
      <c r="AA30" s="397"/>
      <c r="AB30" s="397"/>
      <c r="AC30" s="397"/>
    </row>
    <row r="31" spans="1:29" ht="21.95" customHeight="1" thickBot="1" x14ac:dyDescent="0.4">
      <c r="A31" s="363" t="s">
        <v>89</v>
      </c>
      <c r="B31" s="181"/>
      <c r="C31" s="182"/>
      <c r="D31" s="183"/>
      <c r="E31" s="184"/>
      <c r="F31" s="190"/>
      <c r="G31" s="364" t="str">
        <f>IF(OR(E31="",F31=""),"",PID_KVLohnLookup($A$1,E31,F31,LOHNTABELLE!$H$4))</f>
        <v/>
      </c>
      <c r="H31" s="365" t="str">
        <f>IF(AND(ISNUMBER(D31),ISNUMBER(F31)),ROUNDDOWN(MIN(IF(OR(ISBLANK(I31),I31=""),EOMONTH(DATE(EINSTELLUNG!$C$35,$A$1,1),0),I31)-MAX(D31,DATE(EINSTELLUNG!$C$35,$A$1,1))+1)/DAY(EOMONTH(DATE(EINSTELLUNG!$C$35,$A$1,1),0))*F31,2),"")</f>
        <v/>
      </c>
      <c r="I31" s="186"/>
      <c r="J31" s="187"/>
      <c r="K31" s="364" t="str">
        <f t="shared" si="0"/>
        <v/>
      </c>
      <c r="L31" s="366"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188"/>
      <c r="N31" s="189"/>
      <c r="O31" s="398" t="s">
        <v>321</v>
      </c>
      <c r="P31" s="399"/>
      <c r="Q31" s="400">
        <v>0</v>
      </c>
      <c r="R31" s="401"/>
      <c r="S31" s="361"/>
      <c r="T31" s="361"/>
      <c r="U31" s="361"/>
      <c r="V31" s="361"/>
    </row>
    <row r="32" spans="1:29" ht="21.95" customHeight="1" thickBot="1" x14ac:dyDescent="0.4">
      <c r="A32" s="363" t="s">
        <v>91</v>
      </c>
      <c r="B32" s="152"/>
      <c r="C32" s="153"/>
      <c r="D32" s="154"/>
      <c r="E32" s="155"/>
      <c r="F32" s="156"/>
      <c r="G32" s="364" t="str">
        <f>IF(OR(E32="",F32=""),"",PID_KVLohnLookup($A$1,E32,F32,LOHNTABELLE!$H$4))</f>
        <v/>
      </c>
      <c r="H32" s="365" t="str">
        <f>IF(AND(ISNUMBER(D32),ISNUMBER(F32)),ROUNDDOWN(MIN(IF(OR(ISBLANK(I32),I32=""),EOMONTH(DATE(EINSTELLUNG!$C$35,$A$1,1),0),I32)-MAX(D32,DATE(EINSTELLUNG!$C$35,$A$1,1))+1)/DAY(EOMONTH(DATE(EINSTELLUNG!$C$35,$A$1,1),0))*F32,2),"")</f>
        <v/>
      </c>
      <c r="I32" s="158"/>
      <c r="J32" s="165"/>
      <c r="K32" s="364" t="str">
        <f t="shared" si="0"/>
        <v/>
      </c>
      <c r="L32" s="366"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167"/>
      <c r="N32" s="168"/>
      <c r="O32" s="361"/>
      <c r="P32" s="361"/>
      <c r="Q32" s="361"/>
      <c r="R32" s="361"/>
      <c r="S32" s="361"/>
      <c r="T32" s="361"/>
      <c r="U32" s="361"/>
      <c r="V32" s="361"/>
    </row>
    <row r="33" spans="1:22" ht="21.95" customHeight="1" x14ac:dyDescent="0.35">
      <c r="A33" s="363" t="s">
        <v>92</v>
      </c>
      <c r="B33" s="181"/>
      <c r="C33" s="182"/>
      <c r="D33" s="183"/>
      <c r="E33" s="184"/>
      <c r="F33" s="190"/>
      <c r="G33" s="364" t="str">
        <f>IF(OR(E33="",F33=""),"",PID_KVLohnLookup($A$1,E33,F33,LOHNTABELLE!$H$4))</f>
        <v/>
      </c>
      <c r="H33" s="365" t="str">
        <f>IF(AND(ISNUMBER(D33),ISNUMBER(F33)),ROUNDDOWN(MIN(IF(OR(ISBLANK(I33),I33=""),EOMONTH(DATE(EINSTELLUNG!$C$35,$A$1,1),0),I33)-MAX(D33,DATE(EINSTELLUNG!$C$35,$A$1,1))+1)/DAY(EOMONTH(DATE(EINSTELLUNG!$C$35,$A$1,1),0))*F33,2),"")</f>
        <v/>
      </c>
      <c r="I33" s="186"/>
      <c r="J33" s="187"/>
      <c r="K33" s="364" t="str">
        <f t="shared" si="0"/>
        <v/>
      </c>
      <c r="L33" s="366"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188"/>
      <c r="N33" s="189"/>
      <c r="O33" s="402"/>
      <c r="P33" s="403"/>
      <c r="Q33" s="346" t="str">
        <f>EINSTELLUNG!B3</f>
        <v>Budget</v>
      </c>
      <c r="R33" s="346"/>
      <c r="S33" s="346" t="str">
        <f>EINSTELLUNG!B19</f>
        <v>Projection/Aktuell Zahlen</v>
      </c>
      <c r="T33" s="346"/>
      <c r="U33" s="346" t="s">
        <v>95</v>
      </c>
      <c r="V33" s="347"/>
    </row>
    <row r="34" spans="1:22" ht="21.95" customHeight="1" x14ac:dyDescent="0.35">
      <c r="A34" s="363" t="s">
        <v>96</v>
      </c>
      <c r="B34" s="152"/>
      <c r="C34" s="153"/>
      <c r="D34" s="154"/>
      <c r="E34" s="155"/>
      <c r="F34" s="156"/>
      <c r="G34" s="364" t="str">
        <f>IF(OR(E34="",F34=""),"",PID_KVLohnLookup($A$1,E34,F34,LOHNTABELLE!$H$4))</f>
        <v/>
      </c>
      <c r="H34" s="365" t="str">
        <f>IF(AND(ISNUMBER(D34),ISNUMBER(F34)),ROUNDDOWN(MIN(IF(OR(ISBLANK(I34),I34=""),EOMONTH(DATE(EINSTELLUNG!$C$35,$A$1,1),0),I34)-MAX(D34,DATE(EINSTELLUNG!$C$35,$A$1,1))+1)/DAY(EOMONTH(DATE(EINSTELLUNG!$C$35,$A$1,1),0))*F34,2),"")</f>
        <v/>
      </c>
      <c r="I34" s="158"/>
      <c r="J34" s="165"/>
      <c r="K34" s="364" t="str">
        <f t="shared" si="0"/>
        <v/>
      </c>
      <c r="L34" s="366"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167"/>
      <c r="N34" s="168"/>
      <c r="O34" s="404"/>
      <c r="P34" s="405"/>
      <c r="Q34" s="406"/>
      <c r="R34" s="406"/>
      <c r="S34" s="406"/>
      <c r="T34" s="406"/>
      <c r="U34" s="406"/>
      <c r="V34" s="407"/>
    </row>
    <row r="35" spans="1:22" ht="21.95" customHeight="1" x14ac:dyDescent="0.35">
      <c r="A35" s="363" t="s">
        <v>97</v>
      </c>
      <c r="B35" s="181"/>
      <c r="C35" s="182"/>
      <c r="D35" s="183"/>
      <c r="E35" s="184"/>
      <c r="F35" s="190"/>
      <c r="G35" s="364" t="str">
        <f>IF(OR(E35="",F35=""),"",PID_KVLohnLookup($A$1,E35,F35,LOHNTABELLE!$H$4))</f>
        <v/>
      </c>
      <c r="H35" s="365" t="str">
        <f>IF(AND(ISNUMBER(D35),ISNUMBER(F35)),ROUNDDOWN(MIN(IF(OR(ISBLANK(I35),I35=""),EOMONTH(DATE(EINSTELLUNG!$C$35,$A$1,1),0),I35)-MAX(D35,DATE(EINSTELLUNG!$C$35,$A$1,1))+1)/DAY(EOMONTH(DATE(EINSTELLUNG!$C$35,$A$1,1),0))*F35,2),"")</f>
        <v/>
      </c>
      <c r="I35" s="186"/>
      <c r="J35" s="187"/>
      <c r="K35" s="364" t="str">
        <f t="shared" ref="K35:K66" si="1">IF(OR(B35="",C35=""),"",IFERROR(IF(OR(MONTH(D35)=1,MONTH(D35)=3,MONTH(D35)=5,MONTH(D35)=7,MONTH(D35)=8,MONTH(D35)=10,MONTH(D35)=12),(G35/31)*J35,IF(OR(MONTH(D35)=4,MONTH(D35)=6,MONTH(D35)=9,MONTH(D35)=11),(G35/30)*J35,(G35/DAY(EOMONTH(D35,0)))*J35)),0))</f>
        <v/>
      </c>
      <c r="L35" s="366"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188"/>
      <c r="N35" s="189"/>
      <c r="O35" s="379" t="s">
        <v>98</v>
      </c>
      <c r="P35" s="380"/>
      <c r="Q35" s="408">
        <f>EINSTELLUNG!C16</f>
        <v>0</v>
      </c>
      <c r="R35" s="408"/>
      <c r="S35" s="408">
        <f>EINSTELLUNG!C32</f>
        <v>0</v>
      </c>
      <c r="T35" s="408"/>
      <c r="U35" s="408">
        <f>S35-Q35</f>
        <v>0</v>
      </c>
      <c r="V35" s="409"/>
    </row>
    <row r="36" spans="1:22" ht="21.95" customHeight="1" x14ac:dyDescent="0.35">
      <c r="A36" s="363" t="s">
        <v>99</v>
      </c>
      <c r="B36" s="152"/>
      <c r="C36" s="153"/>
      <c r="D36" s="158"/>
      <c r="E36" s="155"/>
      <c r="F36" s="156"/>
      <c r="G36" s="364" t="str">
        <f>IF(OR(E36="",F36=""),"",PID_KVLohnLookup($A$1,E36,F36,LOHNTABELLE!$H$4))</f>
        <v/>
      </c>
      <c r="H36" s="365" t="str">
        <f>IF(AND(ISNUMBER(D36),ISNUMBER(F36)),ROUNDDOWN(MIN(IF(OR(ISBLANK(I36),I36=""),EOMONTH(DATE(EINSTELLUNG!$C$35,$A$1,1),0),I36)-MAX(D36,DATE(EINSTELLUNG!$C$35,$A$1,1))+1)/DAY(EOMONTH(DATE(EINSTELLUNG!$C$35,$A$1,1),0))*F36,2),"")</f>
        <v/>
      </c>
      <c r="I36" s="158"/>
      <c r="J36" s="165"/>
      <c r="K36" s="364" t="str">
        <f t="shared" si="1"/>
        <v/>
      </c>
      <c r="L36" s="366"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167"/>
      <c r="N36" s="168"/>
      <c r="O36" s="379" t="s">
        <v>100</v>
      </c>
      <c r="P36" s="380"/>
      <c r="Q36" s="408">
        <f>EINSTELLUNG!D16</f>
        <v>0</v>
      </c>
      <c r="R36" s="408"/>
      <c r="S36" s="408">
        <f ca="1">SumMergedCells(Q17:R29)</f>
        <v>3868.38</v>
      </c>
      <c r="T36" s="408"/>
      <c r="U36" s="408">
        <f t="shared" ref="U36:U41" ca="1" si="2">S36-Q36</f>
        <v>3868.38</v>
      </c>
      <c r="V36" s="409"/>
    </row>
    <row r="37" spans="1:22" ht="21.95" customHeight="1" x14ac:dyDescent="0.35">
      <c r="A37" s="363" t="s">
        <v>101</v>
      </c>
      <c r="B37" s="181"/>
      <c r="C37" s="182"/>
      <c r="D37" s="183"/>
      <c r="E37" s="184"/>
      <c r="F37" s="190"/>
      <c r="G37" s="364" t="str">
        <f>IF(OR(E37="",F37=""),"",PID_KVLohnLookup($A$1,E37,F37,LOHNTABELLE!$H$4))</f>
        <v/>
      </c>
      <c r="H37" s="365" t="str">
        <f>IF(AND(ISNUMBER(D37),ISNUMBER(F37)),ROUNDDOWN(MIN(IF(OR(ISBLANK(I37),I37=""),EOMONTH(DATE(EINSTELLUNG!$C$35,$A$1,1),0),I37)-MAX(D37,DATE(EINSTELLUNG!$C$35,$A$1,1))+1)/DAY(EOMONTH(DATE(EINSTELLUNG!$C$35,$A$1,1),0))*F37,2),"")</f>
        <v/>
      </c>
      <c r="I37" s="186"/>
      <c r="J37" s="187"/>
      <c r="K37" s="364" t="str">
        <f t="shared" si="1"/>
        <v/>
      </c>
      <c r="L37" s="366"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188"/>
      <c r="N37" s="189"/>
      <c r="O37" s="379" t="s">
        <v>102</v>
      </c>
      <c r="P37" s="380"/>
      <c r="Q37" s="410">
        <f>IF(ISERROR(Q36/Q35), 0, Q36/Q35)</f>
        <v>0</v>
      </c>
      <c r="R37" s="410"/>
      <c r="S37" s="410">
        <f ca="1">IF(ISERROR(S36/S35), 0, S36/S35)</f>
        <v>0</v>
      </c>
      <c r="T37" s="410"/>
      <c r="U37" s="410">
        <f t="shared" ca="1" si="2"/>
        <v>0</v>
      </c>
      <c r="V37" s="411"/>
    </row>
    <row r="38" spans="1:22" ht="21.95" customHeight="1" x14ac:dyDescent="0.35">
      <c r="A38" s="363" t="s">
        <v>103</v>
      </c>
      <c r="B38" s="152"/>
      <c r="C38" s="153"/>
      <c r="D38" s="154"/>
      <c r="E38" s="155"/>
      <c r="F38" s="156"/>
      <c r="G38" s="364" t="str">
        <f>IF(OR(E38="",F38=""),"",PID_KVLohnLookup($A$1,E38,F38,LOHNTABELLE!$H$4))</f>
        <v/>
      </c>
      <c r="H38" s="365" t="str">
        <f>IF(AND(ISNUMBER(D38),ISNUMBER(F38)),ROUNDDOWN(MIN(IF(OR(ISBLANK(I38),I38=""),EOMONTH(DATE(EINSTELLUNG!$C$35,$A$1,1),0),I38)-MAX(D38,DATE(EINSTELLUNG!$C$35,$A$1,1))+1)/DAY(EOMONTH(DATE(EINSTELLUNG!$C$35,$A$1,1),0))*F38,2),"")</f>
        <v/>
      </c>
      <c r="I38" s="158"/>
      <c r="J38" s="165"/>
      <c r="K38" s="364" t="str">
        <f t="shared" si="1"/>
        <v/>
      </c>
      <c r="L38" s="366"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167"/>
      <c r="N38" s="168"/>
      <c r="O38" s="379" t="s">
        <v>104</v>
      </c>
      <c r="P38" s="380"/>
      <c r="Q38" s="381">
        <f>EINSTELLUNG!F16</f>
        <v>0</v>
      </c>
      <c r="R38" s="381"/>
      <c r="S38" s="381">
        <f>EINSTELLUNG!F32</f>
        <v>0</v>
      </c>
      <c r="T38" s="381"/>
      <c r="U38" s="381">
        <f t="shared" si="2"/>
        <v>0</v>
      </c>
      <c r="V38" s="382"/>
    </row>
    <row r="39" spans="1:22" ht="21.95" customHeight="1" x14ac:dyDescent="0.35">
      <c r="A39" s="363" t="s">
        <v>105</v>
      </c>
      <c r="B39" s="181"/>
      <c r="C39" s="182"/>
      <c r="D39" s="183"/>
      <c r="E39" s="184"/>
      <c r="F39" s="190"/>
      <c r="G39" s="364" t="str">
        <f>IF(OR(E39="",F39=""),"",PID_KVLohnLookup($A$1,E39,F39,LOHNTABELLE!$H$4))</f>
        <v/>
      </c>
      <c r="H39" s="365" t="str">
        <f>IF(AND(ISNUMBER(D39),ISNUMBER(F39)),ROUNDDOWN(MIN(IF(OR(ISBLANK(I39),I39=""),EOMONTH(DATE(EINSTELLUNG!$C$35,$A$1,1),0),I39)-MAX(D39,DATE(EINSTELLUNG!$C$35,$A$1,1))+1)/DAY(EOMONTH(DATE(EINSTELLUNG!$C$35,$A$1,1),0))*F39,2),"")</f>
        <v/>
      </c>
      <c r="I39" s="186"/>
      <c r="J39" s="187"/>
      <c r="K39" s="364" t="str">
        <f t="shared" si="1"/>
        <v/>
      </c>
      <c r="L39" s="366"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188"/>
      <c r="N39" s="189"/>
      <c r="O39" s="379" t="s">
        <v>106</v>
      </c>
      <c r="P39" s="380"/>
      <c r="Q39" s="408">
        <f>IF(Q38=0, 0, Q35/Q38)</f>
        <v>0</v>
      </c>
      <c r="R39" s="408"/>
      <c r="S39" s="408">
        <f>IF(S38=0, 0, S35/S38)</f>
        <v>0</v>
      </c>
      <c r="T39" s="408"/>
      <c r="U39" s="408">
        <f t="shared" si="2"/>
        <v>0</v>
      </c>
      <c r="V39" s="409"/>
    </row>
    <row r="40" spans="1:22" ht="21.95" customHeight="1" x14ac:dyDescent="0.35">
      <c r="A40" s="363" t="s">
        <v>107</v>
      </c>
      <c r="B40" s="152"/>
      <c r="C40" s="153"/>
      <c r="D40" s="154"/>
      <c r="E40" s="155"/>
      <c r="F40" s="156"/>
      <c r="G40" s="364" t="str">
        <f>IF(OR(E40="",F40=""),"",PID_KVLohnLookup($A$1,E40,F40,LOHNTABELLE!$H$4))</f>
        <v/>
      </c>
      <c r="H40" s="365" t="str">
        <f>IF(AND(ISNUMBER(D40),ISNUMBER(F40)),ROUNDDOWN(MIN(IF(OR(ISBLANK(I40),I40=""),EOMONTH(DATE(EINSTELLUNG!$C$35,$A$1,1),0),I40)-MAX(D40,DATE(EINSTELLUNG!$C$35,$A$1,1))+1)/DAY(EOMONTH(DATE(EINSTELLUNG!$C$35,$A$1,1),0))*F40,2),"")</f>
        <v/>
      </c>
      <c r="I40" s="158"/>
      <c r="J40" s="165"/>
      <c r="K40" s="364" t="str">
        <f t="shared" si="1"/>
        <v/>
      </c>
      <c r="L40" s="366"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167"/>
      <c r="N40" s="168"/>
      <c r="O40" s="379" t="s">
        <v>108</v>
      </c>
      <c r="P40" s="380"/>
      <c r="Q40" s="408">
        <f>IF(Q12=0, 0, Q35/Q12)</f>
        <v>0</v>
      </c>
      <c r="R40" s="408"/>
      <c r="S40" s="408">
        <f>IF(Q12=0, 0, S35/Q12)</f>
        <v>0</v>
      </c>
      <c r="T40" s="408"/>
      <c r="U40" s="408">
        <f t="shared" si="2"/>
        <v>0</v>
      </c>
      <c r="V40" s="409"/>
    </row>
    <row r="41" spans="1:22" ht="21.95" customHeight="1" x14ac:dyDescent="0.35">
      <c r="A41" s="363" t="s">
        <v>109</v>
      </c>
      <c r="B41" s="181"/>
      <c r="C41" s="182"/>
      <c r="D41" s="183"/>
      <c r="E41" s="184"/>
      <c r="F41" s="190"/>
      <c r="G41" s="364" t="str">
        <f>IF(OR(E41="",F41=""),"",PID_KVLohnLookup($A$1,E41,F41,LOHNTABELLE!$H$4))</f>
        <v/>
      </c>
      <c r="H41" s="365" t="str">
        <f>IF(AND(ISNUMBER(D41),ISNUMBER(F41)),ROUNDDOWN(MIN(IF(OR(ISBLANK(I41),I41=""),EOMONTH(DATE(EINSTELLUNG!$C$35,$A$1,1),0),I41)-MAX(D41,DATE(EINSTELLUNG!$C$35,$A$1,1))+1)/DAY(EOMONTH(DATE(EINSTELLUNG!$C$35,$A$1,1),0))*F41,2),"")</f>
        <v/>
      </c>
      <c r="I41" s="186"/>
      <c r="J41" s="187"/>
      <c r="K41" s="364" t="str">
        <f t="shared" si="1"/>
        <v/>
      </c>
      <c r="L41" s="366"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188"/>
      <c r="N41" s="189"/>
      <c r="O41" s="412" t="s">
        <v>110</v>
      </c>
      <c r="P41" s="413"/>
      <c r="Q41" s="414">
        <f>IF(Q12=0, 0, Q38/Q12)</f>
        <v>0</v>
      </c>
      <c r="R41" s="414"/>
      <c r="S41" s="414">
        <f>IF(Q12=0, 0, S38/Q12)</f>
        <v>0</v>
      </c>
      <c r="T41" s="414"/>
      <c r="U41" s="414">
        <f t="shared" si="2"/>
        <v>0</v>
      </c>
      <c r="V41" s="415"/>
    </row>
    <row r="42" spans="1:22" ht="21.95" customHeight="1" thickBot="1" x14ac:dyDescent="0.4">
      <c r="A42" s="363" t="s">
        <v>111</v>
      </c>
      <c r="B42" s="152"/>
      <c r="C42" s="153"/>
      <c r="D42" s="154"/>
      <c r="E42" s="155"/>
      <c r="F42" s="156"/>
      <c r="G42" s="364" t="str">
        <f>IF(OR(E42="",F42=""),"",PID_KVLohnLookup($A$1,E42,F42,LOHNTABELLE!$H$4))</f>
        <v/>
      </c>
      <c r="H42" s="365" t="str">
        <f>IF(AND(ISNUMBER(D42),ISNUMBER(F42)),ROUNDDOWN(MIN(IF(OR(ISBLANK(I42),I42=""),EOMONTH(DATE(EINSTELLUNG!$C$35,$A$1,1),0),I42)-MAX(D42,DATE(EINSTELLUNG!$C$35,$A$1,1))+1)/DAY(EOMONTH(DATE(EINSTELLUNG!$C$35,$A$1,1),0))*F42,2),"")</f>
        <v/>
      </c>
      <c r="I42" s="158"/>
      <c r="J42" s="165"/>
      <c r="K42" s="364" t="str">
        <f t="shared" si="1"/>
        <v/>
      </c>
      <c r="L42" s="366"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167"/>
      <c r="N42" s="169"/>
      <c r="O42" s="416" t="s">
        <v>112</v>
      </c>
      <c r="P42" s="394"/>
      <c r="Q42" s="417">
        <f>IFERROR(Q17/Q8, 0)</f>
        <v>11.925457796411617</v>
      </c>
      <c r="R42" s="418"/>
      <c r="S42" s="417"/>
      <c r="T42" s="417"/>
      <c r="U42" s="417"/>
      <c r="V42" s="396"/>
    </row>
    <row r="43" spans="1:22" ht="21.95" customHeight="1" x14ac:dyDescent="0.35">
      <c r="A43" s="363" t="s">
        <v>113</v>
      </c>
      <c r="B43" s="181"/>
      <c r="C43" s="182"/>
      <c r="D43" s="183"/>
      <c r="E43" s="184"/>
      <c r="F43" s="190"/>
      <c r="G43" s="364" t="str">
        <f>IF(OR(E43="",F43=""),"",PID_KVLohnLookup($A$1,E43,F43,LOHNTABELLE!$H$4))</f>
        <v/>
      </c>
      <c r="H43" s="365" t="str">
        <f>IF(AND(ISNUMBER(D43),ISNUMBER(F43)),ROUNDDOWN(MIN(IF(OR(ISBLANK(I43),I43=""),EOMONTH(DATE(EINSTELLUNG!$C$35,$A$1,1),0),I43)-MAX(D43,DATE(EINSTELLUNG!$C$35,$A$1,1))+1)/DAY(EOMONTH(DATE(EINSTELLUNG!$C$35,$A$1,1),0))*F43,2),"")</f>
        <v/>
      </c>
      <c r="I43" s="186"/>
      <c r="J43" s="187"/>
      <c r="K43" s="364" t="str">
        <f t="shared" si="1"/>
        <v/>
      </c>
      <c r="L43" s="366"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91"/>
      <c r="N43" s="189"/>
      <c r="O43" s="419"/>
      <c r="P43" s="419"/>
      <c r="Q43" s="419"/>
      <c r="R43" s="361"/>
      <c r="S43" s="361"/>
      <c r="T43" s="361"/>
      <c r="U43" s="361"/>
      <c r="V43" s="361"/>
    </row>
    <row r="44" spans="1:22" ht="21.95" customHeight="1" x14ac:dyDescent="0.35">
      <c r="A44" s="363" t="s">
        <v>114</v>
      </c>
      <c r="B44" s="152"/>
      <c r="C44" s="153"/>
      <c r="D44" s="154"/>
      <c r="E44" s="155"/>
      <c r="F44" s="156"/>
      <c r="G44" s="364" t="str">
        <f>IF(OR(E44="",F44=""),"",PID_KVLohnLookup($A$1,E44,F44,LOHNTABELLE!$H$4))</f>
        <v/>
      </c>
      <c r="H44" s="365" t="str">
        <f>IF(AND(ISNUMBER(D44),ISNUMBER(F44)),ROUNDDOWN(MIN(IF(OR(ISBLANK(I44),I44=""),EOMONTH(DATE(EINSTELLUNG!$C$35,$A$1,1),0),I44)-MAX(D44,DATE(EINSTELLUNG!$C$35,$A$1,1))+1)/DAY(EOMONTH(DATE(EINSTELLUNG!$C$35,$A$1,1),0))*F44,2),"")</f>
        <v/>
      </c>
      <c r="I44" s="158"/>
      <c r="J44" s="165"/>
      <c r="K44" s="364" t="str">
        <f t="shared" si="1"/>
        <v/>
      </c>
      <c r="L44" s="366"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70"/>
      <c r="N44" s="168"/>
      <c r="O44" s="420" t="s">
        <v>115</v>
      </c>
      <c r="P44" s="420"/>
      <c r="Q44" s="420"/>
      <c r="R44" s="420"/>
      <c r="S44" s="420"/>
      <c r="T44" s="420"/>
      <c r="U44" s="420"/>
      <c r="V44" s="420"/>
    </row>
    <row r="45" spans="1:22" ht="21.95" customHeight="1" x14ac:dyDescent="0.35">
      <c r="A45" s="363" t="s">
        <v>116</v>
      </c>
      <c r="B45" s="181"/>
      <c r="C45" s="182"/>
      <c r="D45" s="183"/>
      <c r="E45" s="184"/>
      <c r="F45" s="190"/>
      <c r="G45" s="364" t="str">
        <f>IF(OR(E45="",F45=""),"",PID_KVLohnLookup($A$1,E45,F45,LOHNTABELLE!$H$4))</f>
        <v/>
      </c>
      <c r="H45" s="365" t="str">
        <f>IF(AND(ISNUMBER(D45),ISNUMBER(F45)),ROUNDDOWN(MIN(IF(OR(ISBLANK(I45),I45=""),EOMONTH(DATE(EINSTELLUNG!$C$35,$A$1,1),0),I45)-MAX(D45,DATE(EINSTELLUNG!$C$35,$A$1,1))+1)/DAY(EOMONTH(DATE(EINSTELLUNG!$C$35,$A$1,1),0))*F45,2),"")</f>
        <v/>
      </c>
      <c r="I45" s="186"/>
      <c r="J45" s="187"/>
      <c r="K45" s="364" t="str">
        <f t="shared" si="1"/>
        <v/>
      </c>
      <c r="L45" s="366"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91"/>
      <c r="N45" s="189"/>
      <c r="O45" s="421"/>
      <c r="P45" s="421"/>
      <c r="Q45" s="421"/>
      <c r="R45" s="422"/>
      <c r="S45" s="422"/>
      <c r="T45" s="422"/>
      <c r="U45" s="422"/>
      <c r="V45" s="361"/>
    </row>
    <row r="46" spans="1:22" ht="21.95" customHeight="1" x14ac:dyDescent="0.35">
      <c r="A46" s="363" t="s">
        <v>117</v>
      </c>
      <c r="B46" s="152"/>
      <c r="C46" s="153"/>
      <c r="D46" s="158"/>
      <c r="E46" s="155"/>
      <c r="F46" s="156"/>
      <c r="G46" s="364" t="str">
        <f>IF(OR(E46="",F46=""),"",PID_KVLohnLookup($A$1,E46,F46,LOHNTABELLE!$H$4))</f>
        <v/>
      </c>
      <c r="H46" s="365" t="str">
        <f>IF(AND(ISNUMBER(D46),ISNUMBER(F46)),ROUNDDOWN(MIN(IF(OR(ISBLANK(I46),I46=""),EOMONTH(DATE(EINSTELLUNG!$C$35,$A$1,1),0),I46)-MAX(D46,DATE(EINSTELLUNG!$C$35,$A$1,1))+1)/DAY(EOMONTH(DATE(EINSTELLUNG!$C$35,$A$1,1),0))*F46,2),"")</f>
        <v/>
      </c>
      <c r="I46" s="158"/>
      <c r="J46" s="165"/>
      <c r="K46" s="364" t="str">
        <f t="shared" si="1"/>
        <v/>
      </c>
      <c r="L46" s="366"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70"/>
      <c r="N46" s="168"/>
      <c r="O46" s="361"/>
      <c r="P46" s="361"/>
      <c r="Q46" s="361"/>
      <c r="R46" s="361"/>
      <c r="S46" s="361"/>
      <c r="T46" s="361"/>
      <c r="U46" s="361"/>
      <c r="V46" s="361"/>
    </row>
    <row r="47" spans="1:22" ht="21.95" customHeight="1" x14ac:dyDescent="0.35">
      <c r="A47" s="363" t="s">
        <v>118</v>
      </c>
      <c r="B47" s="181"/>
      <c r="C47" s="182"/>
      <c r="D47" s="183"/>
      <c r="E47" s="184"/>
      <c r="F47" s="190"/>
      <c r="G47" s="364" t="str">
        <f>IF(OR(E47="",F47=""),"",PID_KVLohnLookup($A$1,E47,F47,LOHNTABELLE!$H$4))</f>
        <v/>
      </c>
      <c r="H47" s="365" t="str">
        <f>IF(AND(ISNUMBER(D47),ISNUMBER(F47)),ROUNDDOWN(MIN(IF(OR(ISBLANK(I47),I47=""),EOMONTH(DATE(EINSTELLUNG!$C$35,$A$1,1),0),I47)-MAX(D47,DATE(EINSTELLUNG!$C$35,$A$1,1))+1)/DAY(EOMONTH(DATE(EINSTELLUNG!$C$35,$A$1,1),0))*F47,2),"")</f>
        <v/>
      </c>
      <c r="I47" s="186"/>
      <c r="J47" s="187"/>
      <c r="K47" s="364" t="str">
        <f t="shared" si="1"/>
        <v/>
      </c>
      <c r="L47" s="366"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91"/>
      <c r="N47" s="189"/>
      <c r="O47" s="361"/>
      <c r="P47" s="361"/>
      <c r="Q47" s="361"/>
      <c r="R47" s="361"/>
      <c r="S47" s="361"/>
      <c r="T47" s="361"/>
      <c r="U47" s="361"/>
      <c r="V47" s="361"/>
    </row>
    <row r="48" spans="1:22" ht="18" customHeight="1" x14ac:dyDescent="0.35">
      <c r="A48" s="363" t="s">
        <v>119</v>
      </c>
      <c r="B48" s="152"/>
      <c r="C48" s="153"/>
      <c r="D48" s="154"/>
      <c r="E48" s="155"/>
      <c r="F48" s="156"/>
      <c r="G48" s="364" t="str">
        <f>IF(OR(E48="",F48=""),"",PID_KVLohnLookup($A$1,E48,F48,LOHNTABELLE!$H$4))</f>
        <v/>
      </c>
      <c r="H48" s="365" t="str">
        <f>IF(AND(ISNUMBER(D48),ISNUMBER(F48)),ROUNDDOWN(MIN(IF(OR(ISBLANK(I48),I48=""),EOMONTH(DATE(EINSTELLUNG!$C$35,$A$1,1),0),I48)-MAX(D48,DATE(EINSTELLUNG!$C$35,$A$1,1))+1)/DAY(EOMONTH(DATE(EINSTELLUNG!$C$35,$A$1,1),0))*F48,2),"")</f>
        <v/>
      </c>
      <c r="I48" s="158"/>
      <c r="J48" s="165"/>
      <c r="K48" s="364" t="str">
        <f t="shared" si="1"/>
        <v/>
      </c>
      <c r="L48" s="366"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70"/>
      <c r="N48" s="168"/>
      <c r="O48" s="361"/>
      <c r="P48" s="361"/>
      <c r="Q48" s="361"/>
      <c r="R48" s="361"/>
      <c r="S48" s="361"/>
      <c r="T48" s="361"/>
      <c r="U48" s="361"/>
      <c r="V48" s="361"/>
    </row>
    <row r="49" spans="1:22" ht="21.95" customHeight="1" x14ac:dyDescent="0.35">
      <c r="A49" s="363" t="s">
        <v>120</v>
      </c>
      <c r="B49" s="181"/>
      <c r="C49" s="182"/>
      <c r="D49" s="183"/>
      <c r="E49" s="184"/>
      <c r="F49" s="190"/>
      <c r="G49" s="364" t="str">
        <f>IF(OR(E49="",F49=""),"",PID_KVLohnLookup($A$1,E49,F49,LOHNTABELLE!$H$4))</f>
        <v/>
      </c>
      <c r="H49" s="365" t="str">
        <f>IF(AND(ISNUMBER(D49),ISNUMBER(F49)),ROUNDDOWN(MIN(IF(OR(ISBLANK(I49),I49=""),EOMONTH(DATE(EINSTELLUNG!$C$35,$A$1,1),0),I49)-MAX(D49,DATE(EINSTELLUNG!$C$35,$A$1,1))+1)/DAY(EOMONTH(DATE(EINSTELLUNG!$C$35,$A$1,1),0))*F49,2),"")</f>
        <v/>
      </c>
      <c r="I49" s="186"/>
      <c r="J49" s="187"/>
      <c r="K49" s="364" t="str">
        <f t="shared" si="1"/>
        <v/>
      </c>
      <c r="L49" s="366"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91"/>
      <c r="N49" s="189"/>
      <c r="O49" s="361"/>
      <c r="P49" s="361"/>
      <c r="Q49" s="361"/>
      <c r="R49" s="361"/>
      <c r="S49" s="361"/>
      <c r="T49" s="361"/>
      <c r="U49" s="361"/>
      <c r="V49" s="361"/>
    </row>
    <row r="50" spans="1:22" ht="18" customHeight="1" x14ac:dyDescent="0.35">
      <c r="A50" s="363" t="s">
        <v>121</v>
      </c>
      <c r="B50" s="152"/>
      <c r="C50" s="153"/>
      <c r="D50" s="154"/>
      <c r="E50" s="155"/>
      <c r="F50" s="156"/>
      <c r="G50" s="364" t="str">
        <f>IF(OR(E50="",F50=""),"",PID_KVLohnLookup($A$1,E50,F50,LOHNTABELLE!$H$4))</f>
        <v/>
      </c>
      <c r="H50" s="365" t="str">
        <f>IF(AND(ISNUMBER(D50),ISNUMBER(F50)),ROUNDDOWN(MIN(IF(OR(ISBLANK(I50),I50=""),EOMONTH(DATE(EINSTELLUNG!$C$35,$A$1,1),0),I50)-MAX(D50,DATE(EINSTELLUNG!$C$35,$A$1,1))+1)/DAY(EOMONTH(DATE(EINSTELLUNG!$C$35,$A$1,1),0))*F50,2),"")</f>
        <v/>
      </c>
      <c r="I50" s="158"/>
      <c r="J50" s="165"/>
      <c r="K50" s="364" t="str">
        <f t="shared" si="1"/>
        <v/>
      </c>
      <c r="L50" s="366"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70"/>
      <c r="N50" s="168"/>
      <c r="O50" s="361"/>
      <c r="P50" s="361"/>
      <c r="Q50" s="361"/>
      <c r="R50" s="361"/>
      <c r="S50" s="361"/>
      <c r="T50" s="361"/>
      <c r="U50" s="361"/>
      <c r="V50" s="361"/>
    </row>
    <row r="51" spans="1:22" ht="21.95" customHeight="1" x14ac:dyDescent="0.35">
      <c r="A51" s="363" t="s">
        <v>122</v>
      </c>
      <c r="B51" s="181"/>
      <c r="C51" s="182"/>
      <c r="D51" s="183"/>
      <c r="E51" s="184"/>
      <c r="F51" s="190"/>
      <c r="G51" s="364" t="str">
        <f>IF(OR(E51="",F51=""),"",PID_KVLohnLookup($A$1,E51,F51,LOHNTABELLE!$H$4))</f>
        <v/>
      </c>
      <c r="H51" s="365" t="str">
        <f>IF(AND(ISNUMBER(D51),ISNUMBER(F51)),ROUNDDOWN(MIN(IF(OR(ISBLANK(I51),I51=""),EOMONTH(DATE(EINSTELLUNG!$C$35,$A$1,1),0),I51)-MAX(D51,DATE(EINSTELLUNG!$C$35,$A$1,1))+1)/DAY(EOMONTH(DATE(EINSTELLUNG!$C$35,$A$1,1),0))*F51,2),"")</f>
        <v/>
      </c>
      <c r="I51" s="186"/>
      <c r="J51" s="187"/>
      <c r="K51" s="364" t="str">
        <f t="shared" si="1"/>
        <v/>
      </c>
      <c r="L51" s="366"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188"/>
      <c r="N51" s="192"/>
    </row>
    <row r="52" spans="1:22" ht="21.95" customHeight="1" x14ac:dyDescent="0.35">
      <c r="A52" s="363" t="s">
        <v>123</v>
      </c>
      <c r="B52" s="152"/>
      <c r="C52" s="153"/>
      <c r="D52" s="154"/>
      <c r="E52" s="155"/>
      <c r="F52" s="156"/>
      <c r="G52" s="364" t="str">
        <f>IF(OR(E52="",F52=""),"",PID_KVLohnLookup($A$1,E52,F52,LOHNTABELLE!$H$4))</f>
        <v/>
      </c>
      <c r="H52" s="365" t="str">
        <f>IF(AND(ISNUMBER(D52),ISNUMBER(F52)),ROUNDDOWN(MIN(IF(OR(ISBLANK(I52),I52=""),EOMONTH(DATE(EINSTELLUNG!$C$35,$A$1,1),0),I52)-MAX(D52,DATE(EINSTELLUNG!$C$35,$A$1,1))+1)/DAY(EOMONTH(DATE(EINSTELLUNG!$C$35,$A$1,1),0))*F52,2),"")</f>
        <v/>
      </c>
      <c r="I52" s="158"/>
      <c r="J52" s="165"/>
      <c r="K52" s="364" t="str">
        <f t="shared" si="1"/>
        <v/>
      </c>
      <c r="L52" s="366"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167"/>
      <c r="N52" s="168"/>
    </row>
    <row r="53" spans="1:22" ht="21.95" customHeight="1" x14ac:dyDescent="0.35">
      <c r="A53" s="363" t="s">
        <v>124</v>
      </c>
      <c r="B53" s="181"/>
      <c r="C53" s="182"/>
      <c r="D53" s="183"/>
      <c r="E53" s="184"/>
      <c r="F53" s="190"/>
      <c r="G53" s="364" t="str">
        <f>IF(OR(E53="",F53=""),"",PID_KVLohnLookup($A$1,E53,F53,LOHNTABELLE!$H$4))</f>
        <v/>
      </c>
      <c r="H53" s="365" t="str">
        <f>IF(AND(ISNUMBER(D53),ISNUMBER(F53)),ROUNDDOWN(MIN(IF(OR(ISBLANK(I53),I53=""),EOMONTH(DATE(EINSTELLUNG!$C$35,$A$1,1),0),I53)-MAX(D53,DATE(EINSTELLUNG!$C$35,$A$1,1))+1)/DAY(EOMONTH(DATE(EINSTELLUNG!$C$35,$A$1,1),0))*F53,2),"")</f>
        <v/>
      </c>
      <c r="I53" s="186"/>
      <c r="J53" s="187"/>
      <c r="K53" s="364" t="str">
        <f t="shared" si="1"/>
        <v/>
      </c>
      <c r="L53" s="366"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188"/>
      <c r="N53" s="189"/>
    </row>
    <row r="54" spans="1:22" ht="21.95" customHeight="1" x14ac:dyDescent="0.35">
      <c r="A54" s="363" t="s">
        <v>125</v>
      </c>
      <c r="B54" s="152"/>
      <c r="C54" s="153"/>
      <c r="D54" s="154"/>
      <c r="E54" s="155"/>
      <c r="F54" s="156"/>
      <c r="G54" s="364" t="str">
        <f>IF(OR(E54="",F54=""),"",PID_KVLohnLookup($A$1,E54,F54,LOHNTABELLE!$H$4))</f>
        <v/>
      </c>
      <c r="H54" s="365" t="str">
        <f>IF(AND(ISNUMBER(D54),ISNUMBER(F54)),ROUNDDOWN(MIN(IF(OR(ISBLANK(I54),I54=""),EOMONTH(DATE(EINSTELLUNG!$C$35,$A$1,1),0),I54)-MAX(D54,DATE(EINSTELLUNG!$C$35,$A$1,1))+1)/DAY(EOMONTH(DATE(EINSTELLUNG!$C$35,$A$1,1),0))*F54,2),"")</f>
        <v/>
      </c>
      <c r="I54" s="158"/>
      <c r="J54" s="165"/>
      <c r="K54" s="364" t="str">
        <f t="shared" si="1"/>
        <v/>
      </c>
      <c r="L54" s="366"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167"/>
      <c r="N54" s="168"/>
    </row>
    <row r="55" spans="1:22" ht="21.95" customHeight="1" x14ac:dyDescent="0.35">
      <c r="A55" s="363" t="s">
        <v>126</v>
      </c>
      <c r="B55" s="181"/>
      <c r="C55" s="182"/>
      <c r="D55" s="186"/>
      <c r="E55" s="184"/>
      <c r="F55" s="190"/>
      <c r="G55" s="364" t="str">
        <f>IF(OR(E55="",F55=""),"",PID_KVLohnLookup($A$1,E55,F55,LOHNTABELLE!$H$4))</f>
        <v/>
      </c>
      <c r="H55" s="365" t="str">
        <f>IF(AND(ISNUMBER(D55),ISNUMBER(F55)),ROUNDDOWN(MIN(IF(OR(ISBLANK(I55),I55=""),EOMONTH(DATE(EINSTELLUNG!$C$35,$A$1,1),0),I55)-MAX(D55,DATE(EINSTELLUNG!$C$35,$A$1,1))+1)/DAY(EOMONTH(DATE(EINSTELLUNG!$C$35,$A$1,1),0))*F55,2),"")</f>
        <v/>
      </c>
      <c r="I55" s="186"/>
      <c r="J55" s="187"/>
      <c r="K55" s="364" t="str">
        <f t="shared" si="1"/>
        <v/>
      </c>
      <c r="L55" s="366"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188"/>
      <c r="N55" s="189"/>
    </row>
    <row r="56" spans="1:22" ht="21.95" customHeight="1" x14ac:dyDescent="0.35">
      <c r="A56" s="363" t="s">
        <v>127</v>
      </c>
      <c r="B56" s="152"/>
      <c r="C56" s="153"/>
      <c r="D56" s="154"/>
      <c r="E56" s="155"/>
      <c r="F56" s="156"/>
      <c r="G56" s="364" t="str">
        <f>IF(OR(E56="",F56=""),"",PID_KVLohnLookup($A$1,E56,F56,LOHNTABELLE!$H$4))</f>
        <v/>
      </c>
      <c r="H56" s="365" t="str">
        <f>IF(AND(ISNUMBER(D56),ISNUMBER(F56)),ROUNDDOWN(MIN(IF(OR(ISBLANK(I56),I56=""),EOMONTH(DATE(EINSTELLUNG!$C$35,$A$1,1),0),I56)-MAX(D56,DATE(EINSTELLUNG!$C$35,$A$1,1))+1)/DAY(EOMONTH(DATE(EINSTELLUNG!$C$35,$A$1,1),0))*F56,2),"")</f>
        <v/>
      </c>
      <c r="I56" s="158"/>
      <c r="J56" s="165"/>
      <c r="K56" s="364" t="str">
        <f t="shared" si="1"/>
        <v/>
      </c>
      <c r="L56" s="366"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167"/>
      <c r="N56" s="168"/>
    </row>
    <row r="57" spans="1:22" ht="21.95" customHeight="1" x14ac:dyDescent="0.35">
      <c r="A57" s="363" t="s">
        <v>128</v>
      </c>
      <c r="B57" s="181"/>
      <c r="C57" s="182"/>
      <c r="D57" s="186"/>
      <c r="E57" s="184"/>
      <c r="F57" s="190"/>
      <c r="G57" s="364" t="str">
        <f>IF(OR(E57="",F57=""),"",PID_KVLohnLookup($A$1,E57,F57,LOHNTABELLE!$H$4))</f>
        <v/>
      </c>
      <c r="H57" s="365" t="str">
        <f>IF(AND(ISNUMBER(D57),ISNUMBER(F57)),ROUNDDOWN(MIN(IF(OR(ISBLANK(I57),I57=""),EOMONTH(DATE(EINSTELLUNG!$C$35,$A$1,1),0),I57)-MAX(D57,DATE(EINSTELLUNG!$C$35,$A$1,1))+1)/DAY(EOMONTH(DATE(EINSTELLUNG!$C$35,$A$1,1),0))*F57,2),"")</f>
        <v/>
      </c>
      <c r="I57" s="186"/>
      <c r="J57" s="187"/>
      <c r="K57" s="364" t="str">
        <f t="shared" si="1"/>
        <v/>
      </c>
      <c r="L57" s="366"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188"/>
      <c r="N57" s="189"/>
    </row>
    <row r="58" spans="1:22" ht="21.95" customHeight="1" x14ac:dyDescent="0.35">
      <c r="A58" s="363" t="s">
        <v>129</v>
      </c>
      <c r="B58" s="152"/>
      <c r="C58" s="153"/>
      <c r="D58" s="158"/>
      <c r="E58" s="155"/>
      <c r="F58" s="156"/>
      <c r="G58" s="364" t="str">
        <f>IF(OR(E58="",F58=""),"",PID_KVLohnLookup($A$1,E58,F58,LOHNTABELLE!$H$4))</f>
        <v/>
      </c>
      <c r="H58" s="365" t="str">
        <f>IF(AND(ISNUMBER(D58),ISNUMBER(F58)),ROUNDDOWN(MIN(IF(OR(ISBLANK(I58),I58=""),EOMONTH(DATE(EINSTELLUNG!$C$35,$A$1,1),0),I58)-MAX(D58,DATE(EINSTELLUNG!$C$35,$A$1,1))+1)/DAY(EOMONTH(DATE(EINSTELLUNG!$C$35,$A$1,1),0))*F58,2),"")</f>
        <v/>
      </c>
      <c r="I58" s="158"/>
      <c r="J58" s="165"/>
      <c r="K58" s="364" t="str">
        <f t="shared" si="1"/>
        <v/>
      </c>
      <c r="L58" s="366"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167"/>
      <c r="N58" s="168"/>
    </row>
    <row r="59" spans="1:22" ht="21.95" customHeight="1" x14ac:dyDescent="0.35">
      <c r="A59" s="363" t="s">
        <v>130</v>
      </c>
      <c r="B59" s="181"/>
      <c r="C59" s="182"/>
      <c r="D59" s="186"/>
      <c r="E59" s="184"/>
      <c r="F59" s="190"/>
      <c r="G59" s="364" t="str">
        <f>IF(OR(E59="",F59=""),"",PID_KVLohnLookup($A$1,E59,F59,LOHNTABELLE!$H$4))</f>
        <v/>
      </c>
      <c r="H59" s="365" t="str">
        <f>IF(AND(ISNUMBER(D59),ISNUMBER(F59)),ROUNDDOWN(MIN(IF(OR(ISBLANK(I59),I59=""),EOMONTH(DATE(EINSTELLUNG!$C$35,$A$1,1),0),I59)-MAX(D59,DATE(EINSTELLUNG!$C$35,$A$1,1))+1)/DAY(EOMONTH(DATE(EINSTELLUNG!$C$35,$A$1,1),0))*F59,2),"")</f>
        <v/>
      </c>
      <c r="I59" s="186"/>
      <c r="J59" s="187"/>
      <c r="K59" s="364" t="str">
        <f t="shared" si="1"/>
        <v/>
      </c>
      <c r="L59" s="366"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188"/>
      <c r="N59" s="189"/>
    </row>
    <row r="60" spans="1:22" ht="21.95" customHeight="1" x14ac:dyDescent="0.35">
      <c r="A60" s="363" t="s">
        <v>131</v>
      </c>
      <c r="B60" s="152"/>
      <c r="C60" s="153"/>
      <c r="D60" s="154"/>
      <c r="E60" s="155"/>
      <c r="F60" s="156"/>
      <c r="G60" s="364" t="str">
        <f>IF(OR(E60="",F60=""),"",PID_KVLohnLookup($A$1,E60,F60,LOHNTABELLE!$H$4))</f>
        <v/>
      </c>
      <c r="H60" s="365" t="str">
        <f>IF(AND(ISNUMBER(D60),ISNUMBER(F60)),ROUNDDOWN(MIN(IF(OR(ISBLANK(I60),I60=""),EOMONTH(DATE(EINSTELLUNG!$C$35,$A$1,1),0),I60)-MAX(D60,DATE(EINSTELLUNG!$C$35,$A$1,1))+1)/DAY(EOMONTH(DATE(EINSTELLUNG!$C$35,$A$1,1),0))*F60,2),"")</f>
        <v/>
      </c>
      <c r="I60" s="158"/>
      <c r="J60" s="165"/>
      <c r="K60" s="364" t="str">
        <f t="shared" si="1"/>
        <v/>
      </c>
      <c r="L60" s="366"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167"/>
      <c r="N60" s="168"/>
    </row>
    <row r="61" spans="1:22" ht="21.95" customHeight="1" x14ac:dyDescent="0.35">
      <c r="A61" s="363" t="s">
        <v>132</v>
      </c>
      <c r="B61" s="181"/>
      <c r="C61" s="182"/>
      <c r="D61" s="186"/>
      <c r="E61" s="184"/>
      <c r="F61" s="190"/>
      <c r="G61" s="364" t="str">
        <f>IF(OR(E61="",F61=""),"",PID_KVLohnLookup($A$1,E61,F61,LOHNTABELLE!$H$4))</f>
        <v/>
      </c>
      <c r="H61" s="365" t="str">
        <f>IF(AND(ISNUMBER(D61),ISNUMBER(F61)),ROUNDDOWN(MIN(IF(OR(ISBLANK(I61),I61=""),EOMONTH(DATE(EINSTELLUNG!$C$35,$A$1,1),0),I61)-MAX(D61,DATE(EINSTELLUNG!$C$35,$A$1,1))+1)/DAY(EOMONTH(DATE(EINSTELLUNG!$C$35,$A$1,1),0))*F61,2),"")</f>
        <v/>
      </c>
      <c r="I61" s="186"/>
      <c r="J61" s="187"/>
      <c r="K61" s="364" t="str">
        <f t="shared" si="1"/>
        <v/>
      </c>
      <c r="L61" s="366"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88"/>
      <c r="N61" s="189"/>
    </row>
    <row r="62" spans="1:22" ht="21.95" customHeight="1" x14ac:dyDescent="0.35">
      <c r="A62" s="363" t="s">
        <v>133</v>
      </c>
      <c r="B62" s="152"/>
      <c r="C62" s="153"/>
      <c r="D62" s="158"/>
      <c r="E62" s="155"/>
      <c r="F62" s="156"/>
      <c r="G62" s="364" t="str">
        <f>IF(OR(E62="",F62=""),"",PID_KVLohnLookup($A$1,E62,F62,LOHNTABELLE!$H$4))</f>
        <v/>
      </c>
      <c r="H62" s="365" t="str">
        <f>IF(AND(ISNUMBER(D62),ISNUMBER(F62)),ROUNDDOWN(MIN(IF(OR(ISBLANK(I62),I62=""),EOMONTH(DATE(EINSTELLUNG!$C$35,$A$1,1),0),I62)-MAX(D62,DATE(EINSTELLUNG!$C$35,$A$1,1))+1)/DAY(EOMONTH(DATE(EINSTELLUNG!$C$35,$A$1,1),0))*F62,2),"")</f>
        <v/>
      </c>
      <c r="I62" s="158"/>
      <c r="J62" s="165"/>
      <c r="K62" s="364" t="str">
        <f t="shared" si="1"/>
        <v/>
      </c>
      <c r="L62" s="366"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167"/>
      <c r="N62" s="168"/>
    </row>
    <row r="63" spans="1:22" ht="21.95" customHeight="1" x14ac:dyDescent="0.35">
      <c r="A63" s="363" t="s">
        <v>134</v>
      </c>
      <c r="B63" s="181"/>
      <c r="C63" s="182"/>
      <c r="D63" s="186"/>
      <c r="E63" s="184"/>
      <c r="F63" s="190"/>
      <c r="G63" s="364" t="str">
        <f>IF(OR(E63="",F63=""),"",PID_KVLohnLookup($A$1,E63,F63,LOHNTABELLE!$H$4))</f>
        <v/>
      </c>
      <c r="H63" s="365" t="str">
        <f>IF(AND(ISNUMBER(D63),ISNUMBER(F63)),ROUNDDOWN(MIN(IF(OR(ISBLANK(I63),I63=""),EOMONTH(DATE(EINSTELLUNG!$C$35,$A$1,1),0),I63)-MAX(D63,DATE(EINSTELLUNG!$C$35,$A$1,1))+1)/DAY(EOMONTH(DATE(EINSTELLUNG!$C$35,$A$1,1),0))*F63,2),"")</f>
        <v/>
      </c>
      <c r="I63" s="186"/>
      <c r="J63" s="187"/>
      <c r="K63" s="364" t="str">
        <f t="shared" si="1"/>
        <v/>
      </c>
      <c r="L63" s="366"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88"/>
      <c r="N63" s="189"/>
    </row>
    <row r="64" spans="1:22" ht="21.95" customHeight="1" x14ac:dyDescent="0.35">
      <c r="A64" s="363" t="s">
        <v>135</v>
      </c>
      <c r="B64" s="152"/>
      <c r="C64" s="159"/>
      <c r="D64" s="158"/>
      <c r="E64" s="155"/>
      <c r="F64" s="156"/>
      <c r="G64" s="364" t="str">
        <f>IF(OR(E64="",F64=""),"",PID_KVLohnLookup($A$1,E64,F64,LOHNTABELLE!$H$4))</f>
        <v/>
      </c>
      <c r="H64" s="365" t="str">
        <f>IF(AND(ISNUMBER(D64),ISNUMBER(F64)),ROUNDDOWN(MIN(IF(OR(ISBLANK(I64),I64=""),EOMONTH(DATE(EINSTELLUNG!$C$35,$A$1,1),0),I64)-MAX(D64,DATE(EINSTELLUNG!$C$35,$A$1,1))+1)/DAY(EOMONTH(DATE(EINSTELLUNG!$C$35,$A$1,1),0))*F64,2),"")</f>
        <v/>
      </c>
      <c r="I64" s="158"/>
      <c r="J64" s="165"/>
      <c r="K64" s="364" t="str">
        <f t="shared" si="1"/>
        <v/>
      </c>
      <c r="L64" s="366"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167"/>
      <c r="N64" s="168"/>
    </row>
    <row r="65" spans="1:14" ht="21.95" customHeight="1" x14ac:dyDescent="0.35">
      <c r="A65" s="363" t="s">
        <v>136</v>
      </c>
      <c r="B65" s="181"/>
      <c r="C65" s="182"/>
      <c r="D65" s="186"/>
      <c r="E65" s="184"/>
      <c r="F65" s="190"/>
      <c r="G65" s="364" t="str">
        <f>IF(OR(E65="",F65=""),"",PID_KVLohnLookup($A$1,E65,F65,LOHNTABELLE!$H$4))</f>
        <v/>
      </c>
      <c r="H65" s="365" t="str">
        <f>IF(AND(ISNUMBER(D65),ISNUMBER(F65)),ROUNDDOWN(MIN(IF(OR(ISBLANK(I65),I65=""),EOMONTH(DATE(EINSTELLUNG!$C$35,$A$1,1),0),I65)-MAX(D65,DATE(EINSTELLUNG!$C$35,$A$1,1))+1)/DAY(EOMONTH(DATE(EINSTELLUNG!$C$35,$A$1,1),0))*F65,2),"")</f>
        <v/>
      </c>
      <c r="I65" s="186"/>
      <c r="J65" s="187"/>
      <c r="K65" s="364" t="str">
        <f t="shared" si="1"/>
        <v/>
      </c>
      <c r="L65" s="366"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88"/>
      <c r="N65" s="189"/>
    </row>
    <row r="66" spans="1:14" ht="21.95" customHeight="1" x14ac:dyDescent="0.35">
      <c r="A66" s="363" t="s">
        <v>137</v>
      </c>
      <c r="B66" s="152"/>
      <c r="C66" s="153"/>
      <c r="D66" s="158"/>
      <c r="E66" s="155"/>
      <c r="F66" s="156"/>
      <c r="G66" s="364" t="str">
        <f>IF(OR(E66="",F66=""),"",PID_KVLohnLookup($A$1,E66,F66,LOHNTABELLE!$H$4))</f>
        <v/>
      </c>
      <c r="H66" s="365" t="str">
        <f>IF(AND(ISNUMBER(D66),ISNUMBER(F66)),ROUNDDOWN(MIN(IF(OR(ISBLANK(I66),I66=""),EOMONTH(DATE(EINSTELLUNG!$C$35,$A$1,1),0),I66)-MAX(D66,DATE(EINSTELLUNG!$C$35,$A$1,1))+1)/DAY(EOMONTH(DATE(EINSTELLUNG!$C$35,$A$1,1),0))*F66,2),"")</f>
        <v/>
      </c>
      <c r="I66" s="158"/>
      <c r="J66" s="165"/>
      <c r="K66" s="364" t="str">
        <f t="shared" si="1"/>
        <v/>
      </c>
      <c r="L66" s="366"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167"/>
      <c r="N66" s="168"/>
    </row>
    <row r="67" spans="1:14" ht="21.95" customHeight="1" x14ac:dyDescent="0.35">
      <c r="A67" s="363" t="s">
        <v>138</v>
      </c>
      <c r="B67" s="181"/>
      <c r="C67" s="182"/>
      <c r="D67" s="186"/>
      <c r="E67" s="184"/>
      <c r="F67" s="190"/>
      <c r="G67" s="364" t="str">
        <f>IF(OR(E67="",F67=""),"",PID_KVLohnLookup($A$1,E67,F67,LOHNTABELLE!$H$4))</f>
        <v/>
      </c>
      <c r="H67" s="365" t="str">
        <f>IF(AND(ISNUMBER(D67),ISNUMBER(F67)),ROUNDDOWN(MIN(IF(OR(ISBLANK(I67),I67=""),EOMONTH(DATE(EINSTELLUNG!$C$35,$A$1,1),0),I67)-MAX(D67,DATE(EINSTELLUNG!$C$35,$A$1,1))+1)/DAY(EOMONTH(DATE(EINSTELLUNG!$C$35,$A$1,1),0))*F67,2),"")</f>
        <v/>
      </c>
      <c r="I67" s="186"/>
      <c r="J67" s="187"/>
      <c r="K67" s="364" t="str">
        <f t="shared" ref="K67:K98" si="3">IF(OR(B67="",C67=""),"",IFERROR(IF(OR(MONTH(D67)=1,MONTH(D67)=3,MONTH(D67)=5,MONTH(D67)=7,MONTH(D67)=8,MONTH(D67)=10,MONTH(D67)=12),(G67/31)*J67,IF(OR(MONTH(D67)=4,MONTH(D67)=6,MONTH(D67)=9,MONTH(D67)=11),(G67/30)*J67,(G67/DAY(EOMONTH(D67,0)))*J67)),0))</f>
        <v/>
      </c>
      <c r="L67" s="366"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88"/>
      <c r="N67" s="189"/>
    </row>
    <row r="68" spans="1:14" ht="21.95" customHeight="1" x14ac:dyDescent="0.35">
      <c r="A68" s="363" t="s">
        <v>139</v>
      </c>
      <c r="B68" s="152"/>
      <c r="C68" s="153"/>
      <c r="D68" s="158"/>
      <c r="E68" s="155"/>
      <c r="F68" s="156"/>
      <c r="G68" s="364" t="str">
        <f>IF(OR(E68="",F68=""),"",PID_KVLohnLookup($A$1,E68,F68,LOHNTABELLE!$H$4))</f>
        <v/>
      </c>
      <c r="H68" s="365" t="str">
        <f>IF(AND(ISNUMBER(D68),ISNUMBER(F68)),ROUNDDOWN(MIN(IF(OR(ISBLANK(I68),I68=""),EOMONTH(DATE(EINSTELLUNG!$C$35,$A$1,1),0),I68)-MAX(D68,DATE(EINSTELLUNG!$C$35,$A$1,1))+1)/DAY(EOMONTH(DATE(EINSTELLUNG!$C$35,$A$1,1),0))*F68,2),"")</f>
        <v/>
      </c>
      <c r="I68" s="158"/>
      <c r="J68" s="165"/>
      <c r="K68" s="364" t="str">
        <f t="shared" si="3"/>
        <v/>
      </c>
      <c r="L68" s="366"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167"/>
      <c r="N68" s="168"/>
    </row>
    <row r="69" spans="1:14" ht="21.95" customHeight="1" x14ac:dyDescent="0.35">
      <c r="A69" s="363" t="s">
        <v>140</v>
      </c>
      <c r="B69" s="181"/>
      <c r="C69" s="182"/>
      <c r="D69" s="186"/>
      <c r="E69" s="184"/>
      <c r="F69" s="190"/>
      <c r="G69" s="364" t="str">
        <f>IF(OR(E69="",F69=""),"",PID_KVLohnLookup($A$1,E69,F69,LOHNTABELLE!$H$4))</f>
        <v/>
      </c>
      <c r="H69" s="365" t="str">
        <f>IF(AND(ISNUMBER(D69),ISNUMBER(F69)),ROUNDDOWN(MIN(IF(OR(ISBLANK(I69),I69=""),EOMONTH(DATE(EINSTELLUNG!$C$35,$A$1,1),0),I69)-MAX(D69,DATE(EINSTELLUNG!$C$35,$A$1,1))+1)/DAY(EOMONTH(DATE(EINSTELLUNG!$C$35,$A$1,1),0))*F69,2),"")</f>
        <v/>
      </c>
      <c r="I69" s="186"/>
      <c r="J69" s="187"/>
      <c r="K69" s="364" t="str">
        <f t="shared" si="3"/>
        <v/>
      </c>
      <c r="L69" s="366"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88"/>
      <c r="N69" s="189"/>
    </row>
    <row r="70" spans="1:14" ht="21.95" customHeight="1" x14ac:dyDescent="0.35">
      <c r="A70" s="363" t="s">
        <v>141</v>
      </c>
      <c r="B70" s="152"/>
      <c r="C70" s="153"/>
      <c r="D70" s="158"/>
      <c r="E70" s="155"/>
      <c r="F70" s="156"/>
      <c r="G70" s="364" t="str">
        <f>IF(OR(E70="",F70=""),"",PID_KVLohnLookup($A$1,E70,F70,LOHNTABELLE!$H$4))</f>
        <v/>
      </c>
      <c r="H70" s="365" t="str">
        <f>IF(AND(ISNUMBER(D70),ISNUMBER(F70)),ROUNDDOWN(MIN(IF(OR(ISBLANK(I70),I70=""),EOMONTH(DATE(EINSTELLUNG!$C$35,$A$1,1),0),I70)-MAX(D70,DATE(EINSTELLUNG!$C$35,$A$1,1))+1)/DAY(EOMONTH(DATE(EINSTELLUNG!$C$35,$A$1,1),0))*F70,2),"")</f>
        <v/>
      </c>
      <c r="I70" s="158"/>
      <c r="J70" s="165"/>
      <c r="K70" s="364" t="str">
        <f t="shared" si="3"/>
        <v/>
      </c>
      <c r="L70" s="366"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167"/>
      <c r="N70" s="168"/>
    </row>
    <row r="71" spans="1:14" ht="21.95" customHeight="1" x14ac:dyDescent="0.35">
      <c r="A71" s="363" t="s">
        <v>142</v>
      </c>
      <c r="B71" s="181"/>
      <c r="C71" s="182"/>
      <c r="D71" s="186"/>
      <c r="E71" s="184"/>
      <c r="F71" s="190"/>
      <c r="G71" s="364" t="str">
        <f>IF(OR(E71="",F71=""),"",PID_KVLohnLookup($A$1,E71,F71,LOHNTABELLE!$H$4))</f>
        <v/>
      </c>
      <c r="H71" s="365" t="str">
        <f>IF(AND(ISNUMBER(D71),ISNUMBER(F71)),ROUNDDOWN(MIN(IF(OR(ISBLANK(I71),I71=""),EOMONTH(DATE(EINSTELLUNG!$C$35,$A$1,1),0),I71)-MAX(D71,DATE(EINSTELLUNG!$C$35,$A$1,1))+1)/DAY(EOMONTH(DATE(EINSTELLUNG!$C$35,$A$1,1),0))*F71,2),"")</f>
        <v/>
      </c>
      <c r="I71" s="186"/>
      <c r="J71" s="187"/>
      <c r="K71" s="364" t="str">
        <f t="shared" si="3"/>
        <v/>
      </c>
      <c r="L71" s="366"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88"/>
      <c r="N71" s="189"/>
    </row>
    <row r="72" spans="1:14" ht="21.95" customHeight="1" x14ac:dyDescent="0.35">
      <c r="A72" s="363" t="s">
        <v>143</v>
      </c>
      <c r="B72" s="152"/>
      <c r="C72" s="153"/>
      <c r="D72" s="158"/>
      <c r="E72" s="155"/>
      <c r="F72" s="156"/>
      <c r="G72" s="364" t="str">
        <f>IF(OR(E72="",F72=""),"",PID_KVLohnLookup($A$1,E72,F72,LOHNTABELLE!$H$4))</f>
        <v/>
      </c>
      <c r="H72" s="365" t="str">
        <f>IF(AND(ISNUMBER(D72),ISNUMBER(F72)),ROUNDDOWN(MIN(IF(OR(ISBLANK(I72),I72=""),EOMONTH(DATE(EINSTELLUNG!$C$35,$A$1,1),0),I72)-MAX(D72,DATE(EINSTELLUNG!$C$35,$A$1,1))+1)/DAY(EOMONTH(DATE(EINSTELLUNG!$C$35,$A$1,1),0))*F72,2),"")</f>
        <v/>
      </c>
      <c r="I72" s="158"/>
      <c r="J72" s="165"/>
      <c r="K72" s="364" t="str">
        <f t="shared" si="3"/>
        <v/>
      </c>
      <c r="L72" s="366"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167"/>
      <c r="N72" s="168"/>
    </row>
    <row r="73" spans="1:14" ht="21.95" customHeight="1" x14ac:dyDescent="0.35">
      <c r="A73" s="363" t="s">
        <v>144</v>
      </c>
      <c r="B73" s="181"/>
      <c r="C73" s="182"/>
      <c r="D73" s="186"/>
      <c r="E73" s="184"/>
      <c r="F73" s="190"/>
      <c r="G73" s="364" t="str">
        <f>IF(OR(E73="",F73=""),"",PID_KVLohnLookup($A$1,E73,F73,LOHNTABELLE!$H$4))</f>
        <v/>
      </c>
      <c r="H73" s="365" t="str">
        <f>IF(AND(ISNUMBER(D73),ISNUMBER(F73)),ROUNDDOWN(MIN(IF(OR(ISBLANK(I73),I73=""),EOMONTH(DATE(EINSTELLUNG!$C$35,$A$1,1),0),I73)-MAX(D73,DATE(EINSTELLUNG!$C$35,$A$1,1))+1)/DAY(EOMONTH(DATE(EINSTELLUNG!$C$35,$A$1,1),0))*F73,2),"")</f>
        <v/>
      </c>
      <c r="I73" s="186"/>
      <c r="J73" s="187"/>
      <c r="K73" s="364" t="str">
        <f t="shared" si="3"/>
        <v/>
      </c>
      <c r="L73" s="366"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88"/>
      <c r="N73" s="189"/>
    </row>
    <row r="74" spans="1:14" ht="21.95" customHeight="1" x14ac:dyDescent="0.35">
      <c r="A74" s="363" t="s">
        <v>145</v>
      </c>
      <c r="B74" s="152"/>
      <c r="C74" s="153"/>
      <c r="D74" s="158"/>
      <c r="E74" s="155"/>
      <c r="F74" s="156"/>
      <c r="G74" s="364" t="str">
        <f>IF(OR(E74="",F74=""),"",PID_KVLohnLookup($A$1,E74,F74,LOHNTABELLE!$H$4))</f>
        <v/>
      </c>
      <c r="H74" s="365" t="str">
        <f>IF(AND(ISNUMBER(D74),ISNUMBER(F74)),ROUNDDOWN(MIN(IF(OR(ISBLANK(I74),I74=""),EOMONTH(DATE(EINSTELLUNG!$C$35,$A$1,1),0),I74)-MAX(D74,DATE(EINSTELLUNG!$C$35,$A$1,1))+1)/DAY(EOMONTH(DATE(EINSTELLUNG!$C$35,$A$1,1),0))*F74,2),"")</f>
        <v/>
      </c>
      <c r="I74" s="158"/>
      <c r="J74" s="165"/>
      <c r="K74" s="364" t="str">
        <f t="shared" si="3"/>
        <v/>
      </c>
      <c r="L74" s="366"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167"/>
      <c r="N74" s="168"/>
    </row>
    <row r="75" spans="1:14" ht="21.95" customHeight="1" x14ac:dyDescent="0.35">
      <c r="A75" s="363" t="s">
        <v>146</v>
      </c>
      <c r="B75" s="181"/>
      <c r="C75" s="182"/>
      <c r="D75" s="186"/>
      <c r="E75" s="184"/>
      <c r="F75" s="190"/>
      <c r="G75" s="364" t="str">
        <f>IF(OR(E75="",F75=""),"",PID_KVLohnLookup($A$1,E75,F75,LOHNTABELLE!$H$4))</f>
        <v/>
      </c>
      <c r="H75" s="365" t="str">
        <f>IF(AND(ISNUMBER(D75),ISNUMBER(F75)),ROUNDDOWN(MIN(IF(OR(ISBLANK(I75),I75=""),EOMONTH(DATE(EINSTELLUNG!$C$35,$A$1,1),0),I75)-MAX(D75,DATE(EINSTELLUNG!$C$35,$A$1,1))+1)/DAY(EOMONTH(DATE(EINSTELLUNG!$C$35,$A$1,1),0))*F75,2),"")</f>
        <v/>
      </c>
      <c r="I75" s="186"/>
      <c r="J75" s="187"/>
      <c r="K75" s="364" t="str">
        <f t="shared" si="3"/>
        <v/>
      </c>
      <c r="L75" s="366"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88"/>
      <c r="N75" s="189"/>
    </row>
    <row r="76" spans="1:14" ht="21.95" customHeight="1" x14ac:dyDescent="0.35">
      <c r="A76" s="363" t="s">
        <v>147</v>
      </c>
      <c r="B76" s="152"/>
      <c r="C76" s="153"/>
      <c r="D76" s="158"/>
      <c r="E76" s="155"/>
      <c r="F76" s="156"/>
      <c r="G76" s="364" t="str">
        <f>IF(OR(E76="",F76=""),"",PID_KVLohnLookup($A$1,E76,F76,LOHNTABELLE!$H$4))</f>
        <v/>
      </c>
      <c r="H76" s="365" t="str">
        <f>IF(AND(ISNUMBER(D76),ISNUMBER(F76)),ROUNDDOWN(MIN(IF(OR(ISBLANK(I76),I76=""),EOMONTH(DATE(EINSTELLUNG!$C$35,$A$1,1),0),I76)-MAX(D76,DATE(EINSTELLUNG!$C$35,$A$1,1))+1)/DAY(EOMONTH(DATE(EINSTELLUNG!$C$35,$A$1,1),0))*F76,2),"")</f>
        <v/>
      </c>
      <c r="I76" s="158"/>
      <c r="J76" s="165"/>
      <c r="K76" s="364" t="str">
        <f t="shared" si="3"/>
        <v/>
      </c>
      <c r="L76" s="366"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167"/>
      <c r="N76" s="168"/>
    </row>
    <row r="77" spans="1:14" ht="21.95" customHeight="1" x14ac:dyDescent="0.35">
      <c r="A77" s="363" t="s">
        <v>148</v>
      </c>
      <c r="B77" s="181"/>
      <c r="C77" s="182"/>
      <c r="D77" s="186"/>
      <c r="E77" s="184"/>
      <c r="F77" s="190"/>
      <c r="G77" s="364" t="str">
        <f>IF(OR(E77="",F77=""),"",PID_KVLohnLookup($A$1,E77,F77,LOHNTABELLE!$H$4))</f>
        <v/>
      </c>
      <c r="H77" s="365" t="str">
        <f>IF(AND(ISNUMBER(D77),ISNUMBER(F77)),ROUNDDOWN(MIN(IF(OR(ISBLANK(I77),I77=""),EOMONTH(DATE(EINSTELLUNG!$C$35,$A$1,1),0),I77)-MAX(D77,DATE(EINSTELLUNG!$C$35,$A$1,1))+1)/DAY(EOMONTH(DATE(EINSTELLUNG!$C$35,$A$1,1),0))*F77,2),"")</f>
        <v/>
      </c>
      <c r="I77" s="186"/>
      <c r="J77" s="187"/>
      <c r="K77" s="364" t="str">
        <f t="shared" si="3"/>
        <v/>
      </c>
      <c r="L77" s="366"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88"/>
      <c r="N77" s="189"/>
    </row>
    <row r="78" spans="1:14" ht="21.95" customHeight="1" x14ac:dyDescent="0.35">
      <c r="A78" s="363" t="s">
        <v>149</v>
      </c>
      <c r="B78" s="152"/>
      <c r="C78" s="153"/>
      <c r="D78" s="158"/>
      <c r="E78" s="155"/>
      <c r="F78" s="156"/>
      <c r="G78" s="364" t="str">
        <f>IF(OR(E78="",F78=""),"",PID_KVLohnLookup($A$1,E78,F78,LOHNTABELLE!$H$4))</f>
        <v/>
      </c>
      <c r="H78" s="365" t="str">
        <f>IF(AND(ISNUMBER(D78),ISNUMBER(F78)),ROUNDDOWN(MIN(IF(OR(ISBLANK(I78),I78=""),EOMONTH(DATE(EINSTELLUNG!$C$35,$A$1,1),0),I78)-MAX(D78,DATE(EINSTELLUNG!$C$35,$A$1,1))+1)/DAY(EOMONTH(DATE(EINSTELLUNG!$C$35,$A$1,1),0))*F78,2),"")</f>
        <v/>
      </c>
      <c r="I78" s="158"/>
      <c r="J78" s="165"/>
      <c r="K78" s="364" t="str">
        <f t="shared" si="3"/>
        <v/>
      </c>
      <c r="L78" s="366"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167"/>
      <c r="N78" s="168"/>
    </row>
    <row r="79" spans="1:14" ht="21.95" customHeight="1" x14ac:dyDescent="0.35">
      <c r="A79" s="363" t="s">
        <v>150</v>
      </c>
      <c r="B79" s="181"/>
      <c r="C79" s="182"/>
      <c r="D79" s="186"/>
      <c r="E79" s="184"/>
      <c r="F79" s="190"/>
      <c r="G79" s="364" t="str">
        <f>IF(OR(E79="",F79=""),"",PID_KVLohnLookup($A$1,E79,F79,LOHNTABELLE!$H$4))</f>
        <v/>
      </c>
      <c r="H79" s="365" t="str">
        <f>IF(AND(ISNUMBER(D79),ISNUMBER(F79)),ROUNDDOWN(MIN(IF(OR(ISBLANK(I79),I79=""),EOMONTH(DATE(EINSTELLUNG!$C$35,$A$1,1),0),I79)-MAX(D79,DATE(EINSTELLUNG!$C$35,$A$1,1))+1)/DAY(EOMONTH(DATE(EINSTELLUNG!$C$35,$A$1,1),0))*F79,2),"")</f>
        <v/>
      </c>
      <c r="I79" s="186"/>
      <c r="J79" s="187"/>
      <c r="K79" s="364" t="str">
        <f t="shared" si="3"/>
        <v/>
      </c>
      <c r="L79" s="366"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88"/>
      <c r="N79" s="189"/>
    </row>
    <row r="80" spans="1:14" ht="21.95" customHeight="1" x14ac:dyDescent="0.35">
      <c r="A80" s="363" t="s">
        <v>151</v>
      </c>
      <c r="B80" s="152"/>
      <c r="C80" s="153"/>
      <c r="D80" s="158"/>
      <c r="E80" s="155"/>
      <c r="F80" s="156"/>
      <c r="G80" s="364" t="str">
        <f>IF(OR(E80="",F80=""),"",PID_KVLohnLookup($A$1,E80,F80,LOHNTABELLE!$H$4))</f>
        <v/>
      </c>
      <c r="H80" s="365" t="str">
        <f>IF(AND(ISNUMBER(D80),ISNUMBER(F80)),ROUNDDOWN(MIN(IF(OR(ISBLANK(I80),I80=""),EOMONTH(DATE(EINSTELLUNG!$C$35,$A$1,1),0),I80)-MAX(D80,DATE(EINSTELLUNG!$C$35,$A$1,1))+1)/DAY(EOMONTH(DATE(EINSTELLUNG!$C$35,$A$1,1),0))*F80,2),"")</f>
        <v/>
      </c>
      <c r="I80" s="158"/>
      <c r="J80" s="165"/>
      <c r="K80" s="364" t="str">
        <f t="shared" si="3"/>
        <v/>
      </c>
      <c r="L80" s="366"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167"/>
      <c r="N80" s="168"/>
    </row>
    <row r="81" spans="1:14" ht="21.95" customHeight="1" x14ac:dyDescent="0.35">
      <c r="A81" s="363" t="s">
        <v>152</v>
      </c>
      <c r="B81" s="181"/>
      <c r="C81" s="182"/>
      <c r="D81" s="186"/>
      <c r="E81" s="184"/>
      <c r="F81" s="190"/>
      <c r="G81" s="364" t="str">
        <f>IF(OR(E81="",F81=""),"",PID_KVLohnLookup($A$1,E81,F81,LOHNTABELLE!$H$4))</f>
        <v/>
      </c>
      <c r="H81" s="365" t="str">
        <f>IF(AND(ISNUMBER(D81),ISNUMBER(F81)),ROUNDDOWN(MIN(IF(OR(ISBLANK(I81),I81=""),EOMONTH(DATE(EINSTELLUNG!$C$35,$A$1,1),0),I81)-MAX(D81,DATE(EINSTELLUNG!$C$35,$A$1,1))+1)/DAY(EOMONTH(DATE(EINSTELLUNG!$C$35,$A$1,1),0))*F81,2),"")</f>
        <v/>
      </c>
      <c r="I81" s="186"/>
      <c r="J81" s="187"/>
      <c r="K81" s="364" t="str">
        <f t="shared" si="3"/>
        <v/>
      </c>
      <c r="L81" s="366"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88"/>
      <c r="N81" s="189"/>
    </row>
    <row r="82" spans="1:14" ht="21.95" customHeight="1" thickBot="1" x14ac:dyDescent="0.4">
      <c r="A82" s="423" t="s">
        <v>153</v>
      </c>
      <c r="B82" s="160"/>
      <c r="C82" s="161"/>
      <c r="D82" s="162"/>
      <c r="E82" s="163"/>
      <c r="F82" s="164"/>
      <c r="G82" s="424" t="str">
        <f>IF(OR(E82="",F82=""),"",PID_KVLohnLookup($A$1,E82,F82,LOHNTABELLE!$H$4))</f>
        <v/>
      </c>
      <c r="H82" s="425" t="str">
        <f>IF(AND(ISNUMBER(D82),ISNUMBER(F82)),ROUNDDOWN(MIN(IF(OR(ISBLANK(I82),I82=""),EOMONTH(DATE(EINSTELLUNG!$C$35,$A$1,1),0),I82)-MAX(D82,DATE(EINSTELLUNG!$C$35,$A$1,1))+1)/DAY(EOMONTH(DATE(EINSTELLUNG!$C$35,$A$1,1),0))*F82,2),"")</f>
        <v/>
      </c>
      <c r="I82" s="162"/>
      <c r="J82" s="166"/>
      <c r="K82" s="424" t="str">
        <f t="shared" si="3"/>
        <v/>
      </c>
      <c r="L82" s="42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71"/>
      <c r="N82" s="172"/>
    </row>
    <row r="83" spans="1:14" ht="15.95" customHeight="1" x14ac:dyDescent="0.3">
      <c r="A83" s="462"/>
      <c r="B83" s="462"/>
    </row>
    <row r="100" spans="26:26" ht="15.95" customHeight="1" x14ac:dyDescent="0.3">
      <c r="Z100" s="343"/>
    </row>
  </sheetData>
  <sheetProtection algorithmName="SHA-512" hashValue="iVq2tR8ZCVG/G8nCbAniHdFzrttptCBujEVUh9ofFFfMR2CcK+2hQIYTKM0GidsBrQc7zLoM+vTrzJkZq2pTNQ==" saltValue="/x1Sv+qfvMxm9P+6JuijAw==" spinCount="100000" sheet="1" objects="1" scenarios="1"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ACE5A5D-96CE-4105-A90D-02368B9132D7}">
          <x14:formula1>
            <xm:f>KV_DROPDOWN_HELPER!$AJY$1:$AJY$12</xm:f>
          </x14:formula1>
          <xm:sqref>E3:E82</xm:sqref>
        </x14:dataValidation>
        <x14:dataValidation type="list" allowBlank="1" showInputMessage="1" showErrorMessage="1" xr:uid="{0B2F1335-BC1F-46DF-A375-2D71BAC9F285}">
          <x14:formula1>
            <xm:f>KV_DROPDOWN_HELPER!$ADU$1:$ADU$13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40625" defaultRowHeight="15.95" customHeight="1" x14ac:dyDescent="0.3"/>
  <cols>
    <col min="1" max="1" width="4.42578125" style="427" customWidth="1"/>
    <col min="2" max="2" width="9.140625" style="427" customWidth="1"/>
    <col min="3" max="3" width="35.5703125" style="263" customWidth="1"/>
    <col min="4" max="4" width="13.5703125" style="263" customWidth="1"/>
    <col min="5" max="5" width="9.5703125" style="263" customWidth="1"/>
    <col min="6" max="6" width="10.5703125" style="263" customWidth="1"/>
    <col min="7" max="7" width="13.5703125" style="263" customWidth="1"/>
    <col min="8" max="8" width="11.5703125" style="263" customWidth="1"/>
    <col min="9" max="10" width="13.5703125" style="263" customWidth="1"/>
    <col min="11" max="11" width="14.5703125" style="263" customWidth="1"/>
    <col min="12" max="12" width="14.5703125" style="389" customWidth="1"/>
    <col min="13" max="13" width="17.85546875" style="263" customWidth="1"/>
    <col min="14" max="14" width="34.5703125" style="263" customWidth="1"/>
    <col min="15" max="15" width="12.5703125" style="263" customWidth="1"/>
    <col min="16" max="16" width="16.5703125" style="263" customWidth="1"/>
    <col min="17" max="17" width="14.5703125" style="263" customWidth="1"/>
    <col min="18" max="18" width="13.5703125" style="263" customWidth="1"/>
    <col min="19" max="19" width="9.5703125" style="263" customWidth="1"/>
    <col min="20" max="20" width="10.5703125" style="263" customWidth="1"/>
    <col min="21" max="21" width="7.5703125" style="263" customWidth="1"/>
    <col min="22" max="27" width="9.140625" style="263"/>
    <col min="28" max="28" width="10.5703125" style="263" bestFit="1" customWidth="1"/>
    <col min="29" max="16384" width="9.140625" style="263"/>
  </cols>
  <sheetData>
    <row r="1" spans="1:28" ht="18" customHeight="1" x14ac:dyDescent="0.3">
      <c r="A1" s="344">
        <v>12</v>
      </c>
      <c r="B1" s="345" t="s">
        <v>179</v>
      </c>
      <c r="C1" s="346" t="s">
        <v>39</v>
      </c>
      <c r="D1" s="346" t="s">
        <v>180</v>
      </c>
      <c r="E1" s="346" t="s">
        <v>0</v>
      </c>
      <c r="F1" s="346" t="s">
        <v>40</v>
      </c>
      <c r="G1" s="346" t="s">
        <v>41</v>
      </c>
      <c r="H1" s="346" t="s">
        <v>42</v>
      </c>
      <c r="I1" s="346" t="s">
        <v>181</v>
      </c>
      <c r="J1" s="346" t="s">
        <v>43</v>
      </c>
      <c r="K1" s="346" t="s">
        <v>44</v>
      </c>
      <c r="L1" s="346" t="s">
        <v>45</v>
      </c>
      <c r="M1" s="346" t="s">
        <v>46</v>
      </c>
      <c r="N1" s="347" t="s">
        <v>182</v>
      </c>
      <c r="AB1" s="348">
        <f>DATE(EINSTELLUNG!$C$35,$A$1,1)</f>
        <v>46357</v>
      </c>
    </row>
    <row r="2" spans="1:28" ht="18" customHeight="1" thickBot="1" x14ac:dyDescent="0.35">
      <c r="A2" s="349"/>
      <c r="B2" s="350"/>
      <c r="C2" s="351"/>
      <c r="D2" s="351"/>
      <c r="E2" s="351"/>
      <c r="F2" s="351"/>
      <c r="G2" s="351"/>
      <c r="H2" s="351"/>
      <c r="I2" s="351"/>
      <c r="J2" s="351"/>
      <c r="K2" s="351"/>
      <c r="L2" s="351"/>
      <c r="M2" s="351"/>
      <c r="N2" s="352"/>
      <c r="O2" s="353"/>
      <c r="P2" s="353"/>
      <c r="Q2" s="353"/>
      <c r="S2" s="354" t="s">
        <v>291</v>
      </c>
      <c r="T2" s="354"/>
      <c r="U2" s="354"/>
      <c r="V2" s="354"/>
      <c r="AB2" s="348">
        <f>EOMONTH(DATE(EINSTELLUNG!$C$35,$A$1,1),0)</f>
        <v>46387</v>
      </c>
    </row>
    <row r="3" spans="1:28" ht="21.95" customHeight="1" x14ac:dyDescent="0.35">
      <c r="A3" s="355" t="s">
        <v>292</v>
      </c>
      <c r="B3" s="173">
        <v>21867</v>
      </c>
      <c r="C3" s="151" t="s">
        <v>385</v>
      </c>
      <c r="D3" s="177">
        <v>46023</v>
      </c>
      <c r="E3" s="175" t="s">
        <v>2</v>
      </c>
      <c r="F3" s="176">
        <v>173</v>
      </c>
      <c r="G3" s="356">
        <f>IF(OR(E3="",F3=""),"",PID_KVLohnLookup($A$1,E3,F3,LOHNTABELLE!$H$4))</f>
        <v>2100</v>
      </c>
      <c r="H3" s="357">
        <f>IF(AND(ISNUMBER(D3),ISNUMBER(F3)),ROUNDDOWN(MIN(IF(OR(ISBLANK(I3),I3=""),EOMONTH(DATE(EINSTELLUNG!$C$35,$A$1,1),0),I3)-MAX(D3,DATE(EINSTELLUNG!$C$35,$A$1,1))+1)/DAY(EOMONTH(DATE(EINSTELLUNG!$C$35,$A$1,1),0))*F3,2),"")</f>
        <v>173</v>
      </c>
      <c r="I3" s="177"/>
      <c r="J3" s="178"/>
      <c r="K3" s="356">
        <f t="shared" ref="K3:K34" si="0">IF(OR(B3="",C3=""),"",IFERROR(IF(OR(MONTH(D3)=1,MONTH(D3)=3,MONTH(D3)=5,MONTH(D3)=7,MONTH(D3)=8,MONTH(D3)=10,MONTH(D3)=12),(G3/31)*J3,IF(OR(MONTH(D3)=4,MONTH(D3)=6,MONTH(D3)=9,MONTH(D3)=11),(G3/30)*J3,(G3/DAY(EOMONTH(D3,0)))*J3)),0))</f>
        <v>0</v>
      </c>
      <c r="L3" s="35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2100</v>
      </c>
      <c r="M3" s="179"/>
      <c r="N3" s="180"/>
      <c r="O3" s="359" t="s">
        <v>47</v>
      </c>
      <c r="P3" s="359" t="s">
        <v>48</v>
      </c>
      <c r="Q3" s="359" t="s">
        <v>49</v>
      </c>
      <c r="R3" s="360" t="s">
        <v>50</v>
      </c>
      <c r="S3" s="361"/>
      <c r="T3" s="361"/>
      <c r="U3" s="361"/>
      <c r="V3" s="361"/>
      <c r="AB3" s="362"/>
    </row>
    <row r="4" spans="1:28" ht="21.95" customHeight="1" x14ac:dyDescent="0.35">
      <c r="A4" s="363" t="s">
        <v>51</v>
      </c>
      <c r="B4" s="152">
        <v>221340</v>
      </c>
      <c r="C4" s="153" t="s">
        <v>333</v>
      </c>
      <c r="D4" s="154">
        <v>32994</v>
      </c>
      <c r="E4" s="155" t="s">
        <v>2</v>
      </c>
      <c r="F4" s="156">
        <v>151.38</v>
      </c>
      <c r="G4" s="364">
        <f>IF(OR(E4="",F4=""),"",PID_KVLohnLookup($A$1,E4,F4,LOHNTABELLE!$H$4))</f>
        <v>1768.38</v>
      </c>
      <c r="H4" s="365">
        <f>IF(AND(ISNUMBER(D4),ISNUMBER(F4)),ROUNDDOWN(MIN(IF(OR(ISBLANK(I4),I4=""),EOMONTH(DATE(EINSTELLUNG!$C$35,$A$1,1),0),I4)-MAX(D4,DATE(EINSTELLUNG!$C$35,$A$1,1))+1)/DAY(EOMONTH(DATE(EINSTELLUNG!$C$35,$A$1,1),0))*F4,2),"")</f>
        <v>151.38</v>
      </c>
      <c r="I4" s="158"/>
      <c r="J4" s="165"/>
      <c r="K4" s="364">
        <f t="shared" si="0"/>
        <v>0</v>
      </c>
      <c r="L4" s="366">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1768.38</v>
      </c>
      <c r="M4" s="167"/>
      <c r="N4" s="168"/>
      <c r="O4" s="367"/>
      <c r="P4" s="367"/>
      <c r="Q4" s="367"/>
      <c r="R4" s="368"/>
      <c r="S4" s="361"/>
      <c r="T4" s="361"/>
      <c r="U4" s="361"/>
      <c r="V4" s="361"/>
    </row>
    <row r="5" spans="1:28" ht="21.95" customHeight="1" x14ac:dyDescent="0.35">
      <c r="A5" s="363" t="s">
        <v>52</v>
      </c>
      <c r="B5" s="181"/>
      <c r="C5" s="182"/>
      <c r="D5" s="183"/>
      <c r="E5" s="184"/>
      <c r="F5" s="190"/>
      <c r="G5" s="364" t="str">
        <f>IF(OR(E5="",F5=""),"",PID_KVLohnLookup($A$1,E5,F5,LOHNTABELLE!$H$4))</f>
        <v/>
      </c>
      <c r="H5" s="365" t="str">
        <f>IF(AND(ISNUMBER(D5),ISNUMBER(F5)),ROUNDDOWN(MIN(IF(OR(ISBLANK(I5),I5=""),EOMONTH(DATE(EINSTELLUNG!$C$35,$A$1,1),0),I5)-MAX(D5,DATE(EINSTELLUNG!$C$35,$A$1,1))+1)/DAY(EOMONTH(DATE(EINSTELLUNG!$C$35,$A$1,1),0))*F5,2),"")</f>
        <v/>
      </c>
      <c r="I5" s="186"/>
      <c r="J5" s="187"/>
      <c r="K5" s="364" t="str">
        <f t="shared" si="0"/>
        <v/>
      </c>
      <c r="L5" s="366"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188"/>
      <c r="N5" s="189"/>
      <c r="O5" s="369" cm="1">
        <f t="array" ref="O5">SUMPRODUCT((F3:F82/4.310808)/5*2.08)</f>
        <v>31.303198843465079</v>
      </c>
      <c r="P5" s="370">
        <f>EINSTELLUNG!I17</f>
        <v>0</v>
      </c>
      <c r="Q5" s="370">
        <f>P5-O5</f>
        <v>-31.303198843465079</v>
      </c>
      <c r="R5" s="371">
        <f>IFERROR(Q5*Q42, 0)</f>
        <v>-373.30497670042377</v>
      </c>
      <c r="S5" s="361"/>
      <c r="T5" s="361"/>
      <c r="U5" s="361"/>
      <c r="V5" s="361"/>
    </row>
    <row r="6" spans="1:28" ht="21.95" customHeight="1" x14ac:dyDescent="0.35">
      <c r="A6" s="363" t="s">
        <v>53</v>
      </c>
      <c r="B6" s="152"/>
      <c r="C6" s="153"/>
      <c r="D6" s="154"/>
      <c r="E6" s="155"/>
      <c r="F6" s="156"/>
      <c r="G6" s="364" t="str">
        <f>IF(OR(E6="",F6=""),"",PID_KVLohnLookup($A$1,E6,F6,LOHNTABELLE!$H$4))</f>
        <v/>
      </c>
      <c r="H6" s="365" t="str">
        <f>IF(AND(ISNUMBER(D6),ISNUMBER(F6)),ROUNDDOWN(MIN(IF(OR(ISBLANK(I6),I6=""),EOMONTH(DATE(EINSTELLUNG!$C$35,$A$1,1),0),I6)-MAX(D6,DATE(EINSTELLUNG!$C$35,$A$1,1))+1)/DAY(EOMONTH(DATE(EINSTELLUNG!$C$35,$A$1,1),0))*F6,2),"")</f>
        <v/>
      </c>
      <c r="I6" s="158"/>
      <c r="J6" s="165"/>
      <c r="K6" s="364" t="str">
        <f t="shared" si="0"/>
        <v/>
      </c>
      <c r="L6" s="366"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167"/>
      <c r="N6" s="168"/>
      <c r="O6" s="372" t="str">
        <f>IF(Q5&lt;0, "Schlecht! Zu wenig Urlaub abgebaut.", IF(Q5&gt;0, "Gut! Mehr Urlaub abgebaut als aufgebaut.", ""))</f>
        <v>Schlecht! Zu wenig Urlaub abgebaut.</v>
      </c>
      <c r="P6" s="373"/>
      <c r="Q6" s="373"/>
      <c r="R6" s="374"/>
      <c r="S6" s="361"/>
      <c r="T6" s="361"/>
      <c r="U6" s="361"/>
      <c r="V6" s="361"/>
    </row>
    <row r="7" spans="1:28" ht="21.95" customHeight="1" thickBot="1" x14ac:dyDescent="0.4">
      <c r="A7" s="363" t="s">
        <v>54</v>
      </c>
      <c r="B7" s="181"/>
      <c r="C7" s="182"/>
      <c r="D7" s="183"/>
      <c r="E7" s="184"/>
      <c r="F7" s="190"/>
      <c r="G7" s="364" t="str">
        <f>IF(OR(E7="",F7=""),"",PID_KVLohnLookup($A$1,E7,F7,LOHNTABELLE!$H$4))</f>
        <v/>
      </c>
      <c r="H7" s="365" t="str">
        <f>IF(AND(ISNUMBER(D7),ISNUMBER(F7)),ROUNDDOWN(MIN(IF(OR(ISBLANK(I7),I7=""),EOMONTH(DATE(EINSTELLUNG!$C$35,$A$1,1),0),I7)-MAX(D7,DATE(EINSTELLUNG!$C$35,$A$1,1))+1)/DAY(EOMONTH(DATE(EINSTELLUNG!$C$35,$A$1,1),0))*F7,2),"")</f>
        <v/>
      </c>
      <c r="I7" s="186"/>
      <c r="J7" s="187"/>
      <c r="K7" s="364" t="str">
        <f t="shared" si="0"/>
        <v/>
      </c>
      <c r="L7" s="366"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188"/>
      <c r="N7" s="189"/>
      <c r="O7" s="361"/>
      <c r="P7" s="361"/>
      <c r="Q7" s="361"/>
      <c r="R7" s="361"/>
      <c r="S7" s="361"/>
      <c r="T7" s="361"/>
      <c r="U7" s="361"/>
      <c r="V7" s="361"/>
    </row>
    <row r="8" spans="1:28" ht="21.95" customHeight="1" x14ac:dyDescent="0.35">
      <c r="A8" s="363" t="s">
        <v>55</v>
      </c>
      <c r="B8" s="152"/>
      <c r="C8" s="153"/>
      <c r="D8" s="154"/>
      <c r="E8" s="155"/>
      <c r="F8" s="156"/>
      <c r="G8" s="364" t="str">
        <f>IF(OR(E8="",F8=""),"",PID_KVLohnLookup($A$1,E8,F8,LOHNTABELLE!$H$4))</f>
        <v/>
      </c>
      <c r="H8" s="365" t="str">
        <f>IF(AND(ISNUMBER(D8),ISNUMBER(F8)),ROUNDDOWN(MIN(IF(OR(ISBLANK(I8),I8=""),EOMONTH(DATE(EINSTELLUNG!$C$35,$A$1,1),0),I8)-MAX(D8,DATE(EINSTELLUNG!$C$35,$A$1,1))+1)/DAY(EOMONTH(DATE(EINSTELLUNG!$C$35,$A$1,1),0))*F8,2),"")</f>
        <v/>
      </c>
      <c r="I8" s="158"/>
      <c r="J8" s="165"/>
      <c r="K8" s="364" t="str">
        <f t="shared" si="0"/>
        <v/>
      </c>
      <c r="L8" s="366"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167"/>
      <c r="N8" s="168"/>
      <c r="O8" s="375" t="s">
        <v>56</v>
      </c>
      <c r="P8" s="376"/>
      <c r="Q8" s="377">
        <f>SUM(H3:H82)</f>
        <v>324.38</v>
      </c>
      <c r="R8" s="378"/>
      <c r="S8" s="361"/>
      <c r="T8" s="361"/>
      <c r="U8" s="361"/>
      <c r="V8" s="361"/>
    </row>
    <row r="9" spans="1:28" ht="21.95" customHeight="1" x14ac:dyDescent="0.35">
      <c r="A9" s="363" t="s">
        <v>57</v>
      </c>
      <c r="B9" s="181"/>
      <c r="C9" s="182"/>
      <c r="D9" s="183"/>
      <c r="E9" s="184"/>
      <c r="F9" s="190"/>
      <c r="G9" s="364" t="str">
        <f>IF(OR(E9="",F9=""),"",PID_KVLohnLookup($A$1,E9,F9,LOHNTABELLE!$H$4))</f>
        <v/>
      </c>
      <c r="H9" s="365" t="str">
        <f>IF(AND(ISNUMBER(D9),ISNUMBER(F9)),ROUNDDOWN(MIN(IF(OR(ISBLANK(I9),I9=""),EOMONTH(DATE(EINSTELLUNG!$C$35,$A$1,1),0),I9)-MAX(D9,DATE(EINSTELLUNG!$C$35,$A$1,1))+1)/DAY(EOMONTH(DATE(EINSTELLUNG!$C$35,$A$1,1),0))*F9,2),"")</f>
        <v/>
      </c>
      <c r="I9" s="186"/>
      <c r="J9" s="187"/>
      <c r="K9" s="364" t="str">
        <f t="shared" si="0"/>
        <v/>
      </c>
      <c r="L9" s="366"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188"/>
      <c r="N9" s="189"/>
      <c r="O9" s="379" t="s">
        <v>58</v>
      </c>
      <c r="P9" s="380"/>
      <c r="Q9" s="381">
        <f>EINSTELLUNG!L33</f>
        <v>0</v>
      </c>
      <c r="R9" s="382"/>
      <c r="S9" s="383">
        <f>IFERROR(Q9/Q8, 0)</f>
        <v>0</v>
      </c>
      <c r="T9" s="361"/>
      <c r="U9" s="361"/>
      <c r="V9" s="361"/>
    </row>
    <row r="10" spans="1:28" ht="21.95" customHeight="1" x14ac:dyDescent="0.35">
      <c r="A10" s="363" t="s">
        <v>59</v>
      </c>
      <c r="B10" s="152"/>
      <c r="C10" s="153"/>
      <c r="D10" s="154"/>
      <c r="E10" s="155"/>
      <c r="F10" s="156"/>
      <c r="G10" s="364" t="str">
        <f>IF(OR(E10="",F10=""),"",PID_KVLohnLookup($A$1,E10,F10,LOHNTABELLE!$H$4))</f>
        <v/>
      </c>
      <c r="H10" s="365" t="str">
        <f>IF(AND(ISNUMBER(D10),ISNUMBER(F10)),ROUNDDOWN(MIN(IF(OR(ISBLANK(I10),I10=""),EOMONTH(DATE(EINSTELLUNG!$C$35,$A$1,1),0),I10)-MAX(D10,DATE(EINSTELLUNG!$C$35,$A$1,1))+1)/DAY(EOMONTH(DATE(EINSTELLUNG!$C$35,$A$1,1),0))*F10,2),"")</f>
        <v/>
      </c>
      <c r="I10" s="158"/>
      <c r="J10" s="165"/>
      <c r="K10" s="364" t="str">
        <f t="shared" si="0"/>
        <v/>
      </c>
      <c r="L10" s="366"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167"/>
      <c r="N10" s="168"/>
      <c r="O10" s="379" t="s">
        <v>60</v>
      </c>
      <c r="P10" s="380"/>
      <c r="Q10" s="381">
        <f>EINSTELLUNG!I33</f>
        <v>0</v>
      </c>
      <c r="R10" s="382"/>
      <c r="S10" s="361"/>
      <c r="T10" s="361"/>
      <c r="U10" s="361"/>
      <c r="V10" s="361"/>
    </row>
    <row r="11" spans="1:28" ht="21.95" customHeight="1" x14ac:dyDescent="0.35">
      <c r="A11" s="363" t="s">
        <v>61</v>
      </c>
      <c r="B11" s="181"/>
      <c r="C11" s="182"/>
      <c r="D11" s="183"/>
      <c r="E11" s="184"/>
      <c r="F11" s="190"/>
      <c r="G11" s="364" t="str">
        <f>IF(OR(E11="",F11=""),"",PID_KVLohnLookup($A$1,E11,F11,LOHNTABELLE!$H$4))</f>
        <v/>
      </c>
      <c r="H11" s="365" t="str">
        <f>IF(AND(ISNUMBER(D11),ISNUMBER(F11)),ROUNDDOWN(MIN(IF(OR(ISBLANK(I11),I11=""),EOMONTH(DATE(EINSTELLUNG!$C$35,$A$1,1),0),I11)-MAX(D11,DATE(EINSTELLUNG!$C$35,$A$1,1))+1)/DAY(EOMONTH(DATE(EINSTELLUNG!$C$35,$A$1,1),0))*F11,2),"")</f>
        <v/>
      </c>
      <c r="I11" s="186"/>
      <c r="J11" s="187"/>
      <c r="K11" s="364" t="str">
        <f t="shared" si="0"/>
        <v/>
      </c>
      <c r="L11" s="366"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188"/>
      <c r="N11" s="189"/>
      <c r="O11" s="379" t="s">
        <v>62</v>
      </c>
      <c r="P11" s="380"/>
      <c r="Q11" s="381">
        <f>P5</f>
        <v>0</v>
      </c>
      <c r="R11" s="382"/>
      <c r="S11" s="361"/>
      <c r="T11" s="361"/>
      <c r="U11" s="361"/>
      <c r="V11" s="361"/>
    </row>
    <row r="12" spans="1:28" ht="21.95" customHeight="1" x14ac:dyDescent="0.35">
      <c r="A12" s="363" t="s">
        <v>63</v>
      </c>
      <c r="B12" s="152"/>
      <c r="C12" s="153"/>
      <c r="D12" s="154"/>
      <c r="E12" s="155"/>
      <c r="F12" s="156"/>
      <c r="G12" s="364" t="str">
        <f>IF(OR(E12="",F12=""),"",PID_KVLohnLookup($A$1,E12,F12,LOHNTABELLE!$H$4))</f>
        <v/>
      </c>
      <c r="H12" s="365" t="str">
        <f>IF(AND(ISNUMBER(D12),ISNUMBER(F12)),ROUNDDOWN(MIN(IF(OR(ISBLANK(I12),I12=""),EOMONTH(DATE(EINSTELLUNG!$C$35,$A$1,1),0),I12)-MAX(D12,DATE(EINSTELLUNG!$C$35,$A$1,1))+1)/DAY(EOMONTH(DATE(EINSTELLUNG!$C$35,$A$1,1),0))*F12,2),"")</f>
        <v/>
      </c>
      <c r="I12" s="158"/>
      <c r="J12" s="165"/>
      <c r="K12" s="364" t="str">
        <f t="shared" si="0"/>
        <v/>
      </c>
      <c r="L12" s="366"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167"/>
      <c r="N12" s="168"/>
      <c r="O12" s="379" t="s">
        <v>64</v>
      </c>
      <c r="P12" s="380"/>
      <c r="Q12" s="199">
        <v>-303</v>
      </c>
      <c r="R12" s="200"/>
      <c r="S12" s="361"/>
      <c r="T12" s="361"/>
      <c r="U12" s="361"/>
      <c r="V12" s="361"/>
    </row>
    <row r="13" spans="1:28" ht="21.95" customHeight="1" x14ac:dyDescent="0.35">
      <c r="A13" s="363" t="s">
        <v>65</v>
      </c>
      <c r="B13" s="181"/>
      <c r="C13" s="182"/>
      <c r="D13" s="183"/>
      <c r="E13" s="184"/>
      <c r="F13" s="190"/>
      <c r="G13" s="364" t="str">
        <f>IF(OR(E13="",F13=""),"",PID_KVLohnLookup($A$1,E13,F13,LOHNTABELLE!$H$4))</f>
        <v/>
      </c>
      <c r="H13" s="365" t="str">
        <f>IF(AND(ISNUMBER(D13),ISNUMBER(F13)),ROUNDDOWN(MIN(IF(OR(ISBLANK(I13),I13=""),EOMONTH(DATE(EINSTELLUNG!$C$35,$A$1,1),0),I13)-MAX(D13,DATE(EINSTELLUNG!$C$35,$A$1,1))+1)/DAY(EOMONTH(DATE(EINSTELLUNG!$C$35,$A$1,1),0))*F13,2),"")</f>
        <v/>
      </c>
      <c r="I13" s="186"/>
      <c r="J13" s="187"/>
      <c r="K13" s="364" t="str">
        <f t="shared" si="0"/>
        <v/>
      </c>
      <c r="L13" s="366"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188"/>
      <c r="N13" s="189"/>
      <c r="O13" s="379" t="s">
        <v>66</v>
      </c>
      <c r="P13" s="380"/>
      <c r="Q13" s="381">
        <f>Q8-Q9-Q10-Q11-Q12</f>
        <v>627.38</v>
      </c>
      <c r="R13" s="382"/>
      <c r="S13" s="361"/>
      <c r="T13" s="361"/>
      <c r="U13" s="361"/>
      <c r="V13" s="361"/>
    </row>
    <row r="14" spans="1:28" ht="21.95" customHeight="1" x14ac:dyDescent="0.35">
      <c r="A14" s="363" t="s">
        <v>67</v>
      </c>
      <c r="B14" s="152"/>
      <c r="C14" s="153"/>
      <c r="D14" s="154"/>
      <c r="E14" s="155"/>
      <c r="F14" s="156"/>
      <c r="G14" s="364" t="str">
        <f>IF(OR(E14="",F14=""),"",PID_KVLohnLookup($A$1,E14,F14,LOHNTABELLE!$H$4))</f>
        <v/>
      </c>
      <c r="H14" s="365" t="str">
        <f>IF(AND(ISNUMBER(D14),ISNUMBER(F14)),ROUNDDOWN(MIN(IF(OR(ISBLANK(I14),I14=""),EOMONTH(DATE(EINSTELLUNG!$C$35,$A$1,1),0),I14)-MAX(D14,DATE(EINSTELLUNG!$C$35,$A$1,1))+1)/DAY(EOMONTH(DATE(EINSTELLUNG!$C$35,$A$1,1),0))*F14,2),"")</f>
        <v/>
      </c>
      <c r="I14" s="158"/>
      <c r="J14" s="165"/>
      <c r="K14" s="364" t="str">
        <f t="shared" si="0"/>
        <v/>
      </c>
      <c r="L14" s="366"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167"/>
      <c r="N14" s="168"/>
      <c r="O14" s="379" t="s">
        <v>68</v>
      </c>
      <c r="P14" s="380"/>
      <c r="Q14" s="381">
        <f>EINSTELLUNG!L17</f>
        <v>0</v>
      </c>
      <c r="R14" s="382"/>
      <c r="S14" s="361"/>
      <c r="T14" s="361"/>
      <c r="U14" s="361"/>
      <c r="V14" s="361"/>
    </row>
    <row r="15" spans="1:28" ht="21.95" customHeight="1" x14ac:dyDescent="0.35">
      <c r="A15" s="363" t="s">
        <v>69</v>
      </c>
      <c r="B15" s="181"/>
      <c r="C15" s="182"/>
      <c r="D15" s="186"/>
      <c r="E15" s="184"/>
      <c r="F15" s="190"/>
      <c r="G15" s="364" t="str">
        <f>IF(OR(E15="",F15=""),"",PID_KVLohnLookup($A$1,E15,F15,LOHNTABELLE!$H$4))</f>
        <v/>
      </c>
      <c r="H15" s="365" t="str">
        <f>IF(AND(ISNUMBER(D15),ISNUMBER(F15)),ROUNDDOWN(MIN(IF(OR(ISBLANK(I15),I15=""),EOMONTH(DATE(EINSTELLUNG!$C$35,$A$1,1),0),I15)-MAX(D15,DATE(EINSTELLUNG!$C$35,$A$1,1))+1)/DAY(EOMONTH(DATE(EINSTELLUNG!$C$35,$A$1,1),0))*F15,2),"")</f>
        <v/>
      </c>
      <c r="I15" s="186"/>
      <c r="J15" s="187"/>
      <c r="K15" s="364" t="str">
        <f t="shared" si="0"/>
        <v/>
      </c>
      <c r="L15" s="366"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188"/>
      <c r="N15" s="189"/>
      <c r="O15" s="379" t="s">
        <v>70</v>
      </c>
      <c r="P15" s="380"/>
      <c r="Q15" s="381">
        <f>Q13-Q14</f>
        <v>627.38</v>
      </c>
      <c r="R15" s="382"/>
      <c r="S15" s="384"/>
      <c r="T15" s="384"/>
      <c r="U15" s="384"/>
      <c r="V15" s="361"/>
    </row>
    <row r="16" spans="1:28" ht="21.95" customHeight="1" thickBot="1" x14ac:dyDescent="0.4">
      <c r="A16" s="363" t="s">
        <v>71</v>
      </c>
      <c r="B16" s="152"/>
      <c r="C16" s="153"/>
      <c r="D16" s="154"/>
      <c r="E16" s="155"/>
      <c r="F16" s="156"/>
      <c r="G16" s="364" t="str">
        <f>IF(OR(E16="",F16=""),"",PID_KVLohnLookup($A$1,E16,F16,LOHNTABELLE!$H$4))</f>
        <v/>
      </c>
      <c r="H16" s="365" t="str">
        <f>IF(AND(ISNUMBER(D16),ISNUMBER(F16)),ROUNDDOWN(MIN(IF(OR(ISBLANK(I16),I16=""),EOMONTH(DATE(EINSTELLUNG!$C$35,$A$1,1),0),I16)-MAX(D16,DATE(EINSTELLUNG!$C$35,$A$1,1))+1)/DAY(EOMONTH(DATE(EINSTELLUNG!$C$35,$A$1,1),0))*F16,2),"")</f>
        <v/>
      </c>
      <c r="I16" s="158"/>
      <c r="J16" s="165"/>
      <c r="K16" s="364" t="str">
        <f t="shared" si="0"/>
        <v/>
      </c>
      <c r="L16" s="366"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167"/>
      <c r="N16" s="168"/>
      <c r="O16" s="385" t="str">
        <f>IF(Q15&lt;0, "Schlecht! Zu wenig Stunden für Dienstplan.", IF(Q15&gt;0, "Du hast mehr als genug Stunden für Dienstplan.", ""))</f>
        <v>Du hast mehr als genug Stunden für Dienstplan.</v>
      </c>
      <c r="P16" s="386"/>
      <c r="Q16" s="386"/>
      <c r="R16" s="387"/>
      <c r="S16" s="388"/>
      <c r="T16" s="388"/>
      <c r="U16" s="388"/>
      <c r="V16" s="388"/>
      <c r="W16" s="389"/>
    </row>
    <row r="17" spans="1:29" ht="21.95" customHeight="1" x14ac:dyDescent="0.35">
      <c r="A17" s="363" t="s">
        <v>72</v>
      </c>
      <c r="B17" s="181"/>
      <c r="C17" s="182"/>
      <c r="D17" s="186"/>
      <c r="E17" s="184"/>
      <c r="F17" s="190"/>
      <c r="G17" s="364" t="str">
        <f>IF(OR(E17="",F17=""),"",PID_KVLohnLookup($A$1,E17,F17,LOHNTABELLE!$H$4))</f>
        <v/>
      </c>
      <c r="H17" s="365" t="str">
        <f>IF(AND(ISNUMBER(D17),ISNUMBER(F17)),ROUNDDOWN(MIN(IF(OR(ISBLANK(I17),I17=""),EOMONTH(DATE(EINSTELLUNG!$C$35,$A$1,1),0),I17)-MAX(D17,DATE(EINSTELLUNG!$C$35,$A$1,1))+1)/DAY(EOMONTH(DATE(EINSTELLUNG!$C$35,$A$1,1),0))*F17,2),"")</f>
        <v/>
      </c>
      <c r="I17" s="186"/>
      <c r="J17" s="187"/>
      <c r="K17" s="364" t="str">
        <f t="shared" si="0"/>
        <v/>
      </c>
      <c r="L17" s="366"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188"/>
      <c r="N17" s="189"/>
      <c r="O17" s="375" t="s">
        <v>73</v>
      </c>
      <c r="P17" s="376"/>
      <c r="Q17" s="390">
        <f>SUM(L3:L82)</f>
        <v>3868.38</v>
      </c>
      <c r="R17" s="391"/>
      <c r="S17" s="361"/>
      <c r="T17" s="361"/>
      <c r="U17" s="361"/>
      <c r="V17" s="361"/>
      <c r="W17" s="389"/>
    </row>
    <row r="18" spans="1:29" ht="21.95" customHeight="1" x14ac:dyDescent="0.35">
      <c r="A18" s="363" t="s">
        <v>74</v>
      </c>
      <c r="B18" s="152"/>
      <c r="C18" s="153"/>
      <c r="D18" s="158"/>
      <c r="E18" s="155"/>
      <c r="F18" s="156"/>
      <c r="G18" s="364" t="str">
        <f>IF(OR(E18="",F18=""),"",PID_KVLohnLookup($A$1,E18,F18,LOHNTABELLE!$H$4))</f>
        <v/>
      </c>
      <c r="H18" s="365" t="str">
        <f>IF(AND(ISNUMBER(D18),ISNUMBER(F18)),ROUNDDOWN(MIN(IF(OR(ISBLANK(I18),I18=""),EOMONTH(DATE(EINSTELLUNG!$C$35,$A$1,1),0),I18)-MAX(D18,DATE(EINSTELLUNG!$C$35,$A$1,1))+1)/DAY(EOMONTH(DATE(EINSTELLUNG!$C$35,$A$1,1),0))*F18,2),"")</f>
        <v/>
      </c>
      <c r="I18" s="158"/>
      <c r="J18" s="165"/>
      <c r="K18" s="364" t="str">
        <f t="shared" si="0"/>
        <v/>
      </c>
      <c r="L18" s="366"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167"/>
      <c r="N18" s="168"/>
      <c r="O18" s="472"/>
      <c r="P18" s="196"/>
      <c r="Q18" s="197"/>
      <c r="R18" s="198"/>
      <c r="S18" s="361"/>
      <c r="T18" s="361"/>
      <c r="U18" s="361"/>
      <c r="V18" s="361"/>
    </row>
    <row r="19" spans="1:29" ht="21.95" customHeight="1" x14ac:dyDescent="0.35">
      <c r="A19" s="363" t="s">
        <v>75</v>
      </c>
      <c r="B19" s="181"/>
      <c r="C19" s="182"/>
      <c r="D19" s="186"/>
      <c r="E19" s="184"/>
      <c r="F19" s="190"/>
      <c r="G19" s="364" t="str">
        <f>IF(OR(E19="",F19=""),"",PID_KVLohnLookup($A$1,E19,F19,LOHNTABELLE!$H$4))</f>
        <v/>
      </c>
      <c r="H19" s="365" t="str">
        <f>IF(AND(ISNUMBER(D19),ISNUMBER(F19)),ROUNDDOWN(MIN(IF(OR(ISBLANK(I19),I19=""),EOMONTH(DATE(EINSTELLUNG!$C$35,$A$1,1),0),I19)-MAX(D19,DATE(EINSTELLUNG!$C$35,$A$1,1))+1)/DAY(EOMONTH(DATE(EINSTELLUNG!$C$35,$A$1,1),0))*F19,2),"")</f>
        <v/>
      </c>
      <c r="I19" s="186"/>
      <c r="J19" s="187"/>
      <c r="K19" s="364" t="str">
        <f t="shared" si="0"/>
        <v/>
      </c>
      <c r="L19" s="366"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188"/>
      <c r="N19" s="189"/>
      <c r="O19" s="472"/>
      <c r="P19" s="196"/>
      <c r="Q19" s="197"/>
      <c r="R19" s="198"/>
      <c r="S19" s="361"/>
      <c r="T19" s="361"/>
      <c r="U19" s="361"/>
      <c r="V19" s="361"/>
    </row>
    <row r="20" spans="1:29" ht="21.95" customHeight="1" x14ac:dyDescent="0.35">
      <c r="A20" s="363" t="s">
        <v>76</v>
      </c>
      <c r="B20" s="152"/>
      <c r="C20" s="153"/>
      <c r="D20" s="154"/>
      <c r="E20" s="155"/>
      <c r="F20" s="156"/>
      <c r="G20" s="364" t="str">
        <f>IF(OR(E20="",F20=""),"",PID_KVLohnLookup($A$1,E20,F20,LOHNTABELLE!$H$4))</f>
        <v/>
      </c>
      <c r="H20" s="365" t="str">
        <f>IF(AND(ISNUMBER(D20),ISNUMBER(F20)),ROUNDDOWN(MIN(IF(OR(ISBLANK(I20),I20=""),EOMONTH(DATE(EINSTELLUNG!$C$35,$A$1,1),0),I20)-MAX(D20,DATE(EINSTELLUNG!$C$35,$A$1,1))+1)/DAY(EOMONTH(DATE(EINSTELLUNG!$C$35,$A$1,1),0))*F20,2),"")</f>
        <v/>
      </c>
      <c r="I20" s="158"/>
      <c r="J20" s="165"/>
      <c r="K20" s="364" t="str">
        <f t="shared" si="0"/>
        <v/>
      </c>
      <c r="L20" s="366"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167"/>
      <c r="N20" s="168"/>
      <c r="O20" s="472"/>
      <c r="P20" s="196"/>
      <c r="Q20" s="197"/>
      <c r="R20" s="198"/>
      <c r="S20" s="361"/>
      <c r="T20" s="361"/>
      <c r="U20" s="361"/>
      <c r="V20" s="361"/>
    </row>
    <row r="21" spans="1:29" ht="21.95" customHeight="1" x14ac:dyDescent="0.35">
      <c r="A21" s="363" t="s">
        <v>77</v>
      </c>
      <c r="B21" s="181"/>
      <c r="C21" s="182"/>
      <c r="D21" s="186"/>
      <c r="E21" s="184"/>
      <c r="F21" s="190"/>
      <c r="G21" s="364" t="str">
        <f>IF(OR(E21="",F21=""),"",PID_KVLohnLookup($A$1,E21,F21,LOHNTABELLE!$H$4))</f>
        <v/>
      </c>
      <c r="H21" s="365" t="str">
        <f>IF(AND(ISNUMBER(D21),ISNUMBER(F21)),ROUNDDOWN(MIN(IF(OR(ISBLANK(I21),I21=""),EOMONTH(DATE(EINSTELLUNG!$C$35,$A$1,1),0),I21)-MAX(D21,DATE(EINSTELLUNG!$C$35,$A$1,1))+1)/DAY(EOMONTH(DATE(EINSTELLUNG!$C$35,$A$1,1),0))*F21,2),"")</f>
        <v/>
      </c>
      <c r="I21" s="186"/>
      <c r="J21" s="187"/>
      <c r="K21" s="364" t="str">
        <f t="shared" si="0"/>
        <v/>
      </c>
      <c r="L21" s="366"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188"/>
      <c r="N21" s="189"/>
      <c r="O21" s="472"/>
      <c r="P21" s="196"/>
      <c r="Q21" s="197"/>
      <c r="R21" s="198"/>
      <c r="S21" s="361"/>
      <c r="T21" s="361"/>
      <c r="U21" s="361"/>
      <c r="V21" s="361"/>
    </row>
    <row r="22" spans="1:29" ht="21.95" customHeight="1" x14ac:dyDescent="0.35">
      <c r="A22" s="363" t="s">
        <v>78</v>
      </c>
      <c r="B22" s="152"/>
      <c r="C22" s="153"/>
      <c r="D22" s="158"/>
      <c r="E22" s="155"/>
      <c r="F22" s="156"/>
      <c r="G22" s="364" t="str">
        <f>IF(OR(E22="",F22=""),"",PID_KVLohnLookup($A$1,E22,F22,LOHNTABELLE!$H$4))</f>
        <v/>
      </c>
      <c r="H22" s="365" t="str">
        <f>IF(AND(ISNUMBER(D22),ISNUMBER(F22)),ROUNDDOWN(MIN(IF(OR(ISBLANK(I22),I22=""),EOMONTH(DATE(EINSTELLUNG!$C$35,$A$1,1),0),I22)-MAX(D22,DATE(EINSTELLUNG!$C$35,$A$1,1))+1)/DAY(EOMONTH(DATE(EINSTELLUNG!$C$35,$A$1,1),0))*F22,2),"")</f>
        <v/>
      </c>
      <c r="I22" s="158"/>
      <c r="J22" s="165"/>
      <c r="K22" s="364" t="str">
        <f t="shared" si="0"/>
        <v/>
      </c>
      <c r="L22" s="366"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167"/>
      <c r="N22" s="168"/>
      <c r="O22" s="472"/>
      <c r="P22" s="196"/>
      <c r="Q22" s="197"/>
      <c r="R22" s="198"/>
      <c r="S22" s="361"/>
      <c r="T22" s="361"/>
      <c r="U22" s="361"/>
      <c r="V22" s="361"/>
    </row>
    <row r="23" spans="1:29" ht="21.95" customHeight="1" x14ac:dyDescent="0.35">
      <c r="A23" s="363" t="s">
        <v>79</v>
      </c>
      <c r="B23" s="181"/>
      <c r="C23" s="182"/>
      <c r="D23" s="183"/>
      <c r="E23" s="184"/>
      <c r="F23" s="190"/>
      <c r="G23" s="364" t="str">
        <f>IF(OR(E23="",F23=""),"",PID_KVLohnLookup($A$1,E23,F23,LOHNTABELLE!$H$4))</f>
        <v/>
      </c>
      <c r="H23" s="365" t="str">
        <f>IF(AND(ISNUMBER(D23),ISNUMBER(F23)),ROUNDDOWN(MIN(IF(OR(ISBLANK(I23),I23=""),EOMONTH(DATE(EINSTELLUNG!$C$35,$A$1,1),0),I23)-MAX(D23,DATE(EINSTELLUNG!$C$35,$A$1,1))+1)/DAY(EOMONTH(DATE(EINSTELLUNG!$C$35,$A$1,1),0))*F23,2),"")</f>
        <v/>
      </c>
      <c r="I23" s="186"/>
      <c r="J23" s="187"/>
      <c r="K23" s="364" t="str">
        <f t="shared" si="0"/>
        <v/>
      </c>
      <c r="L23" s="366"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188"/>
      <c r="N23" s="189"/>
      <c r="O23" s="472"/>
      <c r="P23" s="196"/>
      <c r="Q23" s="197"/>
      <c r="R23" s="198"/>
      <c r="S23" s="361"/>
      <c r="T23" s="361"/>
      <c r="U23" s="361"/>
      <c r="V23" s="361"/>
      <c r="W23" s="389"/>
    </row>
    <row r="24" spans="1:29" ht="21.95" customHeight="1" x14ac:dyDescent="0.35">
      <c r="A24" s="363" t="s">
        <v>80</v>
      </c>
      <c r="B24" s="152"/>
      <c r="C24" s="153"/>
      <c r="D24" s="154"/>
      <c r="E24" s="155"/>
      <c r="F24" s="156"/>
      <c r="G24" s="364" t="str">
        <f>IF(OR(E24="",F24=""),"",PID_KVLohnLookup($A$1,E24,F24,LOHNTABELLE!$H$4))</f>
        <v/>
      </c>
      <c r="H24" s="365" t="str">
        <f>IF(AND(ISNUMBER(D24),ISNUMBER(F24)),ROUNDDOWN(MIN(IF(OR(ISBLANK(I24),I24=""),EOMONTH(DATE(EINSTELLUNG!$C$35,$A$1,1),0),I24)-MAX(D24,DATE(EINSTELLUNG!$C$35,$A$1,1))+1)/DAY(EOMONTH(DATE(EINSTELLUNG!$C$35,$A$1,1),0))*F24,2),"")</f>
        <v/>
      </c>
      <c r="I24" s="158"/>
      <c r="J24" s="165"/>
      <c r="K24" s="364" t="str">
        <f t="shared" si="0"/>
        <v/>
      </c>
      <c r="L24" s="366"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167"/>
      <c r="N24" s="168"/>
      <c r="O24" s="472"/>
      <c r="P24" s="196"/>
      <c r="Q24" s="197"/>
      <c r="R24" s="198"/>
      <c r="S24" s="361"/>
      <c r="T24" s="361"/>
      <c r="U24" s="361"/>
      <c r="V24" s="361"/>
      <c r="W24" s="389"/>
    </row>
    <row r="25" spans="1:29" ht="21.95" customHeight="1" x14ac:dyDescent="0.35">
      <c r="A25" s="363" t="s">
        <v>81</v>
      </c>
      <c r="B25" s="181"/>
      <c r="C25" s="182"/>
      <c r="D25" s="183"/>
      <c r="E25" s="184"/>
      <c r="F25" s="190"/>
      <c r="G25" s="364" t="str">
        <f>IF(OR(E25="",F25=""),"",PID_KVLohnLookup($A$1,E25,F25,LOHNTABELLE!$H$4))</f>
        <v/>
      </c>
      <c r="H25" s="365" t="str">
        <f>IF(AND(ISNUMBER(D25),ISNUMBER(F25)),ROUNDDOWN(MIN(IF(OR(ISBLANK(I25),I25=""),EOMONTH(DATE(EINSTELLUNG!$C$35,$A$1,1),0),I25)-MAX(D25,DATE(EINSTELLUNG!$C$35,$A$1,1))+1)/DAY(EOMONTH(DATE(EINSTELLUNG!$C$35,$A$1,1),0))*F25,2),"")</f>
        <v/>
      </c>
      <c r="I25" s="186"/>
      <c r="J25" s="187"/>
      <c r="K25" s="364" t="str">
        <f t="shared" si="0"/>
        <v/>
      </c>
      <c r="L25" s="366"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188"/>
      <c r="N25" s="189"/>
      <c r="O25" s="472"/>
      <c r="P25" s="196"/>
      <c r="Q25" s="197"/>
      <c r="R25" s="198"/>
      <c r="S25" s="361"/>
      <c r="T25" s="361"/>
      <c r="U25" s="361"/>
      <c r="V25" s="361"/>
    </row>
    <row r="26" spans="1:29" ht="21.95" customHeight="1" x14ac:dyDescent="0.35">
      <c r="A26" s="363" t="s">
        <v>82</v>
      </c>
      <c r="B26" s="152"/>
      <c r="C26" s="153"/>
      <c r="D26" s="154"/>
      <c r="E26" s="155"/>
      <c r="F26" s="156"/>
      <c r="G26" s="364" t="str">
        <f>IF(OR(E26="",F26=""),"",PID_KVLohnLookup($A$1,E26,F26,LOHNTABELLE!$H$4))</f>
        <v/>
      </c>
      <c r="H26" s="365" t="str">
        <f>IF(AND(ISNUMBER(D26),ISNUMBER(F26)),ROUNDDOWN(MIN(IF(OR(ISBLANK(I26),I26=""),EOMONTH(DATE(EINSTELLUNG!$C$35,$A$1,1),0),I26)-MAX(D26,DATE(EINSTELLUNG!$C$35,$A$1,1))+1)/DAY(EOMONTH(DATE(EINSTELLUNG!$C$35,$A$1,1),0))*F26,2),"")</f>
        <v/>
      </c>
      <c r="I26" s="158"/>
      <c r="J26" s="165"/>
      <c r="K26" s="364" t="str">
        <f t="shared" si="0"/>
        <v/>
      </c>
      <c r="L26" s="366"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167"/>
      <c r="N26" s="168"/>
      <c r="O26" s="195"/>
      <c r="P26" s="196"/>
      <c r="Q26" s="197"/>
      <c r="R26" s="198"/>
      <c r="S26" s="361"/>
      <c r="T26" s="361"/>
      <c r="U26" s="361"/>
      <c r="V26" s="361"/>
    </row>
    <row r="27" spans="1:29" ht="21.95" customHeight="1" x14ac:dyDescent="0.35">
      <c r="A27" s="363" t="s">
        <v>83</v>
      </c>
      <c r="B27" s="181"/>
      <c r="C27" s="182"/>
      <c r="D27" s="183"/>
      <c r="E27" s="184"/>
      <c r="F27" s="190"/>
      <c r="G27" s="364" t="str">
        <f>IF(OR(E27="",F27=""),"",PID_KVLohnLookup($A$1,E27,F27,LOHNTABELLE!$H$4))</f>
        <v/>
      </c>
      <c r="H27" s="365" t="str">
        <f>IF(AND(ISNUMBER(D27),ISNUMBER(F27)),ROUNDDOWN(MIN(IF(OR(ISBLANK(I27),I27=""),EOMONTH(DATE(EINSTELLUNG!$C$35,$A$1,1),0),I27)-MAX(D27,DATE(EINSTELLUNG!$C$35,$A$1,1))+1)/DAY(EOMONTH(DATE(EINSTELLUNG!$C$35,$A$1,1),0))*F27,2),"")</f>
        <v/>
      </c>
      <c r="I27" s="186"/>
      <c r="J27" s="187"/>
      <c r="K27" s="364" t="str">
        <f t="shared" si="0"/>
        <v/>
      </c>
      <c r="L27" s="366"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188"/>
      <c r="N27" s="189"/>
      <c r="O27" s="195"/>
      <c r="P27" s="196"/>
      <c r="Q27" s="197"/>
      <c r="R27" s="198"/>
      <c r="S27" s="392"/>
      <c r="T27" s="392"/>
      <c r="U27" s="392"/>
      <c r="V27" s="392"/>
    </row>
    <row r="28" spans="1:29" ht="21.95" customHeight="1" x14ac:dyDescent="0.35">
      <c r="A28" s="363" t="s">
        <v>85</v>
      </c>
      <c r="B28" s="152"/>
      <c r="C28" s="153"/>
      <c r="D28" s="154"/>
      <c r="E28" s="155"/>
      <c r="F28" s="156"/>
      <c r="G28" s="364" t="str">
        <f>IF(OR(E28="",F28=""),"",PID_KVLohnLookup($A$1,E28,F28,LOHNTABELLE!$H$4))</f>
        <v/>
      </c>
      <c r="H28" s="365" t="str">
        <f>IF(AND(ISNUMBER(D28),ISNUMBER(F28)),ROUNDDOWN(MIN(IF(OR(ISBLANK(I28),I28=""),EOMONTH(DATE(EINSTELLUNG!$C$35,$A$1,1),0),I28)-MAX(D28,DATE(EINSTELLUNG!$C$35,$A$1,1))+1)/DAY(EOMONTH(DATE(EINSTELLUNG!$C$35,$A$1,1),0))*F28,2),"")</f>
        <v/>
      </c>
      <c r="I28" s="158"/>
      <c r="J28" s="165"/>
      <c r="K28" s="364" t="str">
        <f t="shared" si="0"/>
        <v/>
      </c>
      <c r="L28" s="366"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167"/>
      <c r="N28" s="168"/>
      <c r="O28" s="195"/>
      <c r="P28" s="196"/>
      <c r="Q28" s="197"/>
      <c r="R28" s="198"/>
      <c r="S28" s="361"/>
      <c r="T28" s="361"/>
      <c r="U28" s="361"/>
      <c r="V28" s="361"/>
    </row>
    <row r="29" spans="1:29" ht="21.95" customHeight="1" thickBot="1" x14ac:dyDescent="0.4">
      <c r="A29" s="363" t="s">
        <v>86</v>
      </c>
      <c r="B29" s="181"/>
      <c r="C29" s="182"/>
      <c r="D29" s="183"/>
      <c r="E29" s="184"/>
      <c r="F29" s="190"/>
      <c r="G29" s="364" t="str">
        <f>IF(OR(E29="",F29=""),"",PID_KVLohnLookup($A$1,E29,F29,LOHNTABELLE!$H$4))</f>
        <v/>
      </c>
      <c r="H29" s="365" t="str">
        <f>IF(AND(ISNUMBER(D29),ISNUMBER(F29)),ROUNDDOWN(MIN(IF(OR(ISBLANK(I29),I29=""),EOMONTH(DATE(EINSTELLUNG!$C$35,$A$1,1),0),I29)-MAX(D29,DATE(EINSTELLUNG!$C$35,$A$1,1))+1)/DAY(EOMONTH(DATE(EINSTELLUNG!$C$35,$A$1,1),0))*F29,2),"")</f>
        <v/>
      </c>
      <c r="I29" s="186"/>
      <c r="J29" s="187"/>
      <c r="K29" s="364" t="str">
        <f t="shared" si="0"/>
        <v/>
      </c>
      <c r="L29" s="366"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188"/>
      <c r="N29" s="189"/>
      <c r="O29" s="393" t="s">
        <v>87</v>
      </c>
      <c r="P29" s="394"/>
      <c r="Q29" s="395">
        <f>EINSTELLUNG!O17</f>
        <v>0</v>
      </c>
      <c r="R29" s="396"/>
      <c r="S29" s="361"/>
      <c r="T29" s="361"/>
      <c r="U29" s="361"/>
      <c r="V29" s="361"/>
    </row>
    <row r="30" spans="1:29" ht="21.95" customHeight="1" thickBot="1" x14ac:dyDescent="0.4">
      <c r="A30" s="363" t="s">
        <v>88</v>
      </c>
      <c r="B30" s="152"/>
      <c r="C30" s="153"/>
      <c r="D30" s="154"/>
      <c r="E30" s="155"/>
      <c r="F30" s="156"/>
      <c r="G30" s="364" t="str">
        <f>IF(OR(E30="",F30=""),"",PID_KVLohnLookup($A$1,E30,F30,LOHNTABELLE!$H$4))</f>
        <v/>
      </c>
      <c r="H30" s="365" t="str">
        <f>IF(AND(ISNUMBER(D30),ISNUMBER(F30)),ROUNDDOWN(MIN(IF(OR(ISBLANK(I30),I30=""),EOMONTH(DATE(EINSTELLUNG!$C$35,$A$1,1),0),I30)-MAX(D30,DATE(EINSTELLUNG!$C$35,$A$1,1))+1)/DAY(EOMONTH(DATE(EINSTELLUNG!$C$35,$A$1,1),0))*F30,2),"")</f>
        <v/>
      </c>
      <c r="I30" s="158"/>
      <c r="J30" s="165"/>
      <c r="K30" s="364" t="str">
        <f t="shared" si="0"/>
        <v/>
      </c>
      <c r="L30" s="366"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167"/>
      <c r="N30" s="168"/>
      <c r="O30" s="361"/>
      <c r="P30" s="361"/>
      <c r="Q30" s="361"/>
      <c r="R30" s="361"/>
      <c r="S30" s="361"/>
      <c r="T30" s="361"/>
      <c r="U30" s="361"/>
      <c r="V30" s="361"/>
      <c r="W30" s="397"/>
      <c r="X30" s="397"/>
      <c r="Y30" s="397"/>
      <c r="Z30" s="397"/>
      <c r="AA30" s="397"/>
      <c r="AB30" s="397"/>
      <c r="AC30" s="397"/>
    </row>
    <row r="31" spans="1:29" ht="21.95" customHeight="1" thickBot="1" x14ac:dyDescent="0.4">
      <c r="A31" s="363" t="s">
        <v>89</v>
      </c>
      <c r="B31" s="181"/>
      <c r="C31" s="182"/>
      <c r="D31" s="183"/>
      <c r="E31" s="184"/>
      <c r="F31" s="190"/>
      <c r="G31" s="364" t="str">
        <f>IF(OR(E31="",F31=""),"",PID_KVLohnLookup($A$1,E31,F31,LOHNTABELLE!$H$4))</f>
        <v/>
      </c>
      <c r="H31" s="365" t="str">
        <f>IF(AND(ISNUMBER(D31),ISNUMBER(F31)),ROUNDDOWN(MIN(IF(OR(ISBLANK(I31),I31=""),EOMONTH(DATE(EINSTELLUNG!$C$35,$A$1,1),0),I31)-MAX(D31,DATE(EINSTELLUNG!$C$35,$A$1,1))+1)/DAY(EOMONTH(DATE(EINSTELLUNG!$C$35,$A$1,1),0))*F31,2),"")</f>
        <v/>
      </c>
      <c r="I31" s="186"/>
      <c r="J31" s="187"/>
      <c r="K31" s="364" t="str">
        <f t="shared" si="0"/>
        <v/>
      </c>
      <c r="L31" s="366"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188"/>
      <c r="N31" s="189"/>
      <c r="O31" s="398" t="s">
        <v>321</v>
      </c>
      <c r="P31" s="399"/>
      <c r="Q31" s="400">
        <v>0</v>
      </c>
      <c r="R31" s="401"/>
      <c r="S31" s="361"/>
      <c r="T31" s="361"/>
      <c r="U31" s="361"/>
      <c r="V31" s="361"/>
    </row>
    <row r="32" spans="1:29" ht="21.95" customHeight="1" thickBot="1" x14ac:dyDescent="0.4">
      <c r="A32" s="363" t="s">
        <v>91</v>
      </c>
      <c r="B32" s="152"/>
      <c r="C32" s="153"/>
      <c r="D32" s="154"/>
      <c r="E32" s="155"/>
      <c r="F32" s="156"/>
      <c r="G32" s="364" t="str">
        <f>IF(OR(E32="",F32=""),"",PID_KVLohnLookup($A$1,E32,F32,LOHNTABELLE!$H$4))</f>
        <v/>
      </c>
      <c r="H32" s="365" t="str">
        <f>IF(AND(ISNUMBER(D32),ISNUMBER(F32)),ROUNDDOWN(MIN(IF(OR(ISBLANK(I32),I32=""),EOMONTH(DATE(EINSTELLUNG!$C$35,$A$1,1),0),I32)-MAX(D32,DATE(EINSTELLUNG!$C$35,$A$1,1))+1)/DAY(EOMONTH(DATE(EINSTELLUNG!$C$35,$A$1,1),0))*F32,2),"")</f>
        <v/>
      </c>
      <c r="I32" s="158"/>
      <c r="J32" s="165"/>
      <c r="K32" s="364" t="str">
        <f t="shared" si="0"/>
        <v/>
      </c>
      <c r="L32" s="366"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167"/>
      <c r="N32" s="168"/>
      <c r="O32" s="361"/>
      <c r="P32" s="361"/>
      <c r="Q32" s="361"/>
      <c r="R32" s="361"/>
      <c r="S32" s="361"/>
      <c r="T32" s="361"/>
      <c r="U32" s="361"/>
      <c r="V32" s="361"/>
    </row>
    <row r="33" spans="1:22" ht="21.95" customHeight="1" x14ac:dyDescent="0.35">
      <c r="A33" s="363" t="s">
        <v>92</v>
      </c>
      <c r="B33" s="181"/>
      <c r="C33" s="182"/>
      <c r="D33" s="183"/>
      <c r="E33" s="184"/>
      <c r="F33" s="190"/>
      <c r="G33" s="364" t="str">
        <f>IF(OR(E33="",F33=""),"",PID_KVLohnLookup($A$1,E33,F33,LOHNTABELLE!$H$4))</f>
        <v/>
      </c>
      <c r="H33" s="365" t="str">
        <f>IF(AND(ISNUMBER(D33),ISNUMBER(F33)),ROUNDDOWN(MIN(IF(OR(ISBLANK(I33),I33=""),EOMONTH(DATE(EINSTELLUNG!$C$35,$A$1,1),0),I33)-MAX(D33,DATE(EINSTELLUNG!$C$35,$A$1,1))+1)/DAY(EOMONTH(DATE(EINSTELLUNG!$C$35,$A$1,1),0))*F33,2),"")</f>
        <v/>
      </c>
      <c r="I33" s="186"/>
      <c r="J33" s="187"/>
      <c r="K33" s="364" t="str">
        <f t="shared" si="0"/>
        <v/>
      </c>
      <c r="L33" s="366"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188"/>
      <c r="N33" s="189"/>
      <c r="O33" s="402"/>
      <c r="P33" s="403"/>
      <c r="Q33" s="346" t="str">
        <f>EINSTELLUNG!B3</f>
        <v>Budget</v>
      </c>
      <c r="R33" s="346"/>
      <c r="S33" s="346" t="str">
        <f>EINSTELLUNG!B19</f>
        <v>Projection/Aktuell Zahlen</v>
      </c>
      <c r="T33" s="346"/>
      <c r="U33" s="346" t="s">
        <v>95</v>
      </c>
      <c r="V33" s="347"/>
    </row>
    <row r="34" spans="1:22" ht="21.95" customHeight="1" x14ac:dyDescent="0.35">
      <c r="A34" s="363" t="s">
        <v>96</v>
      </c>
      <c r="B34" s="152"/>
      <c r="C34" s="153"/>
      <c r="D34" s="154"/>
      <c r="E34" s="155"/>
      <c r="F34" s="156"/>
      <c r="G34" s="364" t="str">
        <f>IF(OR(E34="",F34=""),"",PID_KVLohnLookup($A$1,E34,F34,LOHNTABELLE!$H$4))</f>
        <v/>
      </c>
      <c r="H34" s="365" t="str">
        <f>IF(AND(ISNUMBER(D34),ISNUMBER(F34)),ROUNDDOWN(MIN(IF(OR(ISBLANK(I34),I34=""),EOMONTH(DATE(EINSTELLUNG!$C$35,$A$1,1),0),I34)-MAX(D34,DATE(EINSTELLUNG!$C$35,$A$1,1))+1)/DAY(EOMONTH(DATE(EINSTELLUNG!$C$35,$A$1,1),0))*F34,2),"")</f>
        <v/>
      </c>
      <c r="I34" s="158"/>
      <c r="J34" s="165"/>
      <c r="K34" s="364" t="str">
        <f t="shared" si="0"/>
        <v/>
      </c>
      <c r="L34" s="366"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167"/>
      <c r="N34" s="168"/>
      <c r="O34" s="404"/>
      <c r="P34" s="405"/>
      <c r="Q34" s="406"/>
      <c r="R34" s="406"/>
      <c r="S34" s="406"/>
      <c r="T34" s="406"/>
      <c r="U34" s="406"/>
      <c r="V34" s="407"/>
    </row>
    <row r="35" spans="1:22" ht="21.95" customHeight="1" x14ac:dyDescent="0.35">
      <c r="A35" s="363" t="s">
        <v>97</v>
      </c>
      <c r="B35" s="181"/>
      <c r="C35" s="182"/>
      <c r="D35" s="183"/>
      <c r="E35" s="184"/>
      <c r="F35" s="190"/>
      <c r="G35" s="364" t="str">
        <f>IF(OR(E35="",F35=""),"",PID_KVLohnLookup($A$1,E35,F35,LOHNTABELLE!$H$4))</f>
        <v/>
      </c>
      <c r="H35" s="365" t="str">
        <f>IF(AND(ISNUMBER(D35),ISNUMBER(F35)),ROUNDDOWN(MIN(IF(OR(ISBLANK(I35),I35=""),EOMONTH(DATE(EINSTELLUNG!$C$35,$A$1,1),0),I35)-MAX(D35,DATE(EINSTELLUNG!$C$35,$A$1,1))+1)/DAY(EOMONTH(DATE(EINSTELLUNG!$C$35,$A$1,1),0))*F35,2),"")</f>
        <v/>
      </c>
      <c r="I35" s="186"/>
      <c r="J35" s="187"/>
      <c r="K35" s="364" t="str">
        <f t="shared" ref="K35:K66" si="1">IF(OR(B35="",C35=""),"",IFERROR(IF(OR(MONTH(D35)=1,MONTH(D35)=3,MONTH(D35)=5,MONTH(D35)=7,MONTH(D35)=8,MONTH(D35)=10,MONTH(D35)=12),(G35/31)*J35,IF(OR(MONTH(D35)=4,MONTH(D35)=6,MONTH(D35)=9,MONTH(D35)=11),(G35/30)*J35,(G35/DAY(EOMONTH(D35,0)))*J35)),0))</f>
        <v/>
      </c>
      <c r="L35" s="366"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188"/>
      <c r="N35" s="189"/>
      <c r="O35" s="379" t="s">
        <v>98</v>
      </c>
      <c r="P35" s="380"/>
      <c r="Q35" s="408">
        <f>EINSTELLUNG!C17</f>
        <v>0</v>
      </c>
      <c r="R35" s="408"/>
      <c r="S35" s="408">
        <f>EINSTELLUNG!C33</f>
        <v>0</v>
      </c>
      <c r="T35" s="408"/>
      <c r="U35" s="408">
        <f>S35-Q35</f>
        <v>0</v>
      </c>
      <c r="V35" s="409"/>
    </row>
    <row r="36" spans="1:22" ht="21.95" customHeight="1" x14ac:dyDescent="0.35">
      <c r="A36" s="363" t="s">
        <v>99</v>
      </c>
      <c r="B36" s="152"/>
      <c r="C36" s="153"/>
      <c r="D36" s="158"/>
      <c r="E36" s="155"/>
      <c r="F36" s="156"/>
      <c r="G36" s="364" t="str">
        <f>IF(OR(E36="",F36=""),"",PID_KVLohnLookup($A$1,E36,F36,LOHNTABELLE!$H$4))</f>
        <v/>
      </c>
      <c r="H36" s="365" t="str">
        <f>IF(AND(ISNUMBER(D36),ISNUMBER(F36)),ROUNDDOWN(MIN(IF(OR(ISBLANK(I36),I36=""),EOMONTH(DATE(EINSTELLUNG!$C$35,$A$1,1),0),I36)-MAX(D36,DATE(EINSTELLUNG!$C$35,$A$1,1))+1)/DAY(EOMONTH(DATE(EINSTELLUNG!$C$35,$A$1,1),0))*F36,2),"")</f>
        <v/>
      </c>
      <c r="I36" s="158"/>
      <c r="J36" s="165"/>
      <c r="K36" s="364" t="str">
        <f t="shared" si="1"/>
        <v/>
      </c>
      <c r="L36" s="366"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167"/>
      <c r="N36" s="168"/>
      <c r="O36" s="379" t="s">
        <v>100</v>
      </c>
      <c r="P36" s="380"/>
      <c r="Q36" s="408">
        <f>EINSTELLUNG!D17</f>
        <v>0</v>
      </c>
      <c r="R36" s="408"/>
      <c r="S36" s="408">
        <f ca="1">SumMergedCells(Q17:R29)</f>
        <v>3868.38</v>
      </c>
      <c r="T36" s="408"/>
      <c r="U36" s="408">
        <f t="shared" ref="U36:U41" ca="1" si="2">S36-Q36</f>
        <v>3868.38</v>
      </c>
      <c r="V36" s="409"/>
    </row>
    <row r="37" spans="1:22" ht="21.95" customHeight="1" x14ac:dyDescent="0.35">
      <c r="A37" s="363" t="s">
        <v>101</v>
      </c>
      <c r="B37" s="181"/>
      <c r="C37" s="182"/>
      <c r="D37" s="183"/>
      <c r="E37" s="184"/>
      <c r="F37" s="190"/>
      <c r="G37" s="364" t="str">
        <f>IF(OR(E37="",F37=""),"",PID_KVLohnLookup($A$1,E37,F37,LOHNTABELLE!$H$4))</f>
        <v/>
      </c>
      <c r="H37" s="365" t="str">
        <f>IF(AND(ISNUMBER(D37),ISNUMBER(F37)),ROUNDDOWN(MIN(IF(OR(ISBLANK(I37),I37=""),EOMONTH(DATE(EINSTELLUNG!$C$35,$A$1,1),0),I37)-MAX(D37,DATE(EINSTELLUNG!$C$35,$A$1,1))+1)/DAY(EOMONTH(DATE(EINSTELLUNG!$C$35,$A$1,1),0))*F37,2),"")</f>
        <v/>
      </c>
      <c r="I37" s="186"/>
      <c r="J37" s="187"/>
      <c r="K37" s="364" t="str">
        <f t="shared" si="1"/>
        <v/>
      </c>
      <c r="L37" s="366"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188"/>
      <c r="N37" s="189"/>
      <c r="O37" s="379" t="s">
        <v>102</v>
      </c>
      <c r="P37" s="380"/>
      <c r="Q37" s="410">
        <f>IF(ISERROR(Q36/Q35), 0, Q36/Q35)</f>
        <v>0</v>
      </c>
      <c r="R37" s="410"/>
      <c r="S37" s="410">
        <f ca="1">IF(ISERROR(S36/S35), 0, S36/S35)</f>
        <v>0</v>
      </c>
      <c r="T37" s="410"/>
      <c r="U37" s="410">
        <f t="shared" ca="1" si="2"/>
        <v>0</v>
      </c>
      <c r="V37" s="411"/>
    </row>
    <row r="38" spans="1:22" ht="21.95" customHeight="1" x14ac:dyDescent="0.35">
      <c r="A38" s="363" t="s">
        <v>103</v>
      </c>
      <c r="B38" s="152"/>
      <c r="C38" s="153"/>
      <c r="D38" s="154"/>
      <c r="E38" s="155"/>
      <c r="F38" s="156"/>
      <c r="G38" s="364" t="str">
        <f>IF(OR(E38="",F38=""),"",PID_KVLohnLookup($A$1,E38,F38,LOHNTABELLE!$H$4))</f>
        <v/>
      </c>
      <c r="H38" s="365" t="str">
        <f>IF(AND(ISNUMBER(D38),ISNUMBER(F38)),ROUNDDOWN(MIN(IF(OR(ISBLANK(I38),I38=""),EOMONTH(DATE(EINSTELLUNG!$C$35,$A$1,1),0),I38)-MAX(D38,DATE(EINSTELLUNG!$C$35,$A$1,1))+1)/DAY(EOMONTH(DATE(EINSTELLUNG!$C$35,$A$1,1),0))*F38,2),"")</f>
        <v/>
      </c>
      <c r="I38" s="158"/>
      <c r="J38" s="165"/>
      <c r="K38" s="364" t="str">
        <f t="shared" si="1"/>
        <v/>
      </c>
      <c r="L38" s="366"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167"/>
      <c r="N38" s="168"/>
      <c r="O38" s="379" t="s">
        <v>104</v>
      </c>
      <c r="P38" s="380"/>
      <c r="Q38" s="381">
        <f>EINSTELLUNG!F17</f>
        <v>0</v>
      </c>
      <c r="R38" s="381"/>
      <c r="S38" s="381">
        <f>EINSTELLUNG!F33</f>
        <v>0</v>
      </c>
      <c r="T38" s="381"/>
      <c r="U38" s="381">
        <f t="shared" si="2"/>
        <v>0</v>
      </c>
      <c r="V38" s="382"/>
    </row>
    <row r="39" spans="1:22" ht="21.95" customHeight="1" x14ac:dyDescent="0.35">
      <c r="A39" s="363" t="s">
        <v>105</v>
      </c>
      <c r="B39" s="181"/>
      <c r="C39" s="182"/>
      <c r="D39" s="183"/>
      <c r="E39" s="184"/>
      <c r="F39" s="190"/>
      <c r="G39" s="364" t="str">
        <f>IF(OR(E39="",F39=""),"",PID_KVLohnLookup($A$1,E39,F39,LOHNTABELLE!$H$4))</f>
        <v/>
      </c>
      <c r="H39" s="365" t="str">
        <f>IF(AND(ISNUMBER(D39),ISNUMBER(F39)),ROUNDDOWN(MIN(IF(OR(ISBLANK(I39),I39=""),EOMONTH(DATE(EINSTELLUNG!$C$35,$A$1,1),0),I39)-MAX(D39,DATE(EINSTELLUNG!$C$35,$A$1,1))+1)/DAY(EOMONTH(DATE(EINSTELLUNG!$C$35,$A$1,1),0))*F39,2),"")</f>
        <v/>
      </c>
      <c r="I39" s="186"/>
      <c r="J39" s="187"/>
      <c r="K39" s="364" t="str">
        <f t="shared" si="1"/>
        <v/>
      </c>
      <c r="L39" s="366"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188"/>
      <c r="N39" s="189"/>
      <c r="O39" s="379" t="s">
        <v>106</v>
      </c>
      <c r="P39" s="380"/>
      <c r="Q39" s="408">
        <f>IF(Q38=0, 0, Q35/Q38)</f>
        <v>0</v>
      </c>
      <c r="R39" s="408"/>
      <c r="S39" s="408">
        <f>IF(S38=0, 0, S35/S38)</f>
        <v>0</v>
      </c>
      <c r="T39" s="408"/>
      <c r="U39" s="408">
        <f t="shared" si="2"/>
        <v>0</v>
      </c>
      <c r="V39" s="409"/>
    </row>
    <row r="40" spans="1:22" ht="21.95" customHeight="1" x14ac:dyDescent="0.35">
      <c r="A40" s="363" t="s">
        <v>107</v>
      </c>
      <c r="B40" s="152"/>
      <c r="C40" s="153"/>
      <c r="D40" s="154"/>
      <c r="E40" s="155"/>
      <c r="F40" s="156"/>
      <c r="G40" s="364" t="str">
        <f>IF(OR(E40="",F40=""),"",PID_KVLohnLookup($A$1,E40,F40,LOHNTABELLE!$H$4))</f>
        <v/>
      </c>
      <c r="H40" s="365" t="str">
        <f>IF(AND(ISNUMBER(D40),ISNUMBER(F40)),ROUNDDOWN(MIN(IF(OR(ISBLANK(I40),I40=""),EOMONTH(DATE(EINSTELLUNG!$C$35,$A$1,1),0),I40)-MAX(D40,DATE(EINSTELLUNG!$C$35,$A$1,1))+1)/DAY(EOMONTH(DATE(EINSTELLUNG!$C$35,$A$1,1),0))*F40,2),"")</f>
        <v/>
      </c>
      <c r="I40" s="158"/>
      <c r="J40" s="165"/>
      <c r="K40" s="364" t="str">
        <f t="shared" si="1"/>
        <v/>
      </c>
      <c r="L40" s="366"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167"/>
      <c r="N40" s="168"/>
      <c r="O40" s="379" t="s">
        <v>108</v>
      </c>
      <c r="P40" s="380"/>
      <c r="Q40" s="408">
        <f>IF(Q13=0, 0, Q35/Q13)</f>
        <v>0</v>
      </c>
      <c r="R40" s="408"/>
      <c r="S40" s="408">
        <f>IF(Q13=0, 0, S35/Q13)</f>
        <v>0</v>
      </c>
      <c r="T40" s="408"/>
      <c r="U40" s="408">
        <f t="shared" si="2"/>
        <v>0</v>
      </c>
      <c r="V40" s="409"/>
    </row>
    <row r="41" spans="1:22" ht="21.95" customHeight="1" x14ac:dyDescent="0.35">
      <c r="A41" s="363" t="s">
        <v>109</v>
      </c>
      <c r="B41" s="181"/>
      <c r="C41" s="182"/>
      <c r="D41" s="183"/>
      <c r="E41" s="184"/>
      <c r="F41" s="190"/>
      <c r="G41" s="364" t="str">
        <f>IF(OR(E41="",F41=""),"",PID_KVLohnLookup($A$1,E41,F41,LOHNTABELLE!$H$4))</f>
        <v/>
      </c>
      <c r="H41" s="365" t="str">
        <f>IF(AND(ISNUMBER(D41),ISNUMBER(F41)),ROUNDDOWN(MIN(IF(OR(ISBLANK(I41),I41=""),EOMONTH(DATE(EINSTELLUNG!$C$35,$A$1,1),0),I41)-MAX(D41,DATE(EINSTELLUNG!$C$35,$A$1,1))+1)/DAY(EOMONTH(DATE(EINSTELLUNG!$C$35,$A$1,1),0))*F41,2),"")</f>
        <v/>
      </c>
      <c r="I41" s="186"/>
      <c r="J41" s="187"/>
      <c r="K41" s="364" t="str">
        <f t="shared" si="1"/>
        <v/>
      </c>
      <c r="L41" s="366"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188"/>
      <c r="N41" s="189"/>
      <c r="O41" s="412" t="s">
        <v>110</v>
      </c>
      <c r="P41" s="413"/>
      <c r="Q41" s="414">
        <f>IF(Q13=0, 0, Q38/Q13)</f>
        <v>0</v>
      </c>
      <c r="R41" s="414"/>
      <c r="S41" s="414">
        <f>IF(Q13=0, 0, S38/Q13)</f>
        <v>0</v>
      </c>
      <c r="T41" s="414"/>
      <c r="U41" s="414">
        <f t="shared" si="2"/>
        <v>0</v>
      </c>
      <c r="V41" s="415"/>
    </row>
    <row r="42" spans="1:22" ht="21.95" customHeight="1" thickBot="1" x14ac:dyDescent="0.4">
      <c r="A42" s="363" t="s">
        <v>111</v>
      </c>
      <c r="B42" s="152"/>
      <c r="C42" s="153"/>
      <c r="D42" s="154"/>
      <c r="E42" s="155"/>
      <c r="F42" s="156"/>
      <c r="G42" s="364" t="str">
        <f>IF(OR(E42="",F42=""),"",PID_KVLohnLookup($A$1,E42,F42,LOHNTABELLE!$H$4))</f>
        <v/>
      </c>
      <c r="H42" s="365" t="str">
        <f>IF(AND(ISNUMBER(D42),ISNUMBER(F42)),ROUNDDOWN(MIN(IF(OR(ISBLANK(I42),I42=""),EOMONTH(DATE(EINSTELLUNG!$C$35,$A$1,1),0),I42)-MAX(D42,DATE(EINSTELLUNG!$C$35,$A$1,1))+1)/DAY(EOMONTH(DATE(EINSTELLUNG!$C$35,$A$1,1),0))*F42,2),"")</f>
        <v/>
      </c>
      <c r="I42" s="158"/>
      <c r="J42" s="165"/>
      <c r="K42" s="364" t="str">
        <f t="shared" si="1"/>
        <v/>
      </c>
      <c r="L42" s="366"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167"/>
      <c r="N42" s="169"/>
      <c r="O42" s="416" t="s">
        <v>112</v>
      </c>
      <c r="P42" s="394"/>
      <c r="Q42" s="417">
        <f>IFERROR(Q17/Q8, 0)</f>
        <v>11.925457796411617</v>
      </c>
      <c r="R42" s="418"/>
      <c r="S42" s="417"/>
      <c r="T42" s="417"/>
      <c r="U42" s="417"/>
      <c r="V42" s="396"/>
    </row>
    <row r="43" spans="1:22" ht="21.95" customHeight="1" x14ac:dyDescent="0.35">
      <c r="A43" s="363" t="s">
        <v>113</v>
      </c>
      <c r="B43" s="181"/>
      <c r="C43" s="182"/>
      <c r="D43" s="183"/>
      <c r="E43" s="184"/>
      <c r="F43" s="190"/>
      <c r="G43" s="364" t="str">
        <f>IF(OR(E43="",F43=""),"",PID_KVLohnLookup($A$1,E43,F43,LOHNTABELLE!$H$4))</f>
        <v/>
      </c>
      <c r="H43" s="365" t="str">
        <f>IF(AND(ISNUMBER(D43),ISNUMBER(F43)),ROUNDDOWN(MIN(IF(OR(ISBLANK(I43),I43=""),EOMONTH(DATE(EINSTELLUNG!$C$35,$A$1,1),0),I43)-MAX(D43,DATE(EINSTELLUNG!$C$35,$A$1,1))+1)/DAY(EOMONTH(DATE(EINSTELLUNG!$C$35,$A$1,1),0))*F43,2),"")</f>
        <v/>
      </c>
      <c r="I43" s="186"/>
      <c r="J43" s="187"/>
      <c r="K43" s="364" t="str">
        <f t="shared" si="1"/>
        <v/>
      </c>
      <c r="L43" s="366"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91"/>
      <c r="N43" s="189"/>
      <c r="O43" s="419"/>
      <c r="P43" s="419"/>
      <c r="Q43" s="419"/>
      <c r="R43" s="361"/>
      <c r="S43" s="361"/>
      <c r="T43" s="361"/>
      <c r="U43" s="361"/>
      <c r="V43" s="361"/>
    </row>
    <row r="44" spans="1:22" ht="21.95" customHeight="1" x14ac:dyDescent="0.35">
      <c r="A44" s="363" t="s">
        <v>114</v>
      </c>
      <c r="B44" s="152"/>
      <c r="C44" s="153"/>
      <c r="D44" s="154"/>
      <c r="E44" s="155"/>
      <c r="F44" s="156"/>
      <c r="G44" s="364" t="str">
        <f>IF(OR(E44="",F44=""),"",PID_KVLohnLookup($A$1,E44,F44,LOHNTABELLE!$H$4))</f>
        <v/>
      </c>
      <c r="H44" s="365" t="str">
        <f>IF(AND(ISNUMBER(D44),ISNUMBER(F44)),ROUNDDOWN(MIN(IF(OR(ISBLANK(I44),I44=""),EOMONTH(DATE(EINSTELLUNG!$C$35,$A$1,1),0),I44)-MAX(D44,DATE(EINSTELLUNG!$C$35,$A$1,1))+1)/DAY(EOMONTH(DATE(EINSTELLUNG!$C$35,$A$1,1),0))*F44,2),"")</f>
        <v/>
      </c>
      <c r="I44" s="158"/>
      <c r="J44" s="165"/>
      <c r="K44" s="364" t="str">
        <f t="shared" si="1"/>
        <v/>
      </c>
      <c r="L44" s="366"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70"/>
      <c r="N44" s="168"/>
      <c r="O44" s="420" t="s">
        <v>115</v>
      </c>
      <c r="P44" s="420"/>
      <c r="Q44" s="420"/>
      <c r="R44" s="420"/>
      <c r="S44" s="420"/>
      <c r="T44" s="420"/>
      <c r="U44" s="420"/>
      <c r="V44" s="420"/>
    </row>
    <row r="45" spans="1:22" ht="21.95" customHeight="1" x14ac:dyDescent="0.35">
      <c r="A45" s="363" t="s">
        <v>116</v>
      </c>
      <c r="B45" s="181"/>
      <c r="C45" s="182"/>
      <c r="D45" s="183"/>
      <c r="E45" s="184"/>
      <c r="F45" s="190"/>
      <c r="G45" s="364" t="str">
        <f>IF(OR(E45="",F45=""),"",PID_KVLohnLookup($A$1,E45,F45,LOHNTABELLE!$H$4))</f>
        <v/>
      </c>
      <c r="H45" s="365" t="str">
        <f>IF(AND(ISNUMBER(D45),ISNUMBER(F45)),ROUNDDOWN(MIN(IF(OR(ISBLANK(I45),I45=""),EOMONTH(DATE(EINSTELLUNG!$C$35,$A$1,1),0),I45)-MAX(D45,DATE(EINSTELLUNG!$C$35,$A$1,1))+1)/DAY(EOMONTH(DATE(EINSTELLUNG!$C$35,$A$1,1),0))*F45,2),"")</f>
        <v/>
      </c>
      <c r="I45" s="186"/>
      <c r="J45" s="187"/>
      <c r="K45" s="364" t="str">
        <f t="shared" si="1"/>
        <v/>
      </c>
      <c r="L45" s="366"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91"/>
      <c r="N45" s="189"/>
      <c r="O45" s="421"/>
      <c r="P45" s="421"/>
      <c r="Q45" s="421"/>
      <c r="R45" s="422"/>
      <c r="S45" s="422"/>
      <c r="T45" s="422"/>
      <c r="U45" s="422"/>
      <c r="V45" s="361"/>
    </row>
    <row r="46" spans="1:22" ht="21.95" customHeight="1" x14ac:dyDescent="0.35">
      <c r="A46" s="363" t="s">
        <v>117</v>
      </c>
      <c r="B46" s="152"/>
      <c r="C46" s="153"/>
      <c r="D46" s="158"/>
      <c r="E46" s="155"/>
      <c r="F46" s="156"/>
      <c r="G46" s="364" t="str">
        <f>IF(OR(E46="",F46=""),"",PID_KVLohnLookup($A$1,E46,F46,LOHNTABELLE!$H$4))</f>
        <v/>
      </c>
      <c r="H46" s="365" t="str">
        <f>IF(AND(ISNUMBER(D46),ISNUMBER(F46)),ROUNDDOWN(MIN(IF(OR(ISBLANK(I46),I46=""),EOMONTH(DATE(EINSTELLUNG!$C$35,$A$1,1),0),I46)-MAX(D46,DATE(EINSTELLUNG!$C$35,$A$1,1))+1)/DAY(EOMONTH(DATE(EINSTELLUNG!$C$35,$A$1,1),0))*F46,2),"")</f>
        <v/>
      </c>
      <c r="I46" s="158"/>
      <c r="J46" s="165"/>
      <c r="K46" s="364" t="str">
        <f t="shared" si="1"/>
        <v/>
      </c>
      <c r="L46" s="366"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70"/>
      <c r="N46" s="168"/>
      <c r="O46" s="361"/>
      <c r="P46" s="361"/>
      <c r="Q46" s="361"/>
      <c r="R46" s="361"/>
      <c r="S46" s="361"/>
      <c r="T46" s="361"/>
      <c r="U46" s="361"/>
      <c r="V46" s="361"/>
    </row>
    <row r="47" spans="1:22" ht="21.95" customHeight="1" x14ac:dyDescent="0.35">
      <c r="A47" s="363" t="s">
        <v>118</v>
      </c>
      <c r="B47" s="181"/>
      <c r="C47" s="182"/>
      <c r="D47" s="183"/>
      <c r="E47" s="184"/>
      <c r="F47" s="190"/>
      <c r="G47" s="364" t="str">
        <f>IF(OR(E47="",F47=""),"",PID_KVLohnLookup($A$1,E47,F47,LOHNTABELLE!$H$4))</f>
        <v/>
      </c>
      <c r="H47" s="365" t="str">
        <f>IF(AND(ISNUMBER(D47),ISNUMBER(F47)),ROUNDDOWN(MIN(IF(OR(ISBLANK(I47),I47=""),EOMONTH(DATE(EINSTELLUNG!$C$35,$A$1,1),0),I47)-MAX(D47,DATE(EINSTELLUNG!$C$35,$A$1,1))+1)/DAY(EOMONTH(DATE(EINSTELLUNG!$C$35,$A$1,1),0))*F47,2),"")</f>
        <v/>
      </c>
      <c r="I47" s="186"/>
      <c r="J47" s="187"/>
      <c r="K47" s="364" t="str">
        <f t="shared" si="1"/>
        <v/>
      </c>
      <c r="L47" s="366"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91"/>
      <c r="N47" s="189"/>
      <c r="O47" s="361"/>
      <c r="P47" s="361"/>
      <c r="Q47" s="361"/>
      <c r="R47" s="361"/>
      <c r="S47" s="361"/>
      <c r="T47" s="361"/>
      <c r="U47" s="361"/>
      <c r="V47" s="361"/>
    </row>
    <row r="48" spans="1:22" ht="18" customHeight="1" x14ac:dyDescent="0.35">
      <c r="A48" s="363" t="s">
        <v>119</v>
      </c>
      <c r="B48" s="152"/>
      <c r="C48" s="153"/>
      <c r="D48" s="154"/>
      <c r="E48" s="155"/>
      <c r="F48" s="156"/>
      <c r="G48" s="364" t="str">
        <f>IF(OR(E48="",F48=""),"",PID_KVLohnLookup($A$1,E48,F48,LOHNTABELLE!$H$4))</f>
        <v/>
      </c>
      <c r="H48" s="365" t="str">
        <f>IF(AND(ISNUMBER(D48),ISNUMBER(F48)),ROUNDDOWN(MIN(IF(OR(ISBLANK(I48),I48=""),EOMONTH(DATE(EINSTELLUNG!$C$35,$A$1,1),0),I48)-MAX(D48,DATE(EINSTELLUNG!$C$35,$A$1,1))+1)/DAY(EOMONTH(DATE(EINSTELLUNG!$C$35,$A$1,1),0))*F48,2),"")</f>
        <v/>
      </c>
      <c r="I48" s="158"/>
      <c r="J48" s="165"/>
      <c r="K48" s="364" t="str">
        <f t="shared" si="1"/>
        <v/>
      </c>
      <c r="L48" s="366"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70"/>
      <c r="N48" s="168"/>
      <c r="O48" s="361"/>
      <c r="P48" s="361"/>
      <c r="Q48" s="361"/>
      <c r="R48" s="361"/>
      <c r="S48" s="361"/>
      <c r="T48" s="361"/>
      <c r="U48" s="361"/>
      <c r="V48" s="361"/>
    </row>
    <row r="49" spans="1:22" ht="21.95" customHeight="1" x14ac:dyDescent="0.35">
      <c r="A49" s="363" t="s">
        <v>120</v>
      </c>
      <c r="B49" s="181"/>
      <c r="C49" s="182"/>
      <c r="D49" s="183"/>
      <c r="E49" s="184"/>
      <c r="F49" s="190"/>
      <c r="G49" s="364" t="str">
        <f>IF(OR(E49="",F49=""),"",PID_KVLohnLookup($A$1,E49,F49,LOHNTABELLE!$H$4))</f>
        <v/>
      </c>
      <c r="H49" s="365" t="str">
        <f>IF(AND(ISNUMBER(D49),ISNUMBER(F49)),ROUNDDOWN(MIN(IF(OR(ISBLANK(I49),I49=""),EOMONTH(DATE(EINSTELLUNG!$C$35,$A$1,1),0),I49)-MAX(D49,DATE(EINSTELLUNG!$C$35,$A$1,1))+1)/DAY(EOMONTH(DATE(EINSTELLUNG!$C$35,$A$1,1),0))*F49,2),"")</f>
        <v/>
      </c>
      <c r="I49" s="186"/>
      <c r="J49" s="187"/>
      <c r="K49" s="364" t="str">
        <f t="shared" si="1"/>
        <v/>
      </c>
      <c r="L49" s="366"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91"/>
      <c r="N49" s="189"/>
      <c r="O49" s="361"/>
      <c r="P49" s="361"/>
      <c r="Q49" s="361"/>
      <c r="R49" s="361"/>
      <c r="S49" s="361"/>
      <c r="T49" s="361"/>
      <c r="U49" s="361"/>
      <c r="V49" s="361"/>
    </row>
    <row r="50" spans="1:22" ht="18" customHeight="1" x14ac:dyDescent="0.35">
      <c r="A50" s="363" t="s">
        <v>121</v>
      </c>
      <c r="B50" s="152"/>
      <c r="C50" s="153"/>
      <c r="D50" s="154"/>
      <c r="E50" s="155"/>
      <c r="F50" s="156"/>
      <c r="G50" s="364" t="str">
        <f>IF(OR(E50="",F50=""),"",PID_KVLohnLookup($A$1,E50,F50,LOHNTABELLE!$H$4))</f>
        <v/>
      </c>
      <c r="H50" s="365" t="str">
        <f>IF(AND(ISNUMBER(D50),ISNUMBER(F50)),ROUNDDOWN(MIN(IF(OR(ISBLANK(I50),I50=""),EOMONTH(DATE(EINSTELLUNG!$C$35,$A$1,1),0),I50)-MAX(D50,DATE(EINSTELLUNG!$C$35,$A$1,1))+1)/DAY(EOMONTH(DATE(EINSTELLUNG!$C$35,$A$1,1),0))*F50,2),"")</f>
        <v/>
      </c>
      <c r="I50" s="158"/>
      <c r="J50" s="165"/>
      <c r="K50" s="364" t="str">
        <f t="shared" si="1"/>
        <v/>
      </c>
      <c r="L50" s="366"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70"/>
      <c r="N50" s="168"/>
      <c r="O50" s="361"/>
      <c r="P50" s="361"/>
      <c r="Q50" s="361"/>
      <c r="R50" s="361"/>
      <c r="S50" s="361"/>
      <c r="T50" s="361"/>
      <c r="U50" s="361"/>
      <c r="V50" s="361"/>
    </row>
    <row r="51" spans="1:22" ht="21.95" customHeight="1" x14ac:dyDescent="0.35">
      <c r="A51" s="363" t="s">
        <v>122</v>
      </c>
      <c r="B51" s="181"/>
      <c r="C51" s="182"/>
      <c r="D51" s="183"/>
      <c r="E51" s="184"/>
      <c r="F51" s="190"/>
      <c r="G51" s="364" t="str">
        <f>IF(OR(E51="",F51=""),"",PID_KVLohnLookup($A$1,E51,F51,LOHNTABELLE!$H$4))</f>
        <v/>
      </c>
      <c r="H51" s="365" t="str">
        <f>IF(AND(ISNUMBER(D51),ISNUMBER(F51)),ROUNDDOWN(MIN(IF(OR(ISBLANK(I51),I51=""),EOMONTH(DATE(EINSTELLUNG!$C$35,$A$1,1),0),I51)-MAX(D51,DATE(EINSTELLUNG!$C$35,$A$1,1))+1)/DAY(EOMONTH(DATE(EINSTELLUNG!$C$35,$A$1,1),0))*F51,2),"")</f>
        <v/>
      </c>
      <c r="I51" s="186"/>
      <c r="J51" s="187"/>
      <c r="K51" s="364" t="str">
        <f t="shared" si="1"/>
        <v/>
      </c>
      <c r="L51" s="366"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188"/>
      <c r="N51" s="192"/>
    </row>
    <row r="52" spans="1:22" ht="21.95" customHeight="1" x14ac:dyDescent="0.35">
      <c r="A52" s="363" t="s">
        <v>123</v>
      </c>
      <c r="B52" s="152"/>
      <c r="C52" s="153"/>
      <c r="D52" s="154"/>
      <c r="E52" s="155"/>
      <c r="F52" s="156"/>
      <c r="G52" s="364" t="str">
        <f>IF(OR(E52="",F52=""),"",PID_KVLohnLookup($A$1,E52,F52,LOHNTABELLE!$H$4))</f>
        <v/>
      </c>
      <c r="H52" s="365" t="str">
        <f>IF(AND(ISNUMBER(D52),ISNUMBER(F52)),ROUNDDOWN(MIN(IF(OR(ISBLANK(I52),I52=""),EOMONTH(DATE(EINSTELLUNG!$C$35,$A$1,1),0),I52)-MAX(D52,DATE(EINSTELLUNG!$C$35,$A$1,1))+1)/DAY(EOMONTH(DATE(EINSTELLUNG!$C$35,$A$1,1),0))*F52,2),"")</f>
        <v/>
      </c>
      <c r="I52" s="158"/>
      <c r="J52" s="165"/>
      <c r="K52" s="364" t="str">
        <f t="shared" si="1"/>
        <v/>
      </c>
      <c r="L52" s="366"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167"/>
      <c r="N52" s="168"/>
    </row>
    <row r="53" spans="1:22" ht="21.95" customHeight="1" x14ac:dyDescent="0.35">
      <c r="A53" s="363" t="s">
        <v>124</v>
      </c>
      <c r="B53" s="181"/>
      <c r="C53" s="182"/>
      <c r="D53" s="183"/>
      <c r="E53" s="184"/>
      <c r="F53" s="190"/>
      <c r="G53" s="364" t="str">
        <f>IF(OR(E53="",F53=""),"",PID_KVLohnLookup($A$1,E53,F53,LOHNTABELLE!$H$4))</f>
        <v/>
      </c>
      <c r="H53" s="365" t="str">
        <f>IF(AND(ISNUMBER(D53),ISNUMBER(F53)),ROUNDDOWN(MIN(IF(OR(ISBLANK(I53),I53=""),EOMONTH(DATE(EINSTELLUNG!$C$35,$A$1,1),0),I53)-MAX(D53,DATE(EINSTELLUNG!$C$35,$A$1,1))+1)/DAY(EOMONTH(DATE(EINSTELLUNG!$C$35,$A$1,1),0))*F53,2),"")</f>
        <v/>
      </c>
      <c r="I53" s="186"/>
      <c r="J53" s="187"/>
      <c r="K53" s="364" t="str">
        <f t="shared" si="1"/>
        <v/>
      </c>
      <c r="L53" s="366"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188"/>
      <c r="N53" s="189"/>
    </row>
    <row r="54" spans="1:22" ht="21.95" customHeight="1" x14ac:dyDescent="0.35">
      <c r="A54" s="363" t="s">
        <v>125</v>
      </c>
      <c r="B54" s="152"/>
      <c r="C54" s="153"/>
      <c r="D54" s="154"/>
      <c r="E54" s="155"/>
      <c r="F54" s="156"/>
      <c r="G54" s="364" t="str">
        <f>IF(OR(E54="",F54=""),"",PID_KVLohnLookup($A$1,E54,F54,LOHNTABELLE!$H$4))</f>
        <v/>
      </c>
      <c r="H54" s="365" t="str">
        <f>IF(AND(ISNUMBER(D54),ISNUMBER(F54)),ROUNDDOWN(MIN(IF(OR(ISBLANK(I54),I54=""),EOMONTH(DATE(EINSTELLUNG!$C$35,$A$1,1),0),I54)-MAX(D54,DATE(EINSTELLUNG!$C$35,$A$1,1))+1)/DAY(EOMONTH(DATE(EINSTELLUNG!$C$35,$A$1,1),0))*F54,2),"")</f>
        <v/>
      </c>
      <c r="I54" s="158"/>
      <c r="J54" s="165"/>
      <c r="K54" s="364" t="str">
        <f t="shared" si="1"/>
        <v/>
      </c>
      <c r="L54" s="366"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167"/>
      <c r="N54" s="168"/>
    </row>
    <row r="55" spans="1:22" ht="21.95" customHeight="1" x14ac:dyDescent="0.35">
      <c r="A55" s="363" t="s">
        <v>126</v>
      </c>
      <c r="B55" s="181"/>
      <c r="C55" s="182"/>
      <c r="D55" s="186"/>
      <c r="E55" s="184"/>
      <c r="F55" s="190"/>
      <c r="G55" s="364" t="str">
        <f>IF(OR(E55="",F55=""),"",PID_KVLohnLookup($A$1,E55,F55,LOHNTABELLE!$H$4))</f>
        <v/>
      </c>
      <c r="H55" s="365" t="str">
        <f>IF(AND(ISNUMBER(D55),ISNUMBER(F55)),ROUNDDOWN(MIN(IF(OR(ISBLANK(I55),I55=""),EOMONTH(DATE(EINSTELLUNG!$C$35,$A$1,1),0),I55)-MAX(D55,DATE(EINSTELLUNG!$C$35,$A$1,1))+1)/DAY(EOMONTH(DATE(EINSTELLUNG!$C$35,$A$1,1),0))*F55,2),"")</f>
        <v/>
      </c>
      <c r="I55" s="186"/>
      <c r="J55" s="187"/>
      <c r="K55" s="364" t="str">
        <f t="shared" si="1"/>
        <v/>
      </c>
      <c r="L55" s="366"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188"/>
      <c r="N55" s="189"/>
    </row>
    <row r="56" spans="1:22" ht="21.95" customHeight="1" x14ac:dyDescent="0.35">
      <c r="A56" s="363" t="s">
        <v>127</v>
      </c>
      <c r="B56" s="152"/>
      <c r="C56" s="153"/>
      <c r="D56" s="154"/>
      <c r="E56" s="155"/>
      <c r="F56" s="156"/>
      <c r="G56" s="364" t="str">
        <f>IF(OR(E56="",F56=""),"",PID_KVLohnLookup($A$1,E56,F56,LOHNTABELLE!$H$4))</f>
        <v/>
      </c>
      <c r="H56" s="365" t="str">
        <f>IF(AND(ISNUMBER(D56),ISNUMBER(F56)),ROUNDDOWN(MIN(IF(OR(ISBLANK(I56),I56=""),EOMONTH(DATE(EINSTELLUNG!$C$35,$A$1,1),0),I56)-MAX(D56,DATE(EINSTELLUNG!$C$35,$A$1,1))+1)/DAY(EOMONTH(DATE(EINSTELLUNG!$C$35,$A$1,1),0))*F56,2),"")</f>
        <v/>
      </c>
      <c r="I56" s="158"/>
      <c r="J56" s="165"/>
      <c r="K56" s="364" t="str">
        <f t="shared" si="1"/>
        <v/>
      </c>
      <c r="L56" s="366"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167"/>
      <c r="N56" s="168"/>
    </row>
    <row r="57" spans="1:22" ht="21.95" customHeight="1" x14ac:dyDescent="0.35">
      <c r="A57" s="363" t="s">
        <v>128</v>
      </c>
      <c r="B57" s="181"/>
      <c r="C57" s="182"/>
      <c r="D57" s="186"/>
      <c r="E57" s="184"/>
      <c r="F57" s="190"/>
      <c r="G57" s="364" t="str">
        <f>IF(OR(E57="",F57=""),"",PID_KVLohnLookup($A$1,E57,F57,LOHNTABELLE!$H$4))</f>
        <v/>
      </c>
      <c r="H57" s="365" t="str">
        <f>IF(AND(ISNUMBER(D57),ISNUMBER(F57)),ROUNDDOWN(MIN(IF(OR(ISBLANK(I57),I57=""),EOMONTH(DATE(EINSTELLUNG!$C$35,$A$1,1),0),I57)-MAX(D57,DATE(EINSTELLUNG!$C$35,$A$1,1))+1)/DAY(EOMONTH(DATE(EINSTELLUNG!$C$35,$A$1,1),0))*F57,2),"")</f>
        <v/>
      </c>
      <c r="I57" s="186"/>
      <c r="J57" s="187"/>
      <c r="K57" s="364" t="str">
        <f t="shared" si="1"/>
        <v/>
      </c>
      <c r="L57" s="366"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188"/>
      <c r="N57" s="189"/>
    </row>
    <row r="58" spans="1:22" ht="21.95" customHeight="1" x14ac:dyDescent="0.35">
      <c r="A58" s="363" t="s">
        <v>129</v>
      </c>
      <c r="B58" s="152"/>
      <c r="C58" s="153"/>
      <c r="D58" s="158"/>
      <c r="E58" s="155"/>
      <c r="F58" s="156"/>
      <c r="G58" s="364" t="str">
        <f>IF(OR(E58="",F58=""),"",PID_KVLohnLookup($A$1,E58,F58,LOHNTABELLE!$H$4))</f>
        <v/>
      </c>
      <c r="H58" s="365" t="str">
        <f>IF(AND(ISNUMBER(D58),ISNUMBER(F58)),ROUNDDOWN(MIN(IF(OR(ISBLANK(I58),I58=""),EOMONTH(DATE(EINSTELLUNG!$C$35,$A$1,1),0),I58)-MAX(D58,DATE(EINSTELLUNG!$C$35,$A$1,1))+1)/DAY(EOMONTH(DATE(EINSTELLUNG!$C$35,$A$1,1),0))*F58,2),"")</f>
        <v/>
      </c>
      <c r="I58" s="158"/>
      <c r="J58" s="165"/>
      <c r="K58" s="364" t="str">
        <f t="shared" si="1"/>
        <v/>
      </c>
      <c r="L58" s="366"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167"/>
      <c r="N58" s="168"/>
    </row>
    <row r="59" spans="1:22" ht="21.95" customHeight="1" x14ac:dyDescent="0.35">
      <c r="A59" s="363" t="s">
        <v>130</v>
      </c>
      <c r="B59" s="181"/>
      <c r="C59" s="182"/>
      <c r="D59" s="186"/>
      <c r="E59" s="184"/>
      <c r="F59" s="190"/>
      <c r="G59" s="364" t="str">
        <f>IF(OR(E59="",F59=""),"",PID_KVLohnLookup($A$1,E59,F59,LOHNTABELLE!$H$4))</f>
        <v/>
      </c>
      <c r="H59" s="365" t="str">
        <f>IF(AND(ISNUMBER(D59),ISNUMBER(F59)),ROUNDDOWN(MIN(IF(OR(ISBLANK(I59),I59=""),EOMONTH(DATE(EINSTELLUNG!$C$35,$A$1,1),0),I59)-MAX(D59,DATE(EINSTELLUNG!$C$35,$A$1,1))+1)/DAY(EOMONTH(DATE(EINSTELLUNG!$C$35,$A$1,1),0))*F59,2),"")</f>
        <v/>
      </c>
      <c r="I59" s="186"/>
      <c r="J59" s="187"/>
      <c r="K59" s="364" t="str">
        <f t="shared" si="1"/>
        <v/>
      </c>
      <c r="L59" s="366"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188"/>
      <c r="N59" s="189"/>
    </row>
    <row r="60" spans="1:22" ht="21.95" customHeight="1" x14ac:dyDescent="0.35">
      <c r="A60" s="363" t="s">
        <v>131</v>
      </c>
      <c r="B60" s="152"/>
      <c r="C60" s="153"/>
      <c r="D60" s="158"/>
      <c r="E60" s="155"/>
      <c r="F60" s="156"/>
      <c r="G60" s="364" t="str">
        <f>IF(OR(E60="",F60=""),"",PID_KVLohnLookup($A$1,E60,F60,LOHNTABELLE!$H$4))</f>
        <v/>
      </c>
      <c r="H60" s="365" t="str">
        <f>IF(AND(ISNUMBER(D60),ISNUMBER(F60)),ROUNDDOWN(MIN(IF(OR(ISBLANK(I60),I60=""),EOMONTH(DATE(EINSTELLUNG!$C$35,$A$1,1),0),I60)-MAX(D60,DATE(EINSTELLUNG!$C$35,$A$1,1))+1)/DAY(EOMONTH(DATE(EINSTELLUNG!$C$35,$A$1,1),0))*F60,2),"")</f>
        <v/>
      </c>
      <c r="I60" s="158"/>
      <c r="J60" s="165"/>
      <c r="K60" s="364" t="str">
        <f t="shared" si="1"/>
        <v/>
      </c>
      <c r="L60" s="366"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167"/>
      <c r="N60" s="168"/>
    </row>
    <row r="61" spans="1:22" ht="21.95" customHeight="1" x14ac:dyDescent="0.35">
      <c r="A61" s="363" t="s">
        <v>132</v>
      </c>
      <c r="B61" s="181"/>
      <c r="C61" s="182"/>
      <c r="D61" s="183"/>
      <c r="E61" s="184"/>
      <c r="F61" s="190"/>
      <c r="G61" s="364" t="str">
        <f>IF(OR(E61="",F61=""),"",PID_KVLohnLookup($A$1,E61,F61,LOHNTABELLE!$H$4))</f>
        <v/>
      </c>
      <c r="H61" s="365" t="str">
        <f>IF(AND(ISNUMBER(D61),ISNUMBER(F61)),ROUNDDOWN(MIN(IF(OR(ISBLANK(I61),I61=""),EOMONTH(DATE(EINSTELLUNG!$C$35,$A$1,1),0),I61)-MAX(D61,DATE(EINSTELLUNG!$C$35,$A$1,1))+1)/DAY(EOMONTH(DATE(EINSTELLUNG!$C$35,$A$1,1),0))*F61,2),"")</f>
        <v/>
      </c>
      <c r="I61" s="186"/>
      <c r="J61" s="187"/>
      <c r="K61" s="364" t="str">
        <f t="shared" si="1"/>
        <v/>
      </c>
      <c r="L61" s="366"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88"/>
      <c r="N61" s="189"/>
    </row>
    <row r="62" spans="1:22" ht="21.95" customHeight="1" x14ac:dyDescent="0.35">
      <c r="A62" s="363" t="s">
        <v>133</v>
      </c>
      <c r="B62" s="152"/>
      <c r="C62" s="153"/>
      <c r="D62" s="158"/>
      <c r="E62" s="155"/>
      <c r="F62" s="156"/>
      <c r="G62" s="364" t="str">
        <f>IF(OR(E62="",F62=""),"",PID_KVLohnLookup($A$1,E62,F62,LOHNTABELLE!$H$4))</f>
        <v/>
      </c>
      <c r="H62" s="365" t="str">
        <f>IF(AND(ISNUMBER(D62),ISNUMBER(F62)),ROUNDDOWN(MIN(IF(OR(ISBLANK(I62),I62=""),EOMONTH(DATE(EINSTELLUNG!$C$35,$A$1,1),0),I62)-MAX(D62,DATE(EINSTELLUNG!$C$35,$A$1,1))+1)/DAY(EOMONTH(DATE(EINSTELLUNG!$C$35,$A$1,1),0))*F62,2),"")</f>
        <v/>
      </c>
      <c r="I62" s="158"/>
      <c r="J62" s="165"/>
      <c r="K62" s="364" t="str">
        <f t="shared" si="1"/>
        <v/>
      </c>
      <c r="L62" s="366"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167"/>
      <c r="N62" s="168"/>
    </row>
    <row r="63" spans="1:22" ht="21.95" customHeight="1" x14ac:dyDescent="0.35">
      <c r="A63" s="363" t="s">
        <v>134</v>
      </c>
      <c r="B63" s="181"/>
      <c r="C63" s="182"/>
      <c r="D63" s="186"/>
      <c r="E63" s="184"/>
      <c r="F63" s="185"/>
      <c r="G63" s="364" t="str">
        <f>IF(OR(E63="",F63=""),"",PID_KVLohnLookup($A$1,E63,F63,LOHNTABELLE!$H$4))</f>
        <v/>
      </c>
      <c r="H63" s="365" t="str">
        <f>IF(AND(ISNUMBER(D63),ISNUMBER(F63)),ROUNDDOWN(MIN(IF(OR(ISBLANK(I63),I63=""),EOMONTH(DATE(EINSTELLUNG!$C$35,$A$1,1),0),I63)-MAX(D63,DATE(EINSTELLUNG!$C$35,$A$1,1))+1)/DAY(EOMONTH(DATE(EINSTELLUNG!$C$35,$A$1,1),0))*F63,2),"")</f>
        <v/>
      </c>
      <c r="I63" s="186"/>
      <c r="J63" s="187"/>
      <c r="K63" s="364" t="str">
        <f t="shared" si="1"/>
        <v/>
      </c>
      <c r="L63" s="366"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88"/>
      <c r="N63" s="189"/>
    </row>
    <row r="64" spans="1:22" ht="21.95" customHeight="1" x14ac:dyDescent="0.35">
      <c r="A64" s="363" t="s">
        <v>135</v>
      </c>
      <c r="B64" s="152"/>
      <c r="C64" s="153"/>
      <c r="D64" s="158"/>
      <c r="E64" s="155"/>
      <c r="F64" s="156"/>
      <c r="G64" s="364" t="str">
        <f>IF(OR(E64="",F64=""),"",PID_KVLohnLookup($A$1,E64,F64,LOHNTABELLE!$H$4))</f>
        <v/>
      </c>
      <c r="H64" s="365" t="str">
        <f>IF(AND(ISNUMBER(D64),ISNUMBER(F64)),ROUNDDOWN(MIN(IF(OR(ISBLANK(I64),I64=""),EOMONTH(DATE(EINSTELLUNG!$C$35,$A$1,1),0),I64)-MAX(D64,DATE(EINSTELLUNG!$C$35,$A$1,1))+1)/DAY(EOMONTH(DATE(EINSTELLUNG!$C$35,$A$1,1),0))*F64,2),"")</f>
        <v/>
      </c>
      <c r="I64" s="158"/>
      <c r="J64" s="165"/>
      <c r="K64" s="364" t="str">
        <f t="shared" si="1"/>
        <v/>
      </c>
      <c r="L64" s="366"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167"/>
      <c r="N64" s="168"/>
    </row>
    <row r="65" spans="1:14" ht="21.95" customHeight="1" x14ac:dyDescent="0.35">
      <c r="A65" s="363" t="s">
        <v>136</v>
      </c>
      <c r="B65" s="181"/>
      <c r="C65" s="193"/>
      <c r="D65" s="186"/>
      <c r="E65" s="184"/>
      <c r="F65" s="190"/>
      <c r="G65" s="364" t="str">
        <f>IF(OR(E65="",F65=""),"",PID_KVLohnLookup($A$1,E65,F65,LOHNTABELLE!$H$4))</f>
        <v/>
      </c>
      <c r="H65" s="365" t="str">
        <f>IF(AND(ISNUMBER(D65),ISNUMBER(F65)),ROUNDDOWN(MIN(IF(OR(ISBLANK(I65),I65=""),EOMONTH(DATE(EINSTELLUNG!$C$35,$A$1,1),0),I65)-MAX(D65,DATE(EINSTELLUNG!$C$35,$A$1,1))+1)/DAY(EOMONTH(DATE(EINSTELLUNG!$C$35,$A$1,1),0))*F65,2),"")</f>
        <v/>
      </c>
      <c r="I65" s="186"/>
      <c r="J65" s="187"/>
      <c r="K65" s="364" t="str">
        <f t="shared" si="1"/>
        <v/>
      </c>
      <c r="L65" s="366"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88"/>
      <c r="N65" s="189"/>
    </row>
    <row r="66" spans="1:14" ht="21.95" customHeight="1" x14ac:dyDescent="0.35">
      <c r="A66" s="363" t="s">
        <v>137</v>
      </c>
      <c r="B66" s="152"/>
      <c r="C66" s="153"/>
      <c r="D66" s="158"/>
      <c r="E66" s="155"/>
      <c r="F66" s="156"/>
      <c r="G66" s="364" t="str">
        <f>IF(OR(E66="",F66=""),"",PID_KVLohnLookup($A$1,E66,F66,LOHNTABELLE!$H$4))</f>
        <v/>
      </c>
      <c r="H66" s="365" t="str">
        <f>IF(AND(ISNUMBER(D66),ISNUMBER(F66)),ROUNDDOWN(MIN(IF(OR(ISBLANK(I66),I66=""),EOMONTH(DATE(EINSTELLUNG!$C$35,$A$1,1),0),I66)-MAX(D66,DATE(EINSTELLUNG!$C$35,$A$1,1))+1)/DAY(EOMONTH(DATE(EINSTELLUNG!$C$35,$A$1,1),0))*F66,2),"")</f>
        <v/>
      </c>
      <c r="I66" s="158"/>
      <c r="J66" s="165"/>
      <c r="K66" s="364" t="str">
        <f t="shared" si="1"/>
        <v/>
      </c>
      <c r="L66" s="366"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167"/>
      <c r="N66" s="168"/>
    </row>
    <row r="67" spans="1:14" ht="21.95" customHeight="1" x14ac:dyDescent="0.35">
      <c r="A67" s="363" t="s">
        <v>138</v>
      </c>
      <c r="B67" s="181"/>
      <c r="C67" s="182"/>
      <c r="D67" s="186"/>
      <c r="E67" s="184"/>
      <c r="F67" s="190"/>
      <c r="G67" s="364" t="str">
        <f>IF(OR(E67="",F67=""),"",PID_KVLohnLookup($A$1,E67,F67,LOHNTABELLE!$H$4))</f>
        <v/>
      </c>
      <c r="H67" s="365" t="str">
        <f>IF(AND(ISNUMBER(D67),ISNUMBER(F67)),ROUNDDOWN(MIN(IF(OR(ISBLANK(I67),I67=""),EOMONTH(DATE(EINSTELLUNG!$C$35,$A$1,1),0),I67)-MAX(D67,DATE(EINSTELLUNG!$C$35,$A$1,1))+1)/DAY(EOMONTH(DATE(EINSTELLUNG!$C$35,$A$1,1),0))*F67,2),"")</f>
        <v/>
      </c>
      <c r="I67" s="186"/>
      <c r="J67" s="187"/>
      <c r="K67" s="364" t="str">
        <f t="shared" ref="K67:K98" si="3">IF(OR(B67="",C67=""),"",IFERROR(IF(OR(MONTH(D67)=1,MONTH(D67)=3,MONTH(D67)=5,MONTH(D67)=7,MONTH(D67)=8,MONTH(D67)=10,MONTH(D67)=12),(G67/31)*J67,IF(OR(MONTH(D67)=4,MONTH(D67)=6,MONTH(D67)=9,MONTH(D67)=11),(G67/30)*J67,(G67/DAY(EOMONTH(D67,0)))*J67)),0))</f>
        <v/>
      </c>
      <c r="L67" s="366"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88"/>
      <c r="N67" s="189"/>
    </row>
    <row r="68" spans="1:14" ht="21.95" customHeight="1" x14ac:dyDescent="0.35">
      <c r="A68" s="363" t="s">
        <v>139</v>
      </c>
      <c r="B68" s="152"/>
      <c r="C68" s="153"/>
      <c r="D68" s="158"/>
      <c r="E68" s="155"/>
      <c r="F68" s="156"/>
      <c r="G68" s="364" t="str">
        <f>IF(OR(E68="",F68=""),"",PID_KVLohnLookup($A$1,E68,F68,LOHNTABELLE!$H$4))</f>
        <v/>
      </c>
      <c r="H68" s="365" t="str">
        <f>IF(AND(ISNUMBER(D68),ISNUMBER(F68)),ROUNDDOWN(MIN(IF(OR(ISBLANK(I68),I68=""),EOMONTH(DATE(EINSTELLUNG!$C$35,$A$1,1),0),I68)-MAX(D68,DATE(EINSTELLUNG!$C$35,$A$1,1))+1)/DAY(EOMONTH(DATE(EINSTELLUNG!$C$35,$A$1,1),0))*F68,2),"")</f>
        <v/>
      </c>
      <c r="I68" s="158"/>
      <c r="J68" s="165"/>
      <c r="K68" s="364" t="str">
        <f t="shared" si="3"/>
        <v/>
      </c>
      <c r="L68" s="366"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167"/>
      <c r="N68" s="168"/>
    </row>
    <row r="69" spans="1:14" ht="21.95" customHeight="1" x14ac:dyDescent="0.35">
      <c r="A69" s="363" t="s">
        <v>140</v>
      </c>
      <c r="B69" s="181"/>
      <c r="C69" s="182"/>
      <c r="D69" s="186"/>
      <c r="E69" s="184"/>
      <c r="F69" s="190"/>
      <c r="G69" s="364" t="str">
        <f>IF(OR(E69="",F69=""),"",PID_KVLohnLookup($A$1,E69,F69,LOHNTABELLE!$H$4))</f>
        <v/>
      </c>
      <c r="H69" s="365" t="str">
        <f>IF(AND(ISNUMBER(D69),ISNUMBER(F69)),ROUNDDOWN(MIN(IF(OR(ISBLANK(I69),I69=""),EOMONTH(DATE(EINSTELLUNG!$C$35,$A$1,1),0),I69)-MAX(D69,DATE(EINSTELLUNG!$C$35,$A$1,1))+1)/DAY(EOMONTH(DATE(EINSTELLUNG!$C$35,$A$1,1),0))*F69,2),"")</f>
        <v/>
      </c>
      <c r="I69" s="186"/>
      <c r="J69" s="187"/>
      <c r="K69" s="364" t="str">
        <f t="shared" si="3"/>
        <v/>
      </c>
      <c r="L69" s="366"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88"/>
      <c r="N69" s="189"/>
    </row>
    <row r="70" spans="1:14" ht="21.95" customHeight="1" x14ac:dyDescent="0.35">
      <c r="A70" s="363" t="s">
        <v>141</v>
      </c>
      <c r="B70" s="152"/>
      <c r="C70" s="153"/>
      <c r="D70" s="158"/>
      <c r="E70" s="155"/>
      <c r="F70" s="156"/>
      <c r="G70" s="364" t="str">
        <f>IF(OR(E70="",F70=""),"",PID_KVLohnLookup($A$1,E70,F70,LOHNTABELLE!$H$4))</f>
        <v/>
      </c>
      <c r="H70" s="365" t="str">
        <f>IF(AND(ISNUMBER(D70),ISNUMBER(F70)),ROUNDDOWN(MIN(IF(OR(ISBLANK(I70),I70=""),EOMONTH(DATE(EINSTELLUNG!$C$35,$A$1,1),0),I70)-MAX(D70,DATE(EINSTELLUNG!$C$35,$A$1,1))+1)/DAY(EOMONTH(DATE(EINSTELLUNG!$C$35,$A$1,1),0))*F70,2),"")</f>
        <v/>
      </c>
      <c r="I70" s="158"/>
      <c r="J70" s="165"/>
      <c r="K70" s="364" t="str">
        <f t="shared" si="3"/>
        <v/>
      </c>
      <c r="L70" s="366"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167"/>
      <c r="N70" s="168"/>
    </row>
    <row r="71" spans="1:14" ht="21.95" customHeight="1" x14ac:dyDescent="0.35">
      <c r="A71" s="363" t="s">
        <v>142</v>
      </c>
      <c r="B71" s="181"/>
      <c r="C71" s="182"/>
      <c r="D71" s="186"/>
      <c r="E71" s="184"/>
      <c r="F71" s="190"/>
      <c r="G71" s="364" t="str">
        <f>IF(OR(E71="",F71=""),"",PID_KVLohnLookup($A$1,E71,F71,LOHNTABELLE!$H$4))</f>
        <v/>
      </c>
      <c r="H71" s="365" t="str">
        <f>IF(AND(ISNUMBER(D71),ISNUMBER(F71)),ROUNDDOWN(MIN(IF(OR(ISBLANK(I71),I71=""),EOMONTH(DATE(EINSTELLUNG!$C$35,$A$1,1),0),I71)-MAX(D71,DATE(EINSTELLUNG!$C$35,$A$1,1))+1)/DAY(EOMONTH(DATE(EINSTELLUNG!$C$35,$A$1,1),0))*F71,2),"")</f>
        <v/>
      </c>
      <c r="I71" s="186"/>
      <c r="J71" s="187"/>
      <c r="K71" s="364" t="str">
        <f t="shared" si="3"/>
        <v/>
      </c>
      <c r="L71" s="366"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88"/>
      <c r="N71" s="189"/>
    </row>
    <row r="72" spans="1:14" ht="21.95" customHeight="1" x14ac:dyDescent="0.35">
      <c r="A72" s="363" t="s">
        <v>143</v>
      </c>
      <c r="B72" s="152"/>
      <c r="C72" s="153"/>
      <c r="D72" s="158"/>
      <c r="E72" s="155"/>
      <c r="F72" s="156"/>
      <c r="G72" s="364" t="str">
        <f>IF(OR(E72="",F72=""),"",PID_KVLohnLookup($A$1,E72,F72,LOHNTABELLE!$H$4))</f>
        <v/>
      </c>
      <c r="H72" s="365" t="str">
        <f>IF(AND(ISNUMBER(D72),ISNUMBER(F72)),ROUNDDOWN(MIN(IF(OR(ISBLANK(I72),I72=""),EOMONTH(DATE(EINSTELLUNG!$C$35,$A$1,1),0),I72)-MAX(D72,DATE(EINSTELLUNG!$C$35,$A$1,1))+1)/DAY(EOMONTH(DATE(EINSTELLUNG!$C$35,$A$1,1),0))*F72,2),"")</f>
        <v/>
      </c>
      <c r="I72" s="158"/>
      <c r="J72" s="165"/>
      <c r="K72" s="364" t="str">
        <f t="shared" si="3"/>
        <v/>
      </c>
      <c r="L72" s="366"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167"/>
      <c r="N72" s="168"/>
    </row>
    <row r="73" spans="1:14" ht="21.95" customHeight="1" x14ac:dyDescent="0.35">
      <c r="A73" s="363" t="s">
        <v>144</v>
      </c>
      <c r="B73" s="181"/>
      <c r="C73" s="182"/>
      <c r="D73" s="186"/>
      <c r="E73" s="184"/>
      <c r="F73" s="190"/>
      <c r="G73" s="364" t="str">
        <f>IF(OR(E73="",F73=""),"",PID_KVLohnLookup($A$1,E73,F73,LOHNTABELLE!$H$4))</f>
        <v/>
      </c>
      <c r="H73" s="365" t="str">
        <f>IF(AND(ISNUMBER(D73),ISNUMBER(F73)),ROUNDDOWN(MIN(IF(OR(ISBLANK(I73),I73=""),EOMONTH(DATE(EINSTELLUNG!$C$35,$A$1,1),0),I73)-MAX(D73,DATE(EINSTELLUNG!$C$35,$A$1,1))+1)/DAY(EOMONTH(DATE(EINSTELLUNG!$C$35,$A$1,1),0))*F73,2),"")</f>
        <v/>
      </c>
      <c r="I73" s="186"/>
      <c r="J73" s="187"/>
      <c r="K73" s="364" t="str">
        <f t="shared" si="3"/>
        <v/>
      </c>
      <c r="L73" s="366"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88"/>
      <c r="N73" s="189"/>
    </row>
    <row r="74" spans="1:14" ht="21.95" customHeight="1" x14ac:dyDescent="0.35">
      <c r="A74" s="363" t="s">
        <v>145</v>
      </c>
      <c r="B74" s="152"/>
      <c r="C74" s="153"/>
      <c r="D74" s="158"/>
      <c r="E74" s="155"/>
      <c r="F74" s="156"/>
      <c r="G74" s="364" t="str">
        <f>IF(OR(E74="",F74=""),"",PID_KVLohnLookup($A$1,E74,F74,LOHNTABELLE!$H$4))</f>
        <v/>
      </c>
      <c r="H74" s="365" t="str">
        <f>IF(AND(ISNUMBER(D74),ISNUMBER(F74)),ROUNDDOWN(MIN(IF(OR(ISBLANK(I74),I74=""),EOMONTH(DATE(EINSTELLUNG!$C$35,$A$1,1),0),I74)-MAX(D74,DATE(EINSTELLUNG!$C$35,$A$1,1))+1)/DAY(EOMONTH(DATE(EINSTELLUNG!$C$35,$A$1,1),0))*F74,2),"")</f>
        <v/>
      </c>
      <c r="I74" s="158"/>
      <c r="J74" s="165"/>
      <c r="K74" s="364" t="str">
        <f t="shared" si="3"/>
        <v/>
      </c>
      <c r="L74" s="366"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167"/>
      <c r="N74" s="168"/>
    </row>
    <row r="75" spans="1:14" ht="21.95" customHeight="1" x14ac:dyDescent="0.35">
      <c r="A75" s="363" t="s">
        <v>146</v>
      </c>
      <c r="B75" s="181"/>
      <c r="C75" s="182"/>
      <c r="D75" s="186"/>
      <c r="E75" s="184"/>
      <c r="F75" s="190"/>
      <c r="G75" s="364" t="str">
        <f>IF(OR(E75="",F75=""),"",PID_KVLohnLookup($A$1,E75,F75,LOHNTABELLE!$H$4))</f>
        <v/>
      </c>
      <c r="H75" s="365" t="str">
        <f>IF(AND(ISNUMBER(D75),ISNUMBER(F75)),ROUNDDOWN(MIN(IF(OR(ISBLANK(I75),I75=""),EOMONTH(DATE(EINSTELLUNG!$C$35,$A$1,1),0),I75)-MAX(D75,DATE(EINSTELLUNG!$C$35,$A$1,1))+1)/DAY(EOMONTH(DATE(EINSTELLUNG!$C$35,$A$1,1),0))*F75,2),"")</f>
        <v/>
      </c>
      <c r="I75" s="186"/>
      <c r="J75" s="187"/>
      <c r="K75" s="364" t="str">
        <f t="shared" si="3"/>
        <v/>
      </c>
      <c r="L75" s="366"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88"/>
      <c r="N75" s="189"/>
    </row>
    <row r="76" spans="1:14" ht="21.95" customHeight="1" x14ac:dyDescent="0.35">
      <c r="A76" s="363" t="s">
        <v>147</v>
      </c>
      <c r="B76" s="152"/>
      <c r="C76" s="153"/>
      <c r="D76" s="158"/>
      <c r="E76" s="155"/>
      <c r="F76" s="156"/>
      <c r="G76" s="364" t="str">
        <f>IF(OR(E76="",F76=""),"",PID_KVLohnLookup($A$1,E76,F76,LOHNTABELLE!$H$4))</f>
        <v/>
      </c>
      <c r="H76" s="365" t="str">
        <f>IF(AND(ISNUMBER(D76),ISNUMBER(F76)),ROUNDDOWN(MIN(IF(OR(ISBLANK(I76),I76=""),EOMONTH(DATE(EINSTELLUNG!$C$35,$A$1,1),0),I76)-MAX(D76,DATE(EINSTELLUNG!$C$35,$A$1,1))+1)/DAY(EOMONTH(DATE(EINSTELLUNG!$C$35,$A$1,1),0))*F76,2),"")</f>
        <v/>
      </c>
      <c r="I76" s="158"/>
      <c r="J76" s="165"/>
      <c r="K76" s="364" t="str">
        <f t="shared" si="3"/>
        <v/>
      </c>
      <c r="L76" s="366"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167"/>
      <c r="N76" s="168"/>
    </row>
    <row r="77" spans="1:14" ht="21.95" customHeight="1" x14ac:dyDescent="0.35">
      <c r="A77" s="363" t="s">
        <v>148</v>
      </c>
      <c r="B77" s="181"/>
      <c r="C77" s="182"/>
      <c r="D77" s="186"/>
      <c r="E77" s="184"/>
      <c r="F77" s="190"/>
      <c r="G77" s="364" t="str">
        <f>IF(OR(E77="",F77=""),"",PID_KVLohnLookup($A$1,E77,F77,LOHNTABELLE!$H$4))</f>
        <v/>
      </c>
      <c r="H77" s="365" t="str">
        <f>IF(AND(ISNUMBER(D77),ISNUMBER(F77)),ROUNDDOWN(MIN(IF(OR(ISBLANK(I77),I77=""),EOMONTH(DATE(EINSTELLUNG!$C$35,$A$1,1),0),I77)-MAX(D77,DATE(EINSTELLUNG!$C$35,$A$1,1))+1)/DAY(EOMONTH(DATE(EINSTELLUNG!$C$35,$A$1,1),0))*F77,2),"")</f>
        <v/>
      </c>
      <c r="I77" s="186"/>
      <c r="J77" s="187"/>
      <c r="K77" s="364" t="str">
        <f t="shared" si="3"/>
        <v/>
      </c>
      <c r="L77" s="366"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88"/>
      <c r="N77" s="189"/>
    </row>
    <row r="78" spans="1:14" ht="21.95" customHeight="1" x14ac:dyDescent="0.35">
      <c r="A78" s="363" t="s">
        <v>149</v>
      </c>
      <c r="B78" s="152"/>
      <c r="C78" s="153"/>
      <c r="D78" s="158"/>
      <c r="E78" s="155"/>
      <c r="F78" s="156"/>
      <c r="G78" s="364" t="str">
        <f>IF(OR(E78="",F78=""),"",PID_KVLohnLookup($A$1,E78,F78,LOHNTABELLE!$H$4))</f>
        <v/>
      </c>
      <c r="H78" s="365" t="str">
        <f>IF(AND(ISNUMBER(D78),ISNUMBER(F78)),ROUNDDOWN(MIN(IF(OR(ISBLANK(I78),I78=""),EOMONTH(DATE(EINSTELLUNG!$C$35,$A$1,1),0),I78)-MAX(D78,DATE(EINSTELLUNG!$C$35,$A$1,1))+1)/DAY(EOMONTH(DATE(EINSTELLUNG!$C$35,$A$1,1),0))*F78,2),"")</f>
        <v/>
      </c>
      <c r="I78" s="158"/>
      <c r="J78" s="165"/>
      <c r="K78" s="364" t="str">
        <f t="shared" si="3"/>
        <v/>
      </c>
      <c r="L78" s="366"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167"/>
      <c r="N78" s="168"/>
    </row>
    <row r="79" spans="1:14" ht="21.95" customHeight="1" x14ac:dyDescent="0.35">
      <c r="A79" s="363" t="s">
        <v>150</v>
      </c>
      <c r="B79" s="181"/>
      <c r="C79" s="182"/>
      <c r="D79" s="186"/>
      <c r="E79" s="184"/>
      <c r="F79" s="190"/>
      <c r="G79" s="364" t="str">
        <f>IF(OR(E79="",F79=""),"",PID_KVLohnLookup($A$1,E79,F79,LOHNTABELLE!$H$4))</f>
        <v/>
      </c>
      <c r="H79" s="365" t="str">
        <f>IF(AND(ISNUMBER(D79),ISNUMBER(F79)),ROUNDDOWN(MIN(IF(OR(ISBLANK(I79),I79=""),EOMONTH(DATE(EINSTELLUNG!$C$35,$A$1,1),0),I79)-MAX(D79,DATE(EINSTELLUNG!$C$35,$A$1,1))+1)/DAY(EOMONTH(DATE(EINSTELLUNG!$C$35,$A$1,1),0))*F79,2),"")</f>
        <v/>
      </c>
      <c r="I79" s="186"/>
      <c r="J79" s="187"/>
      <c r="K79" s="364" t="str">
        <f t="shared" si="3"/>
        <v/>
      </c>
      <c r="L79" s="366"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88"/>
      <c r="N79" s="189"/>
    </row>
    <row r="80" spans="1:14" ht="21.95" customHeight="1" x14ac:dyDescent="0.35">
      <c r="A80" s="363" t="s">
        <v>151</v>
      </c>
      <c r="B80" s="152"/>
      <c r="C80" s="153"/>
      <c r="D80" s="158"/>
      <c r="E80" s="155"/>
      <c r="F80" s="156"/>
      <c r="G80" s="364" t="str">
        <f>IF(OR(E80="",F80=""),"",PID_KVLohnLookup($A$1,E80,F80,LOHNTABELLE!$H$4))</f>
        <v/>
      </c>
      <c r="H80" s="365" t="str">
        <f>IF(AND(ISNUMBER(D80),ISNUMBER(F80)),ROUNDDOWN(MIN(IF(OR(ISBLANK(I80),I80=""),EOMONTH(DATE(EINSTELLUNG!$C$35,$A$1,1),0),I80)-MAX(D80,DATE(EINSTELLUNG!$C$35,$A$1,1))+1)/DAY(EOMONTH(DATE(EINSTELLUNG!$C$35,$A$1,1),0))*F80,2),"")</f>
        <v/>
      </c>
      <c r="I80" s="158"/>
      <c r="J80" s="165"/>
      <c r="K80" s="364" t="str">
        <f t="shared" si="3"/>
        <v/>
      </c>
      <c r="L80" s="366"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167"/>
      <c r="N80" s="168"/>
    </row>
    <row r="81" spans="1:14" ht="21.95" customHeight="1" x14ac:dyDescent="0.35">
      <c r="A81" s="363" t="s">
        <v>152</v>
      </c>
      <c r="B81" s="181"/>
      <c r="C81" s="182"/>
      <c r="D81" s="186"/>
      <c r="E81" s="184"/>
      <c r="F81" s="190"/>
      <c r="G81" s="364" t="str">
        <f>IF(OR(E81="",F81=""),"",PID_KVLohnLookup($A$1,E81,F81,LOHNTABELLE!$H$4))</f>
        <v/>
      </c>
      <c r="H81" s="365" t="str">
        <f>IF(AND(ISNUMBER(D81),ISNUMBER(F81)),ROUNDDOWN(MIN(IF(OR(ISBLANK(I81),I81=""),EOMONTH(DATE(EINSTELLUNG!$C$35,$A$1,1),0),I81)-MAX(D81,DATE(EINSTELLUNG!$C$35,$A$1,1))+1)/DAY(EOMONTH(DATE(EINSTELLUNG!$C$35,$A$1,1),0))*F81,2),"")</f>
        <v/>
      </c>
      <c r="I81" s="186"/>
      <c r="J81" s="187"/>
      <c r="K81" s="364" t="str">
        <f t="shared" si="3"/>
        <v/>
      </c>
      <c r="L81" s="366"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88"/>
      <c r="N81" s="189"/>
    </row>
    <row r="82" spans="1:14" ht="21.95" customHeight="1" thickBot="1" x14ac:dyDescent="0.4">
      <c r="A82" s="423" t="s">
        <v>153</v>
      </c>
      <c r="B82" s="160"/>
      <c r="C82" s="161"/>
      <c r="D82" s="162"/>
      <c r="E82" s="163"/>
      <c r="F82" s="164"/>
      <c r="G82" s="424" t="str">
        <f>IF(OR(E82="",F82=""),"",PID_KVLohnLookup($A$1,E82,F82,LOHNTABELLE!$H$4))</f>
        <v/>
      </c>
      <c r="H82" s="425" t="str">
        <f>IF(AND(ISNUMBER(D82),ISNUMBER(F82)),ROUNDDOWN(MIN(IF(OR(ISBLANK(I82),I82=""),EOMONTH(DATE(EINSTELLUNG!$C$35,$A$1,1),0),I82)-MAX(D82,DATE(EINSTELLUNG!$C$35,$A$1,1))+1)/DAY(EOMONTH(DATE(EINSTELLUNG!$C$35,$A$1,1),0))*F82,2),"")</f>
        <v/>
      </c>
      <c r="I82" s="162"/>
      <c r="J82" s="166"/>
      <c r="K82" s="424" t="str">
        <f t="shared" si="3"/>
        <v/>
      </c>
      <c r="L82" s="42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71"/>
      <c r="N82" s="172"/>
    </row>
    <row r="83" spans="1:14" ht="15.95" customHeight="1" x14ac:dyDescent="0.3">
      <c r="A83" s="462"/>
      <c r="B83" s="462"/>
    </row>
    <row r="100" spans="26:26" ht="15.95" customHeight="1" x14ac:dyDescent="0.3">
      <c r="Z100" s="343"/>
    </row>
  </sheetData>
  <sheetProtection algorithmName="SHA-512" hashValue="lln6Mu9tx7LnQCWJEeGM7G+xX7xKGJjyLuxdHEkzw1NTWlHS7N9EhsaSDQshmakBBFNnclQJWIMLFVS/wjWtYg==" saltValue="F679NI+XRBwyQ9tiIlpAUQ==" spinCount="100000" sheet="1" objects="1" scenarios="1" autoFilter="0"/>
  <sortState xmlns:xlrd2="http://schemas.microsoft.com/office/spreadsheetml/2017/richdata2" ref="B3:N82">
    <sortCondition ref="B3:B82"/>
    <sortCondition ref="C3:C82"/>
  </sortState>
  <mergeCells count="102">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E98FC00-B2EB-430F-8B6B-56BFDE8941A2}">
          <x14:formula1>
            <xm:f>KV_DROPDOWN_HELPER!$AJY$1:$AJY$12</xm:f>
          </x14:formula1>
          <xm:sqref>E3:E82</xm:sqref>
        </x14:dataValidation>
        <x14:dataValidation type="list" allowBlank="1" showInputMessage="1" showErrorMessage="1" xr:uid="{03F0A19D-BD47-4DAE-9520-549B2D7A7CA6}">
          <x14:formula1>
            <xm:f>KV_DROPDOWN_HELPER!$AGW$1:$AGW$13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
  <sheetViews>
    <sheetView workbookViewId="0">
      <selection activeCell="F18" sqref="F18"/>
    </sheetView>
  </sheetViews>
  <sheetFormatPr baseColWidth="10" defaultRowHeight="15" x14ac:dyDescent="0.25"/>
  <cols>
    <col min="1" max="1" width="6.85546875" bestFit="1" customWidth="1"/>
    <col min="2" max="2" width="11" bestFit="1" customWidth="1"/>
    <col min="3" max="3" width="6.28515625" bestFit="1" customWidth="1"/>
    <col min="4" max="4" width="13.7109375" style="3" bestFit="1" customWidth="1"/>
    <col min="5" max="5" width="14.28515625" style="3" bestFit="1" customWidth="1"/>
    <col min="6" max="6" width="13.7109375" bestFit="1" customWidth="1"/>
    <col min="7" max="7" width="21" bestFit="1" customWidth="1"/>
    <col min="8" max="8" width="14.7109375" style="5" bestFit="1" customWidth="1"/>
    <col min="9" max="9" width="10.7109375" style="5" bestFit="1" customWidth="1"/>
    <col min="10" max="10" width="13" style="5" bestFit="1" customWidth="1"/>
    <col min="11" max="11" width="9.5703125" bestFit="1" customWidth="1"/>
  </cols>
  <sheetData>
    <row r="1" spans="1:11" x14ac:dyDescent="0.25">
      <c r="A1" s="1" t="s">
        <v>205</v>
      </c>
      <c r="B1" s="1" t="s">
        <v>179</v>
      </c>
      <c r="C1" s="1" t="s">
        <v>39</v>
      </c>
      <c r="D1" s="2" t="s">
        <v>206</v>
      </c>
      <c r="E1" s="2" t="s">
        <v>207</v>
      </c>
      <c r="F1" s="1" t="s">
        <v>182</v>
      </c>
      <c r="G1" s="1" t="s">
        <v>212</v>
      </c>
      <c r="H1" s="4" t="s">
        <v>208</v>
      </c>
      <c r="I1" s="4" t="s">
        <v>209</v>
      </c>
      <c r="J1" s="4" t="s">
        <v>213</v>
      </c>
      <c r="K1" s="1" t="s">
        <v>210</v>
      </c>
    </row>
  </sheetData>
  <sheetProtection algorithmName="SHA-512" hashValue="4UaAk3yME0Ajxs0XK1ndVoZiqSgodzWnOuxqtmYzm0OzWNbzYQmJ0Xvv/NZ4p+bCEZPDbiNPPdO3Xevz4gyx5A==" saltValue="WBmEnxTIRgEmuXUEPS93ww=="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2578125" defaultRowHeight="15" x14ac:dyDescent="0.25"/>
  <sheetData>
    <row r="1" spans="1:1" x14ac:dyDescent="0.25">
      <c r="A1" t="b">
        <v>1</v>
      </c>
    </row>
  </sheetData>
  <sheetProtection algorithmName="SHA-512" hashValue="NGZX67bDEZGQhsZ6foQ0bYA8qqB1qmf7XritE3UZwbV8Ozrts5H4afd/g+/evEW59+MJTvTqM8+hKdGU5jRbLw==" saltValue="XUMNftWQ/rRbxGMqnQGvfg=="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5"/>
  <sheetViews>
    <sheetView workbookViewId="0"/>
  </sheetViews>
  <sheetFormatPr baseColWidth="10" defaultRowHeight="15" x14ac:dyDescent="0.25"/>
  <sheetData>
    <row r="1" spans="1:961" x14ac:dyDescent="0.25">
      <c r="A1" s="5">
        <v>173</v>
      </c>
      <c r="B1" s="5">
        <v>173</v>
      </c>
      <c r="C1" s="5">
        <v>173</v>
      </c>
      <c r="CC1" s="5">
        <v>173</v>
      </c>
      <c r="CD1" s="5">
        <v>173</v>
      </c>
      <c r="FE1" s="5">
        <v>173</v>
      </c>
      <c r="IG1" s="5">
        <v>173</v>
      </c>
      <c r="LI1" s="5">
        <v>173</v>
      </c>
      <c r="OK1" s="5">
        <v>173</v>
      </c>
      <c r="RM1" s="5">
        <v>173</v>
      </c>
      <c r="UO1" s="5">
        <v>173</v>
      </c>
      <c r="XQ1" s="5">
        <v>173</v>
      </c>
      <c r="AAS1" s="5">
        <v>173</v>
      </c>
      <c r="ADU1" s="5">
        <v>173</v>
      </c>
      <c r="AGW1" s="5">
        <v>173</v>
      </c>
      <c r="AJY1" t="s">
        <v>2</v>
      </c>
    </row>
    <row r="2" spans="1:961" x14ac:dyDescent="0.25">
      <c r="A2" s="5">
        <v>151.38</v>
      </c>
      <c r="B2" s="5">
        <v>171</v>
      </c>
      <c r="C2" s="5">
        <v>151.38</v>
      </c>
      <c r="CC2" s="5">
        <v>171</v>
      </c>
      <c r="CD2" s="5">
        <v>151.38</v>
      </c>
      <c r="FE2" s="5">
        <v>151.38</v>
      </c>
      <c r="IG2" s="5">
        <v>151.38</v>
      </c>
      <c r="LI2" s="5">
        <v>151.38</v>
      </c>
      <c r="OK2" s="5">
        <v>151.38</v>
      </c>
      <c r="RM2" s="5">
        <v>151.38</v>
      </c>
      <c r="UO2" s="5">
        <v>151.38</v>
      </c>
      <c r="XQ2" s="5">
        <v>151.38</v>
      </c>
      <c r="AAS2" s="5">
        <v>151.38</v>
      </c>
      <c r="ADU2" s="5">
        <v>151.38</v>
      </c>
      <c r="AGW2" s="5">
        <v>151.38</v>
      </c>
      <c r="AJY2" t="s">
        <v>3</v>
      </c>
    </row>
    <row r="3" spans="1:961" x14ac:dyDescent="0.25">
      <c r="A3" s="5">
        <v>138.4</v>
      </c>
      <c r="B3" s="5">
        <v>169</v>
      </c>
      <c r="C3" s="5">
        <v>138.4</v>
      </c>
      <c r="CC3" s="5">
        <v>169</v>
      </c>
      <c r="CD3" s="5">
        <v>138.4</v>
      </c>
      <c r="FE3" s="5">
        <v>138.4</v>
      </c>
      <c r="IG3" s="5">
        <v>138.4</v>
      </c>
      <c r="LI3" s="5">
        <v>138.4</v>
      </c>
      <c r="OK3" s="5">
        <v>138.4</v>
      </c>
      <c r="RM3" s="5">
        <v>138.4</v>
      </c>
      <c r="UO3" s="5">
        <v>138.4</v>
      </c>
      <c r="XQ3" s="5">
        <v>138.4</v>
      </c>
      <c r="AAS3" s="5">
        <v>138.4</v>
      </c>
      <c r="ADU3" s="5">
        <v>138.4</v>
      </c>
      <c r="AGW3" s="5">
        <v>138.4</v>
      </c>
      <c r="AJY3" t="s">
        <v>4</v>
      </c>
    </row>
    <row r="4" spans="1:961" x14ac:dyDescent="0.25">
      <c r="A4" s="5">
        <v>129.75</v>
      </c>
      <c r="B4" s="5">
        <v>151.38</v>
      </c>
      <c r="C4" s="5">
        <v>129.75</v>
      </c>
      <c r="CC4" s="5">
        <v>151.38</v>
      </c>
      <c r="CD4" s="5">
        <v>129.75</v>
      </c>
      <c r="FE4" s="5">
        <v>129.75</v>
      </c>
      <c r="IG4" s="5">
        <v>129.75</v>
      </c>
      <c r="LI4" s="5">
        <v>129.75</v>
      </c>
      <c r="OK4" s="5">
        <v>129.75</v>
      </c>
      <c r="RM4" s="5">
        <v>129.75</v>
      </c>
      <c r="UO4" s="5">
        <v>129.75</v>
      </c>
      <c r="XQ4" s="5">
        <v>129.75</v>
      </c>
      <c r="AAS4" s="5">
        <v>129.75</v>
      </c>
      <c r="ADU4" s="5">
        <v>129.75</v>
      </c>
      <c r="AGW4" s="5">
        <v>129.75</v>
      </c>
      <c r="AJY4" t="s">
        <v>5</v>
      </c>
    </row>
    <row r="5" spans="1:961" x14ac:dyDescent="0.25">
      <c r="A5" s="5">
        <v>108.13</v>
      </c>
      <c r="B5" s="5">
        <v>138.4</v>
      </c>
      <c r="C5" s="5">
        <v>108.13</v>
      </c>
      <c r="CC5" s="5">
        <v>138.4</v>
      </c>
      <c r="CD5" s="5">
        <v>108.13</v>
      </c>
      <c r="FE5" s="5">
        <v>108.13</v>
      </c>
      <c r="IG5" s="5">
        <v>108.13</v>
      </c>
      <c r="LI5" s="5">
        <v>108.13</v>
      </c>
      <c r="OK5" s="5">
        <v>108.13</v>
      </c>
      <c r="RM5" s="5">
        <v>108.13</v>
      </c>
      <c r="UO5" s="5">
        <v>108.13</v>
      </c>
      <c r="XQ5" s="5">
        <v>108.13</v>
      </c>
      <c r="AAS5" s="5">
        <v>108.13</v>
      </c>
      <c r="ADU5" s="5">
        <v>108.13</v>
      </c>
      <c r="AGW5" s="5">
        <v>108.13</v>
      </c>
      <c r="AJY5" t="s">
        <v>6</v>
      </c>
    </row>
    <row r="6" spans="1:961" x14ac:dyDescent="0.25">
      <c r="A6" s="5">
        <v>103.8</v>
      </c>
      <c r="B6" s="5">
        <v>129.75</v>
      </c>
      <c r="C6" s="5">
        <v>103.8</v>
      </c>
      <c r="CC6" s="5">
        <v>129.75</v>
      </c>
      <c r="CD6" s="5">
        <v>103.8</v>
      </c>
      <c r="FE6" s="5">
        <v>103.8</v>
      </c>
      <c r="IG6" s="5">
        <v>103.8</v>
      </c>
      <c r="LI6" s="5">
        <v>103.8</v>
      </c>
      <c r="OK6" s="5">
        <v>103.8</v>
      </c>
      <c r="RM6" s="5">
        <v>103.8</v>
      </c>
      <c r="UO6" s="5">
        <v>103.8</v>
      </c>
      <c r="XQ6" s="5">
        <v>103.8</v>
      </c>
      <c r="AAS6" s="5">
        <v>103.8</v>
      </c>
      <c r="ADU6" s="5">
        <v>103.8</v>
      </c>
      <c r="AGW6" s="5">
        <v>103.8</v>
      </c>
      <c r="AJY6" t="s">
        <v>7</v>
      </c>
    </row>
    <row r="7" spans="1:961" x14ac:dyDescent="0.25">
      <c r="A7" s="5">
        <v>86.5</v>
      </c>
      <c r="B7" s="5">
        <v>108.13</v>
      </c>
      <c r="C7" s="5">
        <v>86.5</v>
      </c>
      <c r="CC7" s="5">
        <v>108.13</v>
      </c>
      <c r="CD7" s="5">
        <v>86.5</v>
      </c>
      <c r="FE7" s="5">
        <v>86.5</v>
      </c>
      <c r="IG7" s="5">
        <v>86.5</v>
      </c>
      <c r="LI7" s="5">
        <v>86.5</v>
      </c>
      <c r="OK7" s="5">
        <v>86.5</v>
      </c>
      <c r="RM7" s="5">
        <v>86.5</v>
      </c>
      <c r="UO7" s="5">
        <v>86.5</v>
      </c>
      <c r="XQ7" s="5">
        <v>86.5</v>
      </c>
      <c r="AAS7" s="5">
        <v>86.5</v>
      </c>
      <c r="ADU7" s="5">
        <v>86.5</v>
      </c>
      <c r="AGW7" s="5">
        <v>86.5</v>
      </c>
      <c r="AJY7" t="s">
        <v>8</v>
      </c>
    </row>
    <row r="8" spans="1:961" x14ac:dyDescent="0.25">
      <c r="A8" s="5">
        <v>69.2</v>
      </c>
      <c r="B8" s="5">
        <v>103.8</v>
      </c>
      <c r="C8" s="5">
        <v>69.2</v>
      </c>
      <c r="CC8" s="5">
        <v>103.8</v>
      </c>
      <c r="CD8" s="5">
        <v>69.2</v>
      </c>
      <c r="FE8" s="5">
        <v>69.2</v>
      </c>
      <c r="IG8" s="5">
        <v>69.2</v>
      </c>
      <c r="LI8" s="5">
        <v>69.2</v>
      </c>
      <c r="OK8" s="5">
        <v>69.2</v>
      </c>
      <c r="RM8" s="5">
        <v>69.2</v>
      </c>
      <c r="UO8" s="5">
        <v>69.2</v>
      </c>
      <c r="XQ8" s="5">
        <v>69.2</v>
      </c>
      <c r="AAS8" s="5">
        <v>69.2</v>
      </c>
      <c r="ADU8" s="5">
        <v>69.2</v>
      </c>
      <c r="AGW8" s="5">
        <v>69.2</v>
      </c>
      <c r="AJY8" t="s">
        <v>9</v>
      </c>
    </row>
    <row r="9" spans="1:961" x14ac:dyDescent="0.25">
      <c r="A9" s="5">
        <v>51.9</v>
      </c>
      <c r="B9" s="5">
        <v>86.5</v>
      </c>
      <c r="C9" s="5">
        <v>51.9</v>
      </c>
      <c r="CC9" s="5">
        <v>86.5</v>
      </c>
      <c r="CD9" s="5">
        <v>51.9</v>
      </c>
      <c r="FE9" s="5">
        <v>51.9</v>
      </c>
      <c r="IG9" s="5">
        <v>51.9</v>
      </c>
      <c r="LI9" s="5">
        <v>51.9</v>
      </c>
      <c r="OK9" s="5">
        <v>51.9</v>
      </c>
      <c r="RM9" s="5">
        <v>51.9</v>
      </c>
      <c r="UO9" s="5">
        <v>51.9</v>
      </c>
      <c r="XQ9" s="5">
        <v>51.9</v>
      </c>
      <c r="AAS9" s="5">
        <v>51.9</v>
      </c>
      <c r="ADU9" s="5">
        <v>51.9</v>
      </c>
      <c r="AGW9" s="5">
        <v>51.9</v>
      </c>
      <c r="AJY9" t="s">
        <v>10</v>
      </c>
    </row>
    <row r="10" spans="1:961" x14ac:dyDescent="0.25">
      <c r="A10" s="5">
        <v>47.58</v>
      </c>
      <c r="B10" s="5">
        <v>69.2</v>
      </c>
      <c r="C10" s="5">
        <v>47.58</v>
      </c>
      <c r="CC10" s="5">
        <v>69.2</v>
      </c>
      <c r="CD10" s="5">
        <v>47.58</v>
      </c>
      <c r="FE10" s="5">
        <v>47.58</v>
      </c>
      <c r="IG10" s="5">
        <v>47.58</v>
      </c>
      <c r="LI10" s="5">
        <v>47.58</v>
      </c>
      <c r="OK10" s="5">
        <v>47.58</v>
      </c>
      <c r="RM10" s="5">
        <v>47.58</v>
      </c>
      <c r="UO10" s="5">
        <v>47.58</v>
      </c>
      <c r="XQ10" s="5">
        <v>47.58</v>
      </c>
      <c r="AAS10" s="5">
        <v>47.58</v>
      </c>
      <c r="ADU10" s="5">
        <v>47.58</v>
      </c>
      <c r="AGW10" s="5">
        <v>47.58</v>
      </c>
      <c r="AJY10" t="s">
        <v>11</v>
      </c>
    </row>
    <row r="11" spans="1:961" x14ac:dyDescent="0.25">
      <c r="A11" s="5">
        <v>43.25</v>
      </c>
      <c r="B11" s="5">
        <v>51.9</v>
      </c>
      <c r="C11" s="5">
        <v>43.25</v>
      </c>
      <c r="CC11" s="5">
        <v>51.9</v>
      </c>
      <c r="CD11" s="5">
        <v>43.25</v>
      </c>
      <c r="FE11" s="5">
        <v>43.25</v>
      </c>
      <c r="IG11" s="5">
        <v>43.25</v>
      </c>
      <c r="LI11" s="5">
        <v>43.25</v>
      </c>
      <c r="OK11" s="5">
        <v>43.25</v>
      </c>
      <c r="RM11" s="5">
        <v>43.25</v>
      </c>
      <c r="UO11" s="5">
        <v>43.25</v>
      </c>
      <c r="XQ11" s="5">
        <v>43.25</v>
      </c>
      <c r="AAS11" s="5">
        <v>43.25</v>
      </c>
      <c r="ADU11" s="5">
        <v>43.25</v>
      </c>
      <c r="AGW11" s="5">
        <v>43.25</v>
      </c>
      <c r="AJY11" t="s">
        <v>12</v>
      </c>
    </row>
    <row r="12" spans="1:961" x14ac:dyDescent="0.25">
      <c r="A12" s="5">
        <v>34.6</v>
      </c>
      <c r="B12" s="5">
        <v>47.58</v>
      </c>
      <c r="C12" s="5">
        <v>34.6</v>
      </c>
      <c r="CC12" s="5">
        <v>47.58</v>
      </c>
      <c r="CD12" s="5">
        <v>34.6</v>
      </c>
      <c r="FE12" s="5">
        <v>34.6</v>
      </c>
      <c r="IG12" s="5">
        <v>34.6</v>
      </c>
      <c r="LI12" s="5">
        <v>34.6</v>
      </c>
      <c r="OK12" s="5">
        <v>34.6</v>
      </c>
      <c r="RM12" s="5">
        <v>34.6</v>
      </c>
      <c r="UO12" s="5">
        <v>34.6</v>
      </c>
      <c r="XQ12" s="5">
        <v>34.6</v>
      </c>
      <c r="AAS12" s="5">
        <v>34.6</v>
      </c>
      <c r="ADU12" s="5">
        <v>34.6</v>
      </c>
      <c r="AGW12" s="5">
        <v>34.6</v>
      </c>
      <c r="AJY12" t="s">
        <v>13</v>
      </c>
    </row>
    <row r="13" spans="1:961" x14ac:dyDescent="0.25">
      <c r="A13" s="5">
        <v>32.01</v>
      </c>
      <c r="B13" s="5">
        <v>43.25</v>
      </c>
      <c r="C13" s="5">
        <v>32.01</v>
      </c>
      <c r="CC13" s="5">
        <v>43.25</v>
      </c>
      <c r="CD13" s="5">
        <v>32.01</v>
      </c>
      <c r="FE13" s="5">
        <v>32.01</v>
      </c>
      <c r="IG13" s="5">
        <v>32.01</v>
      </c>
      <c r="LI13" s="5">
        <v>32.01</v>
      </c>
      <c r="OK13" s="5">
        <v>32.01</v>
      </c>
      <c r="RM13" s="5">
        <v>32.01</v>
      </c>
      <c r="UO13" s="5">
        <v>32.01</v>
      </c>
      <c r="XQ13" s="5">
        <v>32.01</v>
      </c>
      <c r="AAS13" s="5">
        <v>32.01</v>
      </c>
      <c r="ADU13" s="5">
        <v>32.01</v>
      </c>
      <c r="AGW13" s="5">
        <v>32.01</v>
      </c>
    </row>
    <row r="14" spans="1:961" x14ac:dyDescent="0.25">
      <c r="B14" s="5">
        <v>34.6</v>
      </c>
      <c r="CC14" s="5">
        <v>34.6</v>
      </c>
    </row>
    <row r="15" spans="1:961" x14ac:dyDescent="0.25">
      <c r="B15" s="5">
        <v>32.01</v>
      </c>
      <c r="CC15" s="5">
        <v>32.01</v>
      </c>
    </row>
  </sheetData>
  <sheetProtection algorithmName="SHA-512" hashValue="pLBta/cSYJqPbekk5algZ8vPzc/irX9phq8Ntp/DWMEqdibGDhyRV9dA5SP4yUN4CZ6rFjNTmbH+yPsru88keQ==" saltValue="eZt1uY67xQo+iaryhTwNq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8"/>
  <sheetViews>
    <sheetView workbookViewId="0"/>
  </sheetViews>
  <sheetFormatPr baseColWidth="10" defaultRowHeight="15" x14ac:dyDescent="0.25"/>
  <sheetData>
    <row r="1" spans="1:5" x14ac:dyDescent="0.25">
      <c r="A1" t="s">
        <v>238</v>
      </c>
      <c r="B1" t="s">
        <v>239</v>
      </c>
      <c r="C1" t="s">
        <v>240</v>
      </c>
      <c r="D1" t="s">
        <v>241</v>
      </c>
      <c r="E1" t="s">
        <v>242</v>
      </c>
    </row>
    <row r="2" spans="1:5" x14ac:dyDescent="0.25">
      <c r="A2">
        <v>2026</v>
      </c>
      <c r="B2">
        <v>7</v>
      </c>
      <c r="C2" t="s">
        <v>278</v>
      </c>
      <c r="D2" t="s">
        <v>245</v>
      </c>
      <c r="E2">
        <v>129.75</v>
      </c>
    </row>
    <row r="3" spans="1:5" x14ac:dyDescent="0.25">
      <c r="A3">
        <v>2026</v>
      </c>
      <c r="B3">
        <v>9</v>
      </c>
      <c r="C3" t="s">
        <v>278</v>
      </c>
      <c r="D3" t="s">
        <v>245</v>
      </c>
      <c r="E3">
        <v>86.5</v>
      </c>
    </row>
    <row r="4" spans="1:5" x14ac:dyDescent="0.25">
      <c r="A4">
        <v>2026</v>
      </c>
      <c r="B4">
        <v>11</v>
      </c>
      <c r="C4" t="s">
        <v>278</v>
      </c>
      <c r="D4" t="s">
        <v>245</v>
      </c>
      <c r="E4">
        <v>166</v>
      </c>
    </row>
    <row r="5" spans="1:5" x14ac:dyDescent="0.25">
      <c r="A5">
        <v>2026</v>
      </c>
      <c r="B5">
        <v>1</v>
      </c>
      <c r="C5" t="s">
        <v>322</v>
      </c>
      <c r="D5" t="s">
        <v>245</v>
      </c>
      <c r="E5">
        <v>171</v>
      </c>
    </row>
    <row r="6" spans="1:5" x14ac:dyDescent="0.25">
      <c r="A6">
        <v>2026</v>
      </c>
      <c r="B6">
        <v>1</v>
      </c>
      <c r="C6" t="s">
        <v>323</v>
      </c>
      <c r="D6" t="s">
        <v>245</v>
      </c>
      <c r="E6">
        <v>173</v>
      </c>
    </row>
    <row r="7" spans="1:5" x14ac:dyDescent="0.25">
      <c r="A7">
        <v>2026</v>
      </c>
      <c r="B7">
        <v>7</v>
      </c>
      <c r="C7" t="s">
        <v>323</v>
      </c>
      <c r="D7" t="s">
        <v>245</v>
      </c>
      <c r="E7">
        <v>138.4</v>
      </c>
    </row>
    <row r="8" spans="1:5" x14ac:dyDescent="0.25">
      <c r="A8">
        <v>2026</v>
      </c>
      <c r="B8">
        <v>8</v>
      </c>
      <c r="C8" t="s">
        <v>323</v>
      </c>
      <c r="D8" t="s">
        <v>245</v>
      </c>
      <c r="E8">
        <v>129.75</v>
      </c>
    </row>
    <row r="9" spans="1:5" x14ac:dyDescent="0.25">
      <c r="A9">
        <v>2026</v>
      </c>
      <c r="B9">
        <v>11</v>
      </c>
      <c r="C9" t="s">
        <v>323</v>
      </c>
      <c r="D9" t="s">
        <v>245</v>
      </c>
      <c r="E9">
        <v>173</v>
      </c>
    </row>
    <row r="10" spans="1:5" x14ac:dyDescent="0.25">
      <c r="A10">
        <v>2026</v>
      </c>
      <c r="B10">
        <v>5</v>
      </c>
      <c r="C10" t="s">
        <v>325</v>
      </c>
      <c r="D10" t="s">
        <v>245</v>
      </c>
      <c r="E10">
        <v>129.75</v>
      </c>
    </row>
    <row r="11" spans="1:5" x14ac:dyDescent="0.25">
      <c r="A11">
        <v>2026</v>
      </c>
      <c r="B11">
        <v>10</v>
      </c>
      <c r="C11" t="s">
        <v>325</v>
      </c>
      <c r="D11" t="s">
        <v>245</v>
      </c>
      <c r="E11">
        <v>173</v>
      </c>
    </row>
    <row r="12" spans="1:5" x14ac:dyDescent="0.25">
      <c r="A12">
        <v>2026</v>
      </c>
      <c r="B12">
        <v>6</v>
      </c>
      <c r="C12" t="s">
        <v>327</v>
      </c>
      <c r="D12" t="s">
        <v>245</v>
      </c>
      <c r="E12">
        <v>171</v>
      </c>
    </row>
    <row r="13" spans="1:5" x14ac:dyDescent="0.25">
      <c r="A13">
        <v>2026</v>
      </c>
      <c r="B13">
        <v>6</v>
      </c>
      <c r="C13" t="s">
        <v>328</v>
      </c>
      <c r="D13" t="s">
        <v>245</v>
      </c>
      <c r="E13">
        <v>173</v>
      </c>
    </row>
    <row r="14" spans="1:5" x14ac:dyDescent="0.25">
      <c r="A14">
        <v>2026</v>
      </c>
      <c r="B14">
        <v>1</v>
      </c>
      <c r="C14" t="s">
        <v>334</v>
      </c>
      <c r="D14" t="s">
        <v>335</v>
      </c>
      <c r="E14" t="s">
        <v>11</v>
      </c>
    </row>
    <row r="15" spans="1:5" x14ac:dyDescent="0.25">
      <c r="A15">
        <v>2026</v>
      </c>
      <c r="B15">
        <v>1</v>
      </c>
      <c r="C15" t="s">
        <v>334</v>
      </c>
      <c r="D15" t="s">
        <v>245</v>
      </c>
      <c r="E15">
        <v>151.38</v>
      </c>
    </row>
    <row r="16" spans="1:5" x14ac:dyDescent="0.25">
      <c r="A16">
        <v>2026</v>
      </c>
      <c r="B16">
        <v>2</v>
      </c>
      <c r="C16" t="s">
        <v>334</v>
      </c>
      <c r="D16" t="s">
        <v>335</v>
      </c>
      <c r="E16" t="s">
        <v>2</v>
      </c>
    </row>
    <row r="17" spans="1:5" x14ac:dyDescent="0.25">
      <c r="A17">
        <v>2026</v>
      </c>
      <c r="B17">
        <v>1</v>
      </c>
      <c r="C17" t="s">
        <v>386</v>
      </c>
      <c r="D17" t="s">
        <v>335</v>
      </c>
      <c r="E17" t="s">
        <v>2</v>
      </c>
    </row>
    <row r="18" spans="1:5" x14ac:dyDescent="0.25">
      <c r="A18">
        <v>2026</v>
      </c>
      <c r="B18">
        <v>1</v>
      </c>
      <c r="C18" t="s">
        <v>386</v>
      </c>
      <c r="D18" t="s">
        <v>245</v>
      </c>
      <c r="E18">
        <v>173</v>
      </c>
    </row>
  </sheetData>
  <sheetProtection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zoomScaleNormal="100" workbookViewId="0">
      <selection activeCell="E30" sqref="E30"/>
    </sheetView>
  </sheetViews>
  <sheetFormatPr baseColWidth="10" defaultColWidth="11.42578125" defaultRowHeight="15.75" x14ac:dyDescent="0.3"/>
  <cols>
    <col min="1" max="1" width="4.42578125" style="263" customWidth="1"/>
    <col min="2" max="2" width="16.42578125" style="263" customWidth="1"/>
    <col min="3" max="4" width="15.5703125" style="263" customWidth="1"/>
    <col min="5" max="5" width="14.5703125" style="263" customWidth="1"/>
    <col min="6" max="6" width="20.85546875" style="263" customWidth="1"/>
    <col min="7" max="7" width="15.85546875" style="263" customWidth="1"/>
    <col min="8" max="8" width="14.5703125" style="263" customWidth="1"/>
    <col min="9" max="9" width="15.5703125" style="263" customWidth="1"/>
    <col min="10" max="10" width="28.5703125" style="263" customWidth="1"/>
    <col min="11" max="11" width="14" style="263" customWidth="1"/>
    <col min="12" max="13" width="20.5703125" style="263" customWidth="1"/>
    <col min="14" max="15" width="15.5703125" style="263" customWidth="1"/>
    <col min="16" max="16" width="11.5703125" style="263" customWidth="1"/>
    <col min="17" max="17" width="20.5703125" style="263" customWidth="1"/>
    <col min="18" max="16384" width="11.42578125" style="263"/>
  </cols>
  <sheetData>
    <row r="2" spans="2:21" ht="27.95" customHeight="1" x14ac:dyDescent="0.3">
      <c r="B2" s="258" t="str">
        <f xml:space="preserve"> "FINANZIELL ÜBERSICHT " &amp; EINSTELLUNG!C35</f>
        <v>FINANZIELL ÜBERSICHT 2026</v>
      </c>
      <c r="C2" s="259"/>
      <c r="D2" s="259"/>
      <c r="E2" s="259"/>
      <c r="F2" s="259"/>
      <c r="G2" s="259"/>
      <c r="H2" s="259"/>
      <c r="I2" s="259"/>
      <c r="J2" s="259"/>
      <c r="K2" s="259"/>
      <c r="L2" s="259"/>
      <c r="M2" s="259"/>
      <c r="N2" s="259"/>
      <c r="O2" s="259"/>
      <c r="P2" s="259"/>
      <c r="Q2" s="260"/>
      <c r="R2" s="261"/>
      <c r="S2" s="262"/>
      <c r="T2" s="262"/>
      <c r="U2" s="262"/>
    </row>
    <row r="3" spans="2:21" ht="18" customHeight="1" thickBot="1" x14ac:dyDescent="0.35">
      <c r="B3" s="264"/>
      <c r="C3" s="265"/>
      <c r="D3" s="265"/>
      <c r="E3" s="265"/>
      <c r="F3" s="265"/>
      <c r="G3" s="265"/>
      <c r="H3" s="265"/>
      <c r="I3" s="265"/>
      <c r="J3" s="265"/>
      <c r="K3" s="265"/>
      <c r="L3" s="265"/>
      <c r="M3" s="265"/>
      <c r="N3" s="265"/>
      <c r="O3" s="265"/>
      <c r="P3" s="265"/>
      <c r="Q3" s="266"/>
      <c r="R3" s="261"/>
    </row>
    <row r="4" spans="2:21" ht="24" customHeight="1" x14ac:dyDescent="0.3">
      <c r="B4" s="267"/>
      <c r="C4" s="268" t="s">
        <v>17</v>
      </c>
      <c r="D4" s="268"/>
      <c r="E4" s="268"/>
      <c r="F4" s="268" t="s">
        <v>154</v>
      </c>
      <c r="G4" s="268"/>
      <c r="H4" s="268"/>
      <c r="I4" s="268" t="s">
        <v>155</v>
      </c>
      <c r="J4" s="268"/>
      <c r="K4" s="268"/>
      <c r="L4" s="268" t="s">
        <v>156</v>
      </c>
      <c r="M4" s="268" t="s">
        <v>157</v>
      </c>
      <c r="N4" s="268" t="s">
        <v>158</v>
      </c>
      <c r="O4" s="268"/>
      <c r="P4" s="268"/>
      <c r="Q4" s="269" t="s">
        <v>90</v>
      </c>
    </row>
    <row r="5" spans="2:21" ht="30" customHeight="1" x14ac:dyDescent="0.3">
      <c r="B5" s="270"/>
      <c r="C5" s="271"/>
      <c r="D5" s="271"/>
      <c r="E5" s="271"/>
      <c r="F5" s="271"/>
      <c r="G5" s="271"/>
      <c r="H5" s="271"/>
      <c r="I5" s="271"/>
      <c r="J5" s="271"/>
      <c r="K5" s="271"/>
      <c r="L5" s="271"/>
      <c r="M5" s="271"/>
      <c r="N5" s="271"/>
      <c r="O5" s="271"/>
      <c r="P5" s="271"/>
      <c r="Q5" s="272"/>
    </row>
    <row r="6" spans="2:21" ht="30" customHeight="1" x14ac:dyDescent="0.3">
      <c r="B6" s="270"/>
      <c r="C6" s="273" t="s">
        <v>159</v>
      </c>
      <c r="D6" s="273" t="s">
        <v>160</v>
      </c>
      <c r="E6" s="273" t="s">
        <v>161</v>
      </c>
      <c r="F6" s="273" t="s">
        <v>159</v>
      </c>
      <c r="G6" s="273" t="s">
        <v>160</v>
      </c>
      <c r="H6" s="273" t="s">
        <v>161</v>
      </c>
      <c r="I6" s="273" t="s">
        <v>159</v>
      </c>
      <c r="J6" s="273" t="s">
        <v>160</v>
      </c>
      <c r="K6" s="273" t="s">
        <v>161</v>
      </c>
      <c r="L6" s="271"/>
      <c r="M6" s="271"/>
      <c r="N6" s="273" t="s">
        <v>162</v>
      </c>
      <c r="O6" s="273" t="s">
        <v>163</v>
      </c>
      <c r="P6" s="273" t="s">
        <v>161</v>
      </c>
      <c r="Q6" s="272"/>
    </row>
    <row r="7" spans="2:21" ht="30" customHeight="1" x14ac:dyDescent="0.3">
      <c r="B7" s="274" t="s">
        <v>164</v>
      </c>
      <c r="C7" s="275">
        <f>EINSTELLUNG!C6</f>
        <v>0</v>
      </c>
      <c r="D7" s="275">
        <f>EINSTELLUNG!C22</f>
        <v>0</v>
      </c>
      <c r="E7" s="275">
        <f>D7-C7</f>
        <v>0</v>
      </c>
      <c r="F7" s="275">
        <f>EINSTELLUNG!D6</f>
        <v>0</v>
      </c>
      <c r="G7" s="275">
        <v>4112.5</v>
      </c>
      <c r="H7" s="275">
        <f t="shared" ref="H7:H23" si="0">G7-F7</f>
        <v>4112.5</v>
      </c>
      <c r="I7" s="276">
        <f>EINSTELLUNG!E6</f>
        <v>0</v>
      </c>
      <c r="J7" s="276">
        <v>0</v>
      </c>
      <c r="K7" s="276">
        <f t="shared" ref="K7:K23" si="1">J7-I7</f>
        <v>0</v>
      </c>
      <c r="L7" s="277">
        <f>Januar!S40</f>
        <v>0</v>
      </c>
      <c r="M7" s="277">
        <f>Januar!S41</f>
        <v>0</v>
      </c>
      <c r="N7" s="277">
        <f>Januar!O5</f>
        <v>31.303198843465079</v>
      </c>
      <c r="O7" s="277">
        <f>Januar!P5</f>
        <v>0</v>
      </c>
      <c r="P7" s="277">
        <f>O7-N7</f>
        <v>-31.303198843465079</v>
      </c>
      <c r="Q7" s="278">
        <v>0</v>
      </c>
    </row>
    <row r="8" spans="2:21" ht="30" customHeight="1" x14ac:dyDescent="0.3">
      <c r="B8" s="279" t="s">
        <v>243</v>
      </c>
      <c r="C8" s="280">
        <f>EINSTELLUNG!C7</f>
        <v>0</v>
      </c>
      <c r="D8" s="280">
        <f>EINSTELLUNG!C23</f>
        <v>0</v>
      </c>
      <c r="E8" s="280">
        <f>D8-C8</f>
        <v>0</v>
      </c>
      <c r="F8" s="280">
        <f>EINSTELLUNG!D7</f>
        <v>0</v>
      </c>
      <c r="G8" s="280">
        <v>3868.38</v>
      </c>
      <c r="H8" s="280">
        <f t="shared" si="0"/>
        <v>3868.38</v>
      </c>
      <c r="I8" s="281">
        <f>EINSTELLUNG!E7</f>
        <v>0</v>
      </c>
      <c r="J8" s="281">
        <v>0</v>
      </c>
      <c r="K8" s="281">
        <f t="shared" si="1"/>
        <v>0</v>
      </c>
      <c r="L8" s="282">
        <f>Februar!S40</f>
        <v>0</v>
      </c>
      <c r="M8" s="282">
        <f>Februar!S41</f>
        <v>0</v>
      </c>
      <c r="N8" s="282">
        <f>Februar!O5</f>
        <v>31.303198843465079</v>
      </c>
      <c r="O8" s="282">
        <f>Februar!P5</f>
        <v>0</v>
      </c>
      <c r="P8" s="282">
        <f t="shared" ref="P8:P23" si="2">O8-N8</f>
        <v>-31.303198843465079</v>
      </c>
      <c r="Q8" s="283">
        <v>0</v>
      </c>
    </row>
    <row r="9" spans="2:21" ht="30" customHeight="1" x14ac:dyDescent="0.3">
      <c r="B9" s="274" t="s">
        <v>165</v>
      </c>
      <c r="C9" s="275">
        <f>EINSTELLUNG!C8</f>
        <v>0</v>
      </c>
      <c r="D9" s="275">
        <f>EINSTELLUNG!C24</f>
        <v>0</v>
      </c>
      <c r="E9" s="275">
        <f>D9-C9</f>
        <v>0</v>
      </c>
      <c r="F9" s="275">
        <f>EINSTELLUNG!D8</f>
        <v>0</v>
      </c>
      <c r="G9" s="275">
        <v>3868.38</v>
      </c>
      <c r="H9" s="275">
        <f t="shared" si="0"/>
        <v>3868.38</v>
      </c>
      <c r="I9" s="276">
        <f>EINSTELLUNG!E8</f>
        <v>0</v>
      </c>
      <c r="J9" s="276">
        <v>0</v>
      </c>
      <c r="K9" s="276">
        <f t="shared" si="1"/>
        <v>0</v>
      </c>
      <c r="L9" s="277">
        <f>Marz!S40</f>
        <v>0</v>
      </c>
      <c r="M9" s="277">
        <f>Marz!S41</f>
        <v>0</v>
      </c>
      <c r="N9" s="277">
        <f>Marz!O5</f>
        <v>31.303198843465079</v>
      </c>
      <c r="O9" s="277">
        <f>Marz!P5</f>
        <v>0</v>
      </c>
      <c r="P9" s="277">
        <f t="shared" si="2"/>
        <v>-31.303198843465079</v>
      </c>
      <c r="Q9" s="278">
        <v>0</v>
      </c>
    </row>
    <row r="10" spans="2:21" ht="30" customHeight="1" x14ac:dyDescent="0.3">
      <c r="B10" s="284" t="s">
        <v>166</v>
      </c>
      <c r="C10" s="285">
        <f>SUM(C7:C9)</f>
        <v>0</v>
      </c>
      <c r="D10" s="285">
        <f>SUM(D7:D9)</f>
        <v>0</v>
      </c>
      <c r="E10" s="285">
        <f>D10-C10</f>
        <v>0</v>
      </c>
      <c r="F10" s="285">
        <f>SUM(F7:F9)</f>
        <v>0</v>
      </c>
      <c r="G10" s="285">
        <f>SUM(G7:G9)</f>
        <v>11849.26</v>
      </c>
      <c r="H10" s="285">
        <f t="shared" si="0"/>
        <v>11849.26</v>
      </c>
      <c r="I10" s="286">
        <f>AVERAGE(I7:I9)</f>
        <v>0</v>
      </c>
      <c r="J10" s="286">
        <f>AVERAGE(J7:J9)</f>
        <v>0</v>
      </c>
      <c r="K10" s="286">
        <f t="shared" si="1"/>
        <v>0</v>
      </c>
      <c r="L10" s="287">
        <f>AVERAGE(L7:L9)</f>
        <v>0</v>
      </c>
      <c r="M10" s="287">
        <f>AVERAGE(M7:M9)</f>
        <v>0</v>
      </c>
      <c r="N10" s="287">
        <f>SUM(N7:N9)</f>
        <v>93.909596530395234</v>
      </c>
      <c r="O10" s="287">
        <f>SUM(O7:O9)</f>
        <v>0</v>
      </c>
      <c r="P10" s="287">
        <f t="shared" si="2"/>
        <v>-93.909596530395234</v>
      </c>
      <c r="Q10" s="288">
        <v>0</v>
      </c>
    </row>
    <row r="11" spans="2:21" ht="30" customHeight="1" x14ac:dyDescent="0.3">
      <c r="B11" s="274" t="s">
        <v>167</v>
      </c>
      <c r="C11" s="275">
        <f>EINSTELLUNG!C9</f>
        <v>0</v>
      </c>
      <c r="D11" s="275">
        <f>EINSTELLUNG!C25</f>
        <v>0</v>
      </c>
      <c r="E11" s="275">
        <f t="shared" ref="E11:E21" si="3">D11-C11</f>
        <v>0</v>
      </c>
      <c r="F11" s="275">
        <f>EINSTELLUNG!D9</f>
        <v>0</v>
      </c>
      <c r="G11" s="275">
        <v>3868.38</v>
      </c>
      <c r="H11" s="275">
        <f t="shared" si="0"/>
        <v>3868.38</v>
      </c>
      <c r="I11" s="276">
        <f>EINSTELLUNG!E9</f>
        <v>0</v>
      </c>
      <c r="J11" s="276">
        <v>0</v>
      </c>
      <c r="K11" s="276">
        <f t="shared" si="1"/>
        <v>0</v>
      </c>
      <c r="L11" s="277">
        <f>April!S40</f>
        <v>0</v>
      </c>
      <c r="M11" s="277">
        <f>April!S41</f>
        <v>0</v>
      </c>
      <c r="N11" s="277">
        <f>April!O5</f>
        <v>31.303198843465079</v>
      </c>
      <c r="O11" s="277">
        <f>April!P5</f>
        <v>0</v>
      </c>
      <c r="P11" s="277">
        <f t="shared" si="2"/>
        <v>-31.303198843465079</v>
      </c>
      <c r="Q11" s="278">
        <v>0</v>
      </c>
    </row>
    <row r="12" spans="2:21" ht="30" customHeight="1" x14ac:dyDescent="0.3">
      <c r="B12" s="279" t="s">
        <v>168</v>
      </c>
      <c r="C12" s="280">
        <f>EINSTELLUNG!C10</f>
        <v>0</v>
      </c>
      <c r="D12" s="280">
        <f>EINSTELLUNG!C26</f>
        <v>0</v>
      </c>
      <c r="E12" s="280">
        <f t="shared" si="3"/>
        <v>0</v>
      </c>
      <c r="F12" s="280">
        <f>EINSTELLUNG!D10</f>
        <v>0</v>
      </c>
      <c r="G12" s="280">
        <v>3868.38</v>
      </c>
      <c r="H12" s="280">
        <f t="shared" si="0"/>
        <v>3868.38</v>
      </c>
      <c r="I12" s="281">
        <f>EINSTELLUNG!E10</f>
        <v>0</v>
      </c>
      <c r="J12" s="281">
        <v>0</v>
      </c>
      <c r="K12" s="281">
        <f t="shared" si="1"/>
        <v>0</v>
      </c>
      <c r="L12" s="282">
        <f>Mai!S40</f>
        <v>0</v>
      </c>
      <c r="M12" s="282">
        <f>Mai!S41</f>
        <v>0</v>
      </c>
      <c r="N12" s="282">
        <f>Mai!O5</f>
        <v>31.303198843465079</v>
      </c>
      <c r="O12" s="282">
        <f>Mai!P5</f>
        <v>0</v>
      </c>
      <c r="P12" s="282">
        <f t="shared" si="2"/>
        <v>-31.303198843465079</v>
      </c>
      <c r="Q12" s="283">
        <v>0</v>
      </c>
    </row>
    <row r="13" spans="2:21" ht="30" customHeight="1" x14ac:dyDescent="0.3">
      <c r="B13" s="274" t="s">
        <v>169</v>
      </c>
      <c r="C13" s="275">
        <f>EINSTELLUNG!C11</f>
        <v>0</v>
      </c>
      <c r="D13" s="275">
        <f>EINSTELLUNG!C27</f>
        <v>0</v>
      </c>
      <c r="E13" s="275">
        <f t="shared" si="3"/>
        <v>0</v>
      </c>
      <c r="F13" s="275">
        <f>EINSTELLUNG!D11</f>
        <v>0</v>
      </c>
      <c r="G13" s="275">
        <v>3868.38</v>
      </c>
      <c r="H13" s="275">
        <f t="shared" si="0"/>
        <v>3868.38</v>
      </c>
      <c r="I13" s="276">
        <f>EINSTELLUNG!E11</f>
        <v>0</v>
      </c>
      <c r="J13" s="276">
        <v>0</v>
      </c>
      <c r="K13" s="276">
        <f t="shared" si="1"/>
        <v>0</v>
      </c>
      <c r="L13" s="277">
        <f>Juni!S40</f>
        <v>0</v>
      </c>
      <c r="M13" s="277">
        <f>Juni!S41</f>
        <v>0</v>
      </c>
      <c r="N13" s="277">
        <f>Juni!O5</f>
        <v>31.303198843465079</v>
      </c>
      <c r="O13" s="277">
        <f>Juni!P5</f>
        <v>0</v>
      </c>
      <c r="P13" s="277">
        <f t="shared" si="2"/>
        <v>-31.303198843465079</v>
      </c>
      <c r="Q13" s="278">
        <v>0</v>
      </c>
    </row>
    <row r="14" spans="2:21" ht="30" customHeight="1" x14ac:dyDescent="0.3">
      <c r="B14" s="284" t="s">
        <v>170</v>
      </c>
      <c r="C14" s="285">
        <f>SUM(C11:C13)</f>
        <v>0</v>
      </c>
      <c r="D14" s="285">
        <f>SUM(D11:D13)</f>
        <v>0</v>
      </c>
      <c r="E14" s="285">
        <f t="shared" si="3"/>
        <v>0</v>
      </c>
      <c r="F14" s="285">
        <f>SUM(F11:F13)</f>
        <v>0</v>
      </c>
      <c r="G14" s="285">
        <f>SUM(G11:G13)</f>
        <v>11605.14</v>
      </c>
      <c r="H14" s="285">
        <f t="shared" si="0"/>
        <v>11605.14</v>
      </c>
      <c r="I14" s="286">
        <f>AVERAGE(I11:I13)</f>
        <v>0</v>
      </c>
      <c r="J14" s="286">
        <f>AVERAGE(J11:J13)</f>
        <v>0</v>
      </c>
      <c r="K14" s="286">
        <f t="shared" si="1"/>
        <v>0</v>
      </c>
      <c r="L14" s="287">
        <f>AVERAGE(L11:L13)</f>
        <v>0</v>
      </c>
      <c r="M14" s="287">
        <f>AVERAGE(M11:M13)</f>
        <v>0</v>
      </c>
      <c r="N14" s="287">
        <f>SUM(N11:N13)</f>
        <v>93.909596530395234</v>
      </c>
      <c r="O14" s="287">
        <f>SUM(O11:O13)</f>
        <v>0</v>
      </c>
      <c r="P14" s="287">
        <f t="shared" si="2"/>
        <v>-93.909596530395234</v>
      </c>
      <c r="Q14" s="288">
        <v>0</v>
      </c>
    </row>
    <row r="15" spans="2:21" ht="30" customHeight="1" x14ac:dyDescent="0.3">
      <c r="B15" s="274" t="s">
        <v>171</v>
      </c>
      <c r="C15" s="275">
        <f>EINSTELLUNG!C12</f>
        <v>0</v>
      </c>
      <c r="D15" s="275">
        <f>EINSTELLUNG!C28</f>
        <v>0</v>
      </c>
      <c r="E15" s="275">
        <f t="shared" si="3"/>
        <v>0</v>
      </c>
      <c r="F15" s="275">
        <f>EINSTELLUNG!D12</f>
        <v>0</v>
      </c>
      <c r="G15" s="275">
        <v>3868.38</v>
      </c>
      <c r="H15" s="275">
        <f t="shared" si="0"/>
        <v>3868.38</v>
      </c>
      <c r="I15" s="276">
        <f>EINSTELLUNG!E12</f>
        <v>0</v>
      </c>
      <c r="J15" s="276">
        <v>0</v>
      </c>
      <c r="K15" s="276">
        <f t="shared" si="1"/>
        <v>0</v>
      </c>
      <c r="L15" s="277">
        <f>Juli!S40</f>
        <v>0</v>
      </c>
      <c r="M15" s="277">
        <f>Juli!S41</f>
        <v>0</v>
      </c>
      <c r="N15" s="277">
        <f>Juli!O5</f>
        <v>31.303198843465079</v>
      </c>
      <c r="O15" s="277">
        <f>Juli!P5</f>
        <v>0</v>
      </c>
      <c r="P15" s="277">
        <f t="shared" si="2"/>
        <v>-31.303198843465079</v>
      </c>
      <c r="Q15" s="278">
        <v>0</v>
      </c>
    </row>
    <row r="16" spans="2:21" ht="30" customHeight="1" x14ac:dyDescent="0.3">
      <c r="B16" s="279" t="s">
        <v>172</v>
      </c>
      <c r="C16" s="280">
        <f>EINSTELLUNG!C13</f>
        <v>0</v>
      </c>
      <c r="D16" s="280">
        <f>EINSTELLUNG!C29</f>
        <v>0</v>
      </c>
      <c r="E16" s="280">
        <f t="shared" si="3"/>
        <v>0</v>
      </c>
      <c r="F16" s="280">
        <f>EINSTELLUNG!D13</f>
        <v>0</v>
      </c>
      <c r="G16" s="280">
        <v>3868.38</v>
      </c>
      <c r="H16" s="280">
        <f t="shared" si="0"/>
        <v>3868.38</v>
      </c>
      <c r="I16" s="281">
        <f>EINSTELLUNG!E13</f>
        <v>0</v>
      </c>
      <c r="J16" s="281">
        <v>0</v>
      </c>
      <c r="K16" s="281">
        <f t="shared" si="1"/>
        <v>0</v>
      </c>
      <c r="L16" s="282">
        <f>August!S40</f>
        <v>0</v>
      </c>
      <c r="M16" s="282">
        <f>August!S41</f>
        <v>0</v>
      </c>
      <c r="N16" s="282">
        <f>August!O5</f>
        <v>31.303198843465079</v>
      </c>
      <c r="O16" s="282">
        <f>August!P5</f>
        <v>0</v>
      </c>
      <c r="P16" s="282">
        <f t="shared" si="2"/>
        <v>-31.303198843465079</v>
      </c>
      <c r="Q16" s="283">
        <v>0</v>
      </c>
    </row>
    <row r="17" spans="2:17" ht="30" customHeight="1" x14ac:dyDescent="0.3">
      <c r="B17" s="274" t="s">
        <v>173</v>
      </c>
      <c r="C17" s="275">
        <f>EINSTELLUNG!C14</f>
        <v>0</v>
      </c>
      <c r="D17" s="275">
        <f>EINSTELLUNG!C30</f>
        <v>0</v>
      </c>
      <c r="E17" s="275">
        <f t="shared" si="3"/>
        <v>0</v>
      </c>
      <c r="F17" s="275">
        <f>EINSTELLUNG!D14</f>
        <v>0</v>
      </c>
      <c r="G17" s="275">
        <v>3868.38</v>
      </c>
      <c r="H17" s="275">
        <f t="shared" si="0"/>
        <v>3868.38</v>
      </c>
      <c r="I17" s="276">
        <f>EINSTELLUNG!E14</f>
        <v>0</v>
      </c>
      <c r="J17" s="276">
        <v>0</v>
      </c>
      <c r="K17" s="276">
        <f t="shared" si="1"/>
        <v>0</v>
      </c>
      <c r="L17" s="277">
        <f>September!S40</f>
        <v>0</v>
      </c>
      <c r="M17" s="277">
        <f>September!S41</f>
        <v>0</v>
      </c>
      <c r="N17" s="277">
        <f>September!O5</f>
        <v>31.303198843465079</v>
      </c>
      <c r="O17" s="277">
        <f>September!P5</f>
        <v>0</v>
      </c>
      <c r="P17" s="277">
        <f t="shared" si="2"/>
        <v>-31.303198843465079</v>
      </c>
      <c r="Q17" s="278">
        <v>0</v>
      </c>
    </row>
    <row r="18" spans="2:17" ht="30" customHeight="1" x14ac:dyDescent="0.3">
      <c r="B18" s="284" t="s">
        <v>174</v>
      </c>
      <c r="C18" s="285">
        <f>SUM(C15:C17)</f>
        <v>0</v>
      </c>
      <c r="D18" s="285">
        <f>SUM(D15:D17)</f>
        <v>0</v>
      </c>
      <c r="E18" s="285">
        <f>D18-C18</f>
        <v>0</v>
      </c>
      <c r="F18" s="285">
        <f>SUM(F15:F17)</f>
        <v>0</v>
      </c>
      <c r="G18" s="285">
        <f>SUM(G15:G17)</f>
        <v>11605.14</v>
      </c>
      <c r="H18" s="285">
        <f t="shared" si="0"/>
        <v>11605.14</v>
      </c>
      <c r="I18" s="286">
        <f>AVERAGE(I15:I17)</f>
        <v>0</v>
      </c>
      <c r="J18" s="286">
        <f>AVERAGE(J15:J17)</f>
        <v>0</v>
      </c>
      <c r="K18" s="286">
        <f t="shared" si="1"/>
        <v>0</v>
      </c>
      <c r="L18" s="287">
        <f>AVERAGE(L15:L17)</f>
        <v>0</v>
      </c>
      <c r="M18" s="287">
        <f>AVERAGE(M15:M17)</f>
        <v>0</v>
      </c>
      <c r="N18" s="287">
        <f>SUM(N15:N17)</f>
        <v>93.909596530395234</v>
      </c>
      <c r="O18" s="287">
        <f>SUM(O15:O17)</f>
        <v>0</v>
      </c>
      <c r="P18" s="287">
        <f t="shared" si="2"/>
        <v>-93.909596530395234</v>
      </c>
      <c r="Q18" s="288">
        <v>0</v>
      </c>
    </row>
    <row r="19" spans="2:17" ht="30" customHeight="1" x14ac:dyDescent="0.3">
      <c r="B19" s="274" t="s">
        <v>175</v>
      </c>
      <c r="C19" s="275">
        <f>EINSTELLUNG!C15</f>
        <v>0</v>
      </c>
      <c r="D19" s="275">
        <f>EINSTELLUNG!C31</f>
        <v>0</v>
      </c>
      <c r="E19" s="275">
        <f>D19-C19</f>
        <v>0</v>
      </c>
      <c r="F19" s="275">
        <f>EINSTELLUNG!D15</f>
        <v>0</v>
      </c>
      <c r="G19" s="275">
        <v>3868.38</v>
      </c>
      <c r="H19" s="275">
        <f t="shared" si="0"/>
        <v>3868.38</v>
      </c>
      <c r="I19" s="276">
        <f>EINSTELLUNG!E15</f>
        <v>0</v>
      </c>
      <c r="J19" s="276">
        <v>0</v>
      </c>
      <c r="K19" s="276">
        <f t="shared" si="1"/>
        <v>0</v>
      </c>
      <c r="L19" s="277">
        <f>Oktober!S40</f>
        <v>0</v>
      </c>
      <c r="M19" s="277">
        <f>Oktober!S41</f>
        <v>0</v>
      </c>
      <c r="N19" s="277">
        <f>Oktober!O5</f>
        <v>31.303198843465079</v>
      </c>
      <c r="O19" s="277">
        <f>Oktober!P5</f>
        <v>0</v>
      </c>
      <c r="P19" s="277">
        <f t="shared" si="2"/>
        <v>-31.303198843465079</v>
      </c>
      <c r="Q19" s="278">
        <v>0</v>
      </c>
    </row>
    <row r="20" spans="2:17" ht="30" customHeight="1" x14ac:dyDescent="0.3">
      <c r="B20" s="279" t="s">
        <v>176</v>
      </c>
      <c r="C20" s="280">
        <f>EINSTELLUNG!C16</f>
        <v>0</v>
      </c>
      <c r="D20" s="280">
        <f>EINSTELLUNG!C32</f>
        <v>0</v>
      </c>
      <c r="E20" s="280">
        <f>D20-C20</f>
        <v>0</v>
      </c>
      <c r="F20" s="280">
        <f>EINSTELLUNG!D16</f>
        <v>0</v>
      </c>
      <c r="G20" s="280">
        <v>3868.38</v>
      </c>
      <c r="H20" s="280">
        <f t="shared" si="0"/>
        <v>3868.38</v>
      </c>
      <c r="I20" s="281">
        <f>EINSTELLUNG!E16</f>
        <v>0</v>
      </c>
      <c r="J20" s="281">
        <v>0</v>
      </c>
      <c r="K20" s="281">
        <f t="shared" si="1"/>
        <v>0</v>
      </c>
      <c r="L20" s="282">
        <f>November!S40</f>
        <v>0</v>
      </c>
      <c r="M20" s="282">
        <f>November!S41</f>
        <v>0</v>
      </c>
      <c r="N20" s="282">
        <f>November!O5</f>
        <v>31.303198843465079</v>
      </c>
      <c r="O20" s="282">
        <f>November!P5</f>
        <v>0</v>
      </c>
      <c r="P20" s="282">
        <f t="shared" si="2"/>
        <v>-31.303198843465079</v>
      </c>
      <c r="Q20" s="283">
        <v>0</v>
      </c>
    </row>
    <row r="21" spans="2:17" ht="30" customHeight="1" x14ac:dyDescent="0.3">
      <c r="B21" s="274" t="s">
        <v>177</v>
      </c>
      <c r="C21" s="275">
        <f>EINSTELLUNG!C17</f>
        <v>0</v>
      </c>
      <c r="D21" s="275">
        <f>EINSTELLUNG!C33</f>
        <v>0</v>
      </c>
      <c r="E21" s="275">
        <f t="shared" si="3"/>
        <v>0</v>
      </c>
      <c r="F21" s="275">
        <f>EINSTELLUNG!D17</f>
        <v>0</v>
      </c>
      <c r="G21" s="275">
        <v>3868.38</v>
      </c>
      <c r="H21" s="275">
        <f t="shared" si="0"/>
        <v>3868.38</v>
      </c>
      <c r="I21" s="276">
        <f>EINSTELLUNG!E17</f>
        <v>0</v>
      </c>
      <c r="J21" s="276">
        <v>0</v>
      </c>
      <c r="K21" s="276">
        <f t="shared" si="1"/>
        <v>0</v>
      </c>
      <c r="L21" s="277">
        <f>Dezember!S40</f>
        <v>0</v>
      </c>
      <c r="M21" s="277">
        <f>Dezember!S41</f>
        <v>0</v>
      </c>
      <c r="N21" s="277">
        <f>Dezember!O5</f>
        <v>31.303198843465079</v>
      </c>
      <c r="O21" s="277">
        <f>Dezember!P5</f>
        <v>0</v>
      </c>
      <c r="P21" s="277">
        <f t="shared" si="2"/>
        <v>-31.303198843465079</v>
      </c>
      <c r="Q21" s="278">
        <v>0</v>
      </c>
    </row>
    <row r="22" spans="2:17" ht="30" customHeight="1" x14ac:dyDescent="0.3">
      <c r="B22" s="284" t="s">
        <v>178</v>
      </c>
      <c r="C22" s="285">
        <f>SUM(C19:C21)</f>
        <v>0</v>
      </c>
      <c r="D22" s="285">
        <f>SUM(D19:D21)</f>
        <v>0</v>
      </c>
      <c r="E22" s="285">
        <f>D22-C22</f>
        <v>0</v>
      </c>
      <c r="F22" s="285">
        <f>SUM(F19:F21)</f>
        <v>0</v>
      </c>
      <c r="G22" s="285">
        <f>SUM(G19:G21)</f>
        <v>11605.14</v>
      </c>
      <c r="H22" s="285">
        <f t="shared" si="0"/>
        <v>11605.14</v>
      </c>
      <c r="I22" s="286">
        <f>AVERAGE(I19:I21)</f>
        <v>0</v>
      </c>
      <c r="J22" s="286">
        <f>AVERAGE(J19:J21)</f>
        <v>0</v>
      </c>
      <c r="K22" s="286">
        <f t="shared" si="1"/>
        <v>0</v>
      </c>
      <c r="L22" s="287">
        <f>AVERAGE(L19:L21)</f>
        <v>0</v>
      </c>
      <c r="M22" s="287">
        <f>AVERAGE(M19:M21)</f>
        <v>0</v>
      </c>
      <c r="N22" s="287">
        <f>SUM(N19:N21)</f>
        <v>93.909596530395234</v>
      </c>
      <c r="O22" s="287">
        <f>SUM(O19:O21)</f>
        <v>0</v>
      </c>
      <c r="P22" s="287">
        <f>O22-N22</f>
        <v>-93.909596530395234</v>
      </c>
      <c r="Q22" s="288">
        <v>0</v>
      </c>
    </row>
    <row r="23" spans="2:17" ht="32.1" customHeight="1" thickBot="1" x14ac:dyDescent="0.35">
      <c r="B23" s="289" t="str">
        <f xml:space="preserve"> "GESAMT " &amp; EINSTELLUNG!C35</f>
        <v>GESAMT 2026</v>
      </c>
      <c r="C23" s="290">
        <f>SUM(C10,C14,C18,C22)</f>
        <v>0</v>
      </c>
      <c r="D23" s="290">
        <f>SUM(D10,D14,D18,D22)</f>
        <v>0</v>
      </c>
      <c r="E23" s="290">
        <f>D23-C23</f>
        <v>0</v>
      </c>
      <c r="F23" s="290">
        <f>SUM(F10,F14,F18,F22)</f>
        <v>0</v>
      </c>
      <c r="G23" s="290">
        <f>SUM(G10,G14,G18,G22)</f>
        <v>46664.68</v>
      </c>
      <c r="H23" s="290">
        <f t="shared" si="0"/>
        <v>46664.68</v>
      </c>
      <c r="I23" s="291">
        <f>AVERAGE(I10,I14,I18,I22)</f>
        <v>0</v>
      </c>
      <c r="J23" s="291">
        <f>AVERAGE(J10,J14,J18,J22)</f>
        <v>0</v>
      </c>
      <c r="K23" s="291">
        <f t="shared" si="1"/>
        <v>0</v>
      </c>
      <c r="L23" s="292">
        <f>AVERAGE(L22,L18,L14,L10)</f>
        <v>0</v>
      </c>
      <c r="M23" s="292">
        <f>AVERAGE(M10,M14,M18,M22)</f>
        <v>0</v>
      </c>
      <c r="N23" s="292">
        <f>SUM(N10,N14,N18,N22)</f>
        <v>375.63838612158094</v>
      </c>
      <c r="O23" s="292">
        <f>SUM(O10,O14,O18,O22)</f>
        <v>0</v>
      </c>
      <c r="P23" s="292">
        <f t="shared" si="2"/>
        <v>-375.63838612158094</v>
      </c>
      <c r="Q23" s="293">
        <v>0</v>
      </c>
    </row>
    <row r="24" spans="2:17" x14ac:dyDescent="0.3">
      <c r="B24" s="294" t="s">
        <v>291</v>
      </c>
      <c r="O24" s="295"/>
    </row>
    <row r="25" spans="2:17" x14ac:dyDescent="0.3">
      <c r="B25" s="294"/>
      <c r="C25" s="294"/>
      <c r="D25" s="294"/>
      <c r="E25" s="294"/>
      <c r="F25" s="294"/>
      <c r="G25" s="294"/>
      <c r="H25" s="294"/>
    </row>
    <row r="26" spans="2:17" x14ac:dyDescent="0.3">
      <c r="B26" s="296"/>
      <c r="C26" s="296"/>
      <c r="D26" s="296"/>
      <c r="E26" s="296"/>
    </row>
    <row r="27" spans="2:17" ht="16.5" thickBot="1" x14ac:dyDescent="0.35">
      <c r="B27" s="296"/>
      <c r="C27" s="296"/>
      <c r="D27" s="296"/>
      <c r="E27" s="296"/>
    </row>
    <row r="28" spans="2:17" ht="27.95" customHeight="1" x14ac:dyDescent="0.3">
      <c r="B28" s="297" t="str">
        <f xml:space="preserve"> "DURCHRECHNUNGSSTUNDEN - " &amp; EINSTELLUNG!C35</f>
        <v>DURCHRECHNUNGSSTUNDEN - 2026</v>
      </c>
      <c r="C28" s="298"/>
      <c r="D28" s="298"/>
      <c r="E28" s="298"/>
      <c r="F28" s="298"/>
      <c r="G28" s="298"/>
      <c r="H28" s="298"/>
      <c r="I28" s="298"/>
      <c r="J28" s="298"/>
      <c r="K28" s="298"/>
      <c r="L28" s="298"/>
      <c r="M28" s="298"/>
      <c r="N28" s="298"/>
      <c r="O28" s="298"/>
      <c r="P28" s="298"/>
      <c r="Q28" s="299"/>
    </row>
    <row r="29" spans="2:17" ht="48" customHeight="1" thickBot="1" x14ac:dyDescent="0.35">
      <c r="B29" s="300" t="s">
        <v>272</v>
      </c>
      <c r="C29" s="301"/>
      <c r="D29" s="301"/>
      <c r="E29" s="301"/>
      <c r="F29" s="301"/>
      <c r="G29" s="301"/>
      <c r="H29" s="301"/>
      <c r="I29" s="301"/>
      <c r="J29" s="301"/>
      <c r="K29" s="301"/>
      <c r="L29" s="301"/>
      <c r="M29" s="301"/>
      <c r="N29" s="301"/>
      <c r="O29" s="301"/>
      <c r="P29" s="301"/>
      <c r="Q29" s="302"/>
    </row>
    <row r="30" spans="2:17" ht="39.950000000000003" customHeight="1" thickBot="1" x14ac:dyDescent="0.35">
      <c r="B30" s="303" t="s">
        <v>264</v>
      </c>
      <c r="C30" s="304"/>
      <c r="D30" s="304"/>
      <c r="E30" s="21">
        <v>7000</v>
      </c>
      <c r="F30" s="304" t="s">
        <v>265</v>
      </c>
      <c r="G30" s="304"/>
      <c r="H30" s="304"/>
      <c r="I30" s="21">
        <v>5600</v>
      </c>
      <c r="J30" s="305"/>
      <c r="K30" s="305"/>
      <c r="L30" s="305"/>
      <c r="M30" s="305"/>
      <c r="N30" s="305"/>
      <c r="O30" s="305"/>
      <c r="P30" s="305"/>
      <c r="Q30" s="306"/>
    </row>
    <row r="31" spans="2:17" s="314" customFormat="1" ht="30" customHeight="1" x14ac:dyDescent="0.3">
      <c r="B31" s="307" t="s">
        <v>255</v>
      </c>
      <c r="C31" s="308" t="s">
        <v>258</v>
      </c>
      <c r="D31" s="308" t="s">
        <v>266</v>
      </c>
      <c r="E31" s="309" t="s">
        <v>259</v>
      </c>
      <c r="F31" s="308" t="s">
        <v>95</v>
      </c>
      <c r="G31" s="308" t="s">
        <v>260</v>
      </c>
      <c r="H31" s="308" t="s">
        <v>261</v>
      </c>
      <c r="I31" s="310" t="s">
        <v>262</v>
      </c>
      <c r="J31" s="311" t="s">
        <v>263</v>
      </c>
      <c r="K31" s="312"/>
      <c r="L31" s="312"/>
      <c r="M31" s="312"/>
      <c r="N31" s="312"/>
      <c r="O31" s="312"/>
      <c r="P31" s="312"/>
      <c r="Q31" s="313"/>
    </row>
    <row r="32" spans="2:17" ht="42" customHeight="1" x14ac:dyDescent="0.3">
      <c r="B32" s="315" t="s">
        <v>267</v>
      </c>
      <c r="C32" s="316" t="s">
        <v>167</v>
      </c>
      <c r="D32" s="317">
        <f>Februar!Q12+Marz!Q13+April!Q13</f>
        <v>973.14</v>
      </c>
      <c r="E32" s="317">
        <f>EINSTELLUNG!L7+EINSTELLUNG!L8+EINSTELLUNG!L9</f>
        <v>0</v>
      </c>
      <c r="F32" s="317">
        <f>April!Q15</f>
        <v>324.38</v>
      </c>
      <c r="G32" s="318">
        <f>April!Q42</f>
        <v>11.925457796411617</v>
      </c>
      <c r="H32" s="317">
        <f>MAX(0,-F32)</f>
        <v>0</v>
      </c>
      <c r="I32" s="319" t="str">
        <f>IF(OR(G32=0,H32=0),"",H32*G32*3/2)</f>
        <v/>
      </c>
      <c r="J32" s="320" t="str">
        <f>IF(F32&lt;0,"ACHTUNG: Überstunden",IF(F32&gt;0,"Reserve möglich","OK"))</f>
        <v>Reserve möglich</v>
      </c>
      <c r="K32" s="321"/>
      <c r="L32" s="321"/>
      <c r="M32" s="321"/>
      <c r="N32" s="321"/>
      <c r="O32" s="321"/>
      <c r="P32" s="321"/>
      <c r="Q32" s="322"/>
    </row>
    <row r="33" spans="2:17" ht="42" customHeight="1" x14ac:dyDescent="0.3">
      <c r="B33" s="323" t="s">
        <v>256</v>
      </c>
      <c r="C33" s="324" t="s">
        <v>171</v>
      </c>
      <c r="D33" s="325">
        <f>Mai!Q12+Juni!Q13+Juli!Q13</f>
        <v>973.14</v>
      </c>
      <c r="E33" s="325">
        <f>EINSTELLUNG!L10+EINSTELLUNG!L11+EINSTELLUNG!L12</f>
        <v>0</v>
      </c>
      <c r="F33" s="325">
        <f>Juli!Q15</f>
        <v>324.38</v>
      </c>
      <c r="G33" s="326">
        <f>Juli!Q42</f>
        <v>11.925457796411617</v>
      </c>
      <c r="H33" s="325">
        <f>MAX(0,-F33)</f>
        <v>0</v>
      </c>
      <c r="I33" s="327" t="str">
        <f>IF(OR(G33=0,H33=0),"",H33*G33*3/2)</f>
        <v/>
      </c>
      <c r="J33" s="328" t="str">
        <f>IF(F33&lt;0,"ACHTUNG: Überstunden",IF(F33&gt;0,"Reserve möglich","OK"))</f>
        <v>Reserve möglich</v>
      </c>
      <c r="K33" s="329"/>
      <c r="L33" s="329"/>
      <c r="M33" s="329"/>
      <c r="N33" s="329"/>
      <c r="O33" s="329"/>
      <c r="P33" s="329"/>
      <c r="Q33" s="330"/>
    </row>
    <row r="34" spans="2:17" ht="42" customHeight="1" x14ac:dyDescent="0.3">
      <c r="B34" s="315" t="s">
        <v>257</v>
      </c>
      <c r="C34" s="316" t="s">
        <v>175</v>
      </c>
      <c r="D34" s="317">
        <f>August!Q12+September!Q13+Oktober!Q13</f>
        <v>973.14</v>
      </c>
      <c r="E34" s="317">
        <f>EINSTELLUNG!L13+EINSTELLUNG!L14+EINSTELLUNG!L15</f>
        <v>0</v>
      </c>
      <c r="F34" s="317">
        <f>Oktober!Q15</f>
        <v>324.38</v>
      </c>
      <c r="G34" s="318">
        <f>Oktober!Q42</f>
        <v>11.925457796411617</v>
      </c>
      <c r="H34" s="317">
        <f>MAX(0,-F34)</f>
        <v>0</v>
      </c>
      <c r="I34" s="319" t="str">
        <f>IF(OR(G34=0,H34=0),"",H34*G34*3/2)</f>
        <v/>
      </c>
      <c r="J34" s="320" t="str">
        <f>IF(F34&lt;0,"ACHTUNG: Überstunden",IF(F34&gt;0,"Reserve möglich","OK"))</f>
        <v>Reserve möglich</v>
      </c>
      <c r="K34" s="321"/>
      <c r="L34" s="321"/>
      <c r="M34" s="321"/>
      <c r="N34" s="321"/>
      <c r="O34" s="321"/>
      <c r="P34" s="321"/>
      <c r="Q34" s="322"/>
    </row>
    <row r="35" spans="2:17" ht="42" customHeight="1" thickBot="1" x14ac:dyDescent="0.35">
      <c r="B35" s="331" t="s">
        <v>268</v>
      </c>
      <c r="C35" s="332" t="s">
        <v>269</v>
      </c>
      <c r="D35" s="333">
        <f>November!Q12+Dezember!Q13+E30</f>
        <v>7951.76</v>
      </c>
      <c r="E35" s="333">
        <f>EINSTELLUNG!L16+EINSTELLUNG!L17+I30</f>
        <v>5600</v>
      </c>
      <c r="F35" s="333">
        <f>D35-E35</f>
        <v>2351.7600000000002</v>
      </c>
      <c r="G35" s="334">
        <f>Dezember!Q42</f>
        <v>11.925457796411617</v>
      </c>
      <c r="H35" s="333">
        <f>MAX(0,-F35)</f>
        <v>0</v>
      </c>
      <c r="I35" s="335" t="str">
        <f>IF(OR(G35=0,H35=0),"",H35*G35*3/2)</f>
        <v/>
      </c>
      <c r="J35" s="336" t="str">
        <f>IF(F35&lt;0,"ACHTUNG: Überstunden",IF(F35&gt;0,"Reserve möglich","OK"))</f>
        <v>Reserve möglich</v>
      </c>
      <c r="K35" s="337"/>
      <c r="L35" s="337"/>
      <c r="M35" s="337"/>
      <c r="N35" s="337"/>
      <c r="O35" s="337"/>
      <c r="P35" s="337"/>
      <c r="Q35" s="338"/>
    </row>
    <row r="36" spans="2:17" ht="39.950000000000003" customHeight="1" thickBot="1" x14ac:dyDescent="0.35">
      <c r="B36" s="339" t="s">
        <v>270</v>
      </c>
      <c r="C36" s="340"/>
      <c r="D36" s="340"/>
      <c r="E36" s="340"/>
      <c r="F36" s="340"/>
      <c r="G36" s="340"/>
      <c r="H36" s="340"/>
      <c r="I36" s="340"/>
      <c r="J36" s="340"/>
      <c r="K36" s="340"/>
      <c r="L36" s="340"/>
      <c r="M36" s="340"/>
      <c r="N36" s="340"/>
      <c r="O36" s="340"/>
      <c r="P36" s="340"/>
      <c r="Q36" s="341"/>
    </row>
    <row r="37" spans="2:17" x14ac:dyDescent="0.3">
      <c r="B37" s="342"/>
      <c r="C37" s="342"/>
      <c r="D37" s="342"/>
      <c r="E37" s="342"/>
      <c r="F37" s="342"/>
      <c r="G37" s="342"/>
      <c r="H37" s="342"/>
      <c r="I37" s="342"/>
      <c r="J37" s="342"/>
      <c r="K37" s="342"/>
      <c r="L37" s="342"/>
      <c r="M37" s="342"/>
      <c r="N37" s="342"/>
      <c r="O37" s="342"/>
      <c r="P37" s="342"/>
      <c r="Q37" s="342"/>
    </row>
    <row r="38" spans="2:17" ht="39.950000000000003" customHeight="1" x14ac:dyDescent="0.3">
      <c r="B38" s="342"/>
      <c r="C38" s="342"/>
      <c r="D38" s="342"/>
      <c r="E38" s="342"/>
      <c r="F38" s="342"/>
      <c r="G38" s="342"/>
      <c r="H38" s="342"/>
      <c r="I38" s="342"/>
      <c r="J38" s="342"/>
      <c r="K38" s="342"/>
      <c r="L38" s="342"/>
      <c r="M38" s="342"/>
      <c r="N38" s="342"/>
      <c r="O38" s="342"/>
      <c r="P38" s="342"/>
      <c r="Q38" s="342"/>
    </row>
    <row r="100" spans="26:26" x14ac:dyDescent="0.3">
      <c r="Z100" s="343"/>
    </row>
  </sheetData>
  <sheetProtection algorithmName="SHA-512" hashValue="pdx6QkFq+tKJ+W1wnziDktVQpXLv42fSZmeF/3ZSV68f45qz8dT7k6XgQiC6yb8usY6tAE2KQ0UMBaQvIpI7tg==" saltValue="MFPecen0cqBij8njHSelxQ==" spinCount="100000" sheet="1" objects="1" scenarios="1" selectLockedCells="1" autoFilter="0"/>
  <protectedRanges>
    <protectedRange sqref="E30" name="PID_Plan_Verfuegbar"/>
    <protectedRange sqref="I30" name="PID_Plan_Muster"/>
  </protectedRanges>
  <mergeCells count="20">
    <mergeCell ref="B28:Q28"/>
    <mergeCell ref="B29:Q29"/>
    <mergeCell ref="B30:D30"/>
    <mergeCell ref="F30:H30"/>
    <mergeCell ref="B36:Q36"/>
    <mergeCell ref="J31:Q31"/>
    <mergeCell ref="J32:Q32"/>
    <mergeCell ref="J33:Q33"/>
    <mergeCell ref="J34:Q34"/>
    <mergeCell ref="J35:Q35"/>
    <mergeCell ref="J30:Q30"/>
    <mergeCell ref="B2:Q3"/>
    <mergeCell ref="L4:L6"/>
    <mergeCell ref="M4:M6"/>
    <mergeCell ref="B4:B6"/>
    <mergeCell ref="Q4:Q6"/>
    <mergeCell ref="C4:E5"/>
    <mergeCell ref="N4:P5"/>
    <mergeCell ref="F4:H5"/>
    <mergeCell ref="I4:K5"/>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50"/>
  <sheetViews>
    <sheetView showGridLines="0" topLeftCell="A25" workbookViewId="0">
      <selection activeCell="F62" sqref="F62"/>
    </sheetView>
  </sheetViews>
  <sheetFormatPr baseColWidth="10" defaultColWidth="10.85546875" defaultRowHeight="15" customHeight="1" x14ac:dyDescent="0.25"/>
  <cols>
    <col min="1" max="1" width="26" style="148" customWidth="1"/>
    <col min="2" max="2" width="20.5703125" style="148" customWidth="1"/>
    <col min="3" max="4" width="26.5703125" style="148" customWidth="1"/>
    <col min="5" max="5" width="31.42578125" style="148" customWidth="1"/>
    <col min="6" max="6" width="14.28515625" style="148" customWidth="1"/>
    <col min="7" max="7" width="11.85546875" style="148" customWidth="1"/>
    <col min="8" max="8" width="16.28515625" style="148" customWidth="1"/>
    <col min="9" max="9" width="22" style="148" customWidth="1"/>
    <col min="10" max="10" width="15.140625" style="148" customWidth="1"/>
    <col min="11" max="12" width="37.42578125" style="148" customWidth="1"/>
    <col min="13" max="14" width="31.42578125" style="148" customWidth="1"/>
    <col min="15" max="15" width="10.85546875" style="148"/>
    <col min="16" max="19" width="2.5703125" style="148" customWidth="1"/>
    <col min="20" max="26" width="10.85546875" style="148" hidden="1" customWidth="1"/>
    <col min="27" max="16384" width="10.85546875" style="148"/>
  </cols>
  <sheetData>
    <row r="1" spans="1:17" ht="27.95" customHeight="1" x14ac:dyDescent="0.25">
      <c r="A1" s="212" t="s">
        <v>279</v>
      </c>
      <c r="B1" s="212"/>
      <c r="C1" s="212"/>
      <c r="D1" s="212"/>
      <c r="E1" s="212"/>
      <c r="P1" s="148" t="s">
        <v>205</v>
      </c>
      <c r="Q1" s="148" t="s">
        <v>216</v>
      </c>
    </row>
    <row r="2" spans="1:17" ht="18" customHeight="1" x14ac:dyDescent="0.25">
      <c r="A2" s="8" t="s">
        <v>246</v>
      </c>
      <c r="B2" s="8">
        <v>2026</v>
      </c>
      <c r="C2" s="8" t="s">
        <v>247</v>
      </c>
      <c r="D2" s="8" t="s">
        <v>324</v>
      </c>
      <c r="E2" s="8"/>
    </row>
    <row r="4" spans="1:17" ht="21.95" customHeight="1" thickBot="1" x14ac:dyDescent="0.3">
      <c r="A4" s="237" t="s">
        <v>248</v>
      </c>
      <c r="B4" s="237"/>
      <c r="C4" s="237"/>
      <c r="D4" s="237"/>
      <c r="E4" s="237"/>
    </row>
    <row r="5" spans="1:17" ht="24" customHeight="1" x14ac:dyDescent="0.25">
      <c r="A5" s="252" t="s">
        <v>231</v>
      </c>
      <c r="B5" s="254" t="s">
        <v>326</v>
      </c>
      <c r="C5" s="248" t="s">
        <v>329</v>
      </c>
      <c r="D5" s="248"/>
      <c r="E5" s="249"/>
    </row>
    <row r="6" spans="1:17" ht="24" customHeight="1" thickBot="1" x14ac:dyDescent="0.3">
      <c r="A6" s="253"/>
      <c r="B6" s="255"/>
      <c r="C6" s="250"/>
      <c r="D6" s="250"/>
      <c r="E6" s="251"/>
    </row>
    <row r="7" spans="1:17" ht="15" customHeight="1" thickBot="1" x14ac:dyDescent="0.3">
      <c r="A7" s="150" t="s">
        <v>291</v>
      </c>
    </row>
    <row r="8" spans="1:17" ht="24" customHeight="1" x14ac:dyDescent="0.25">
      <c r="A8" s="9" t="s">
        <v>211</v>
      </c>
      <c r="B8" s="10" t="s">
        <v>249</v>
      </c>
      <c r="C8" s="10" t="s">
        <v>301</v>
      </c>
      <c r="D8" s="10" t="s">
        <v>250</v>
      </c>
      <c r="E8" s="11" t="s">
        <v>251</v>
      </c>
    </row>
    <row r="9" spans="1:17" ht="21.95" customHeight="1" thickBot="1" x14ac:dyDescent="0.3">
      <c r="A9" s="104">
        <v>0</v>
      </c>
      <c r="B9" s="149">
        <v>0</v>
      </c>
      <c r="C9" s="105">
        <v>0</v>
      </c>
      <c r="D9" s="106">
        <v>0</v>
      </c>
      <c r="E9" s="107">
        <v>0</v>
      </c>
    </row>
    <row r="10" spans="1:17" ht="21.95" customHeight="1" thickBot="1" x14ac:dyDescent="0.3">
      <c r="A10" s="108" t="s">
        <v>298</v>
      </c>
      <c r="B10" s="256" t="s">
        <v>299</v>
      </c>
      <c r="C10" s="256"/>
      <c r="D10" s="256"/>
      <c r="E10" s="257"/>
    </row>
    <row r="11" spans="1:17" ht="21.95" customHeight="1" thickBot="1" x14ac:dyDescent="0.3">
      <c r="A11" s="247" t="s">
        <v>280</v>
      </c>
      <c r="B11" s="247"/>
      <c r="C11" s="247"/>
      <c r="D11" s="247"/>
      <c r="E11" s="247"/>
    </row>
    <row r="12" spans="1:17" ht="27.95" customHeight="1" thickBot="1" x14ac:dyDescent="0.3">
      <c r="A12" s="238" t="s">
        <v>330</v>
      </c>
      <c r="B12" s="239"/>
      <c r="C12" s="239"/>
      <c r="D12" s="239"/>
      <c r="E12" s="240"/>
    </row>
    <row r="15" spans="1:17" ht="21.95" customHeight="1" thickBot="1" x14ac:dyDescent="0.3">
      <c r="A15" s="237" t="s">
        <v>252</v>
      </c>
      <c r="B15" s="237"/>
      <c r="C15" s="237"/>
      <c r="D15" s="237"/>
      <c r="E15" s="237"/>
    </row>
    <row r="16" spans="1:17" ht="27.95" customHeight="1" thickBot="1" x14ac:dyDescent="0.3">
      <c r="A16" s="108">
        <v>1</v>
      </c>
      <c r="B16" s="239" t="s">
        <v>331</v>
      </c>
      <c r="C16" s="239"/>
      <c r="D16" s="239"/>
      <c r="E16" s="240"/>
    </row>
    <row r="18" spans="1:17" ht="15" customHeight="1" x14ac:dyDescent="0.25">
      <c r="A18" s="241" t="s">
        <v>254</v>
      </c>
      <c r="B18" s="241"/>
      <c r="C18" s="241"/>
      <c r="D18" s="241"/>
      <c r="E18" s="241"/>
    </row>
    <row r="19" spans="1:17" ht="18" customHeight="1" x14ac:dyDescent="0.25"/>
    <row r="20" spans="1:17" ht="18" customHeight="1" x14ac:dyDescent="0.25">
      <c r="P20" s="148" t="s">
        <v>210</v>
      </c>
      <c r="Q20" s="148" t="s">
        <v>253</v>
      </c>
    </row>
    <row r="21" spans="1:17" ht="18" customHeight="1" x14ac:dyDescent="0.25">
      <c r="A21" s="212" t="s">
        <v>281</v>
      </c>
      <c r="B21" s="212"/>
      <c r="C21" s="212"/>
      <c r="D21" s="212"/>
      <c r="E21" s="212"/>
      <c r="F21" s="212"/>
      <c r="G21" s="212"/>
      <c r="H21" s="212"/>
      <c r="I21" s="212"/>
    </row>
    <row r="22" spans="1:17" ht="18" customHeight="1" thickBot="1" x14ac:dyDescent="0.3"/>
    <row r="23" spans="1:17" ht="18" customHeight="1" x14ac:dyDescent="0.25">
      <c r="A23" s="9" t="s">
        <v>205</v>
      </c>
      <c r="B23" s="10" t="s">
        <v>216</v>
      </c>
      <c r="C23" s="10" t="s">
        <v>220</v>
      </c>
      <c r="D23" s="10" t="s">
        <v>213</v>
      </c>
      <c r="E23" s="10" t="s">
        <v>300</v>
      </c>
      <c r="F23" s="10" t="s">
        <v>282</v>
      </c>
      <c r="G23" s="10" t="s">
        <v>237</v>
      </c>
      <c r="H23" s="10"/>
      <c r="I23" s="11"/>
    </row>
    <row r="24" spans="1:17" ht="18" customHeight="1" thickBot="1" x14ac:dyDescent="0.3">
      <c r="A24" s="242" t="s">
        <v>332</v>
      </c>
      <c r="B24" s="243"/>
      <c r="C24" s="244"/>
      <c r="D24" s="245"/>
      <c r="E24" s="245"/>
      <c r="F24" s="243"/>
      <c r="G24" s="243"/>
      <c r="H24" s="243"/>
      <c r="I24" s="246"/>
    </row>
    <row r="25" spans="1:17" ht="18" customHeight="1" x14ac:dyDescent="0.25"/>
    <row r="26" spans="1:17" ht="18" customHeight="1" x14ac:dyDescent="0.25"/>
    <row r="27" spans="1:17" ht="18" customHeight="1" thickBot="1" x14ac:dyDescent="0.3"/>
    <row r="28" spans="1:17" ht="18" customHeight="1" x14ac:dyDescent="0.25">
      <c r="A28" s="230" t="s">
        <v>283</v>
      </c>
      <c r="B28" s="231"/>
      <c r="C28" s="231"/>
      <c r="D28" s="231"/>
      <c r="E28" s="232"/>
    </row>
    <row r="29" spans="1:17" ht="41.45" customHeight="1" x14ac:dyDescent="0.25">
      <c r="A29" s="22" t="s">
        <v>219</v>
      </c>
      <c r="B29" s="233" t="s">
        <v>221</v>
      </c>
      <c r="C29" s="233"/>
      <c r="D29" s="233"/>
      <c r="E29" s="234"/>
    </row>
    <row r="30" spans="1:17" ht="57.2" customHeight="1" x14ac:dyDescent="0.25">
      <c r="A30" s="22" t="s">
        <v>301</v>
      </c>
      <c r="B30" s="233" t="s">
        <v>302</v>
      </c>
      <c r="C30" s="233"/>
      <c r="D30" s="233"/>
      <c r="E30" s="234"/>
    </row>
    <row r="31" spans="1:17" ht="41.45" customHeight="1" x14ac:dyDescent="0.25">
      <c r="A31" s="22" t="s">
        <v>222</v>
      </c>
      <c r="B31" s="233" t="s">
        <v>284</v>
      </c>
      <c r="C31" s="233"/>
      <c r="D31" s="233"/>
      <c r="E31" s="234"/>
    </row>
    <row r="32" spans="1:17" ht="41.45" customHeight="1" x14ac:dyDescent="0.25">
      <c r="A32" s="22" t="s">
        <v>217</v>
      </c>
      <c r="B32" s="233" t="s">
        <v>285</v>
      </c>
      <c r="C32" s="233"/>
      <c r="D32" s="233"/>
      <c r="E32" s="234"/>
    </row>
    <row r="33" spans="1:5" ht="41.45" customHeight="1" x14ac:dyDescent="0.25">
      <c r="A33" s="22" t="s">
        <v>214</v>
      </c>
      <c r="B33" s="233" t="s">
        <v>286</v>
      </c>
      <c r="C33" s="233"/>
      <c r="D33" s="233"/>
      <c r="E33" s="234"/>
    </row>
    <row r="34" spans="1:5" ht="41.45" customHeight="1" x14ac:dyDescent="0.25">
      <c r="A34" s="22" t="s">
        <v>218</v>
      </c>
      <c r="B34" s="233" t="s">
        <v>287</v>
      </c>
      <c r="C34" s="233"/>
      <c r="D34" s="233"/>
      <c r="E34" s="234"/>
    </row>
    <row r="35" spans="1:5" ht="27.95" customHeight="1" x14ac:dyDescent="0.25">
      <c r="A35" s="22" t="s">
        <v>215</v>
      </c>
      <c r="B35" s="233" t="s">
        <v>288</v>
      </c>
      <c r="C35" s="233"/>
      <c r="D35" s="233"/>
      <c r="E35" s="234"/>
    </row>
    <row r="36" spans="1:5" ht="27.95" customHeight="1" thickBot="1" x14ac:dyDescent="0.3">
      <c r="A36" s="23" t="s">
        <v>289</v>
      </c>
      <c r="B36" s="235" t="s">
        <v>290</v>
      </c>
      <c r="C36" s="235"/>
      <c r="D36" s="235"/>
      <c r="E36" s="236"/>
    </row>
    <row r="37" spans="1:5" ht="18" customHeight="1" thickBot="1" x14ac:dyDescent="0.3"/>
    <row r="38" spans="1:5" ht="21.95" customHeight="1" x14ac:dyDescent="0.25">
      <c r="A38" s="230" t="s">
        <v>303</v>
      </c>
      <c r="B38" s="231"/>
      <c r="C38" s="231"/>
      <c r="D38" s="231"/>
      <c r="E38" s="232"/>
    </row>
    <row r="39" spans="1:5" ht="18" customHeight="1" x14ac:dyDescent="0.25">
      <c r="A39" s="22" t="s">
        <v>304</v>
      </c>
      <c r="B39" s="224" t="s">
        <v>305</v>
      </c>
      <c r="C39" s="225"/>
      <c r="D39" s="225"/>
      <c r="E39" s="226"/>
    </row>
    <row r="40" spans="1:5" ht="18" customHeight="1" x14ac:dyDescent="0.25">
      <c r="A40" s="22" t="s">
        <v>306</v>
      </c>
      <c r="B40" s="224" t="s">
        <v>307</v>
      </c>
      <c r="C40" s="225"/>
      <c r="D40" s="225"/>
      <c r="E40" s="226"/>
    </row>
    <row r="41" spans="1:5" ht="18" customHeight="1" x14ac:dyDescent="0.25">
      <c r="A41" s="22" t="s">
        <v>308</v>
      </c>
      <c r="B41" s="224" t="s">
        <v>299</v>
      </c>
      <c r="C41" s="225"/>
      <c r="D41" s="225"/>
      <c r="E41" s="226"/>
    </row>
    <row r="42" spans="1:5" ht="18" customHeight="1" x14ac:dyDescent="0.25">
      <c r="A42" s="22" t="s">
        <v>309</v>
      </c>
      <c r="B42" s="224" t="s">
        <v>310</v>
      </c>
      <c r="C42" s="225"/>
      <c r="D42" s="225"/>
      <c r="E42" s="226"/>
    </row>
    <row r="43" spans="1:5" ht="18" customHeight="1" x14ac:dyDescent="0.25">
      <c r="A43" s="22" t="s">
        <v>311</v>
      </c>
      <c r="B43" s="224" t="s">
        <v>312</v>
      </c>
      <c r="C43" s="225"/>
      <c r="D43" s="225"/>
      <c r="E43" s="226"/>
    </row>
    <row r="44" spans="1:5" ht="18" customHeight="1" x14ac:dyDescent="0.25">
      <c r="A44" s="22" t="s">
        <v>313</v>
      </c>
      <c r="B44" s="224" t="s">
        <v>314</v>
      </c>
      <c r="C44" s="225"/>
      <c r="D44" s="225"/>
      <c r="E44" s="226"/>
    </row>
    <row r="45" spans="1:5" ht="18" customHeight="1" x14ac:dyDescent="0.25">
      <c r="A45" s="22" t="s">
        <v>315</v>
      </c>
      <c r="B45" s="224" t="s">
        <v>316</v>
      </c>
      <c r="C45" s="225"/>
      <c r="D45" s="225"/>
      <c r="E45" s="226"/>
    </row>
    <row r="46" spans="1:5" ht="18" customHeight="1" x14ac:dyDescent="0.25">
      <c r="A46" s="22" t="s">
        <v>317</v>
      </c>
      <c r="B46" s="224" t="s">
        <v>318</v>
      </c>
      <c r="C46" s="225"/>
      <c r="D46" s="225"/>
      <c r="E46" s="226"/>
    </row>
    <row r="47" spans="1:5" ht="39.950000000000003" customHeight="1" thickBot="1" x14ac:dyDescent="0.3">
      <c r="A47" s="23" t="s">
        <v>319</v>
      </c>
      <c r="B47" s="227" t="s">
        <v>320</v>
      </c>
      <c r="C47" s="228"/>
      <c r="D47" s="228"/>
      <c r="E47" s="229"/>
    </row>
    <row r="48" spans="1:5" ht="18" customHeight="1" x14ac:dyDescent="0.25"/>
    <row r="49" ht="18" customHeight="1" x14ac:dyDescent="0.25"/>
    <row r="50" ht="18" customHeight="1" x14ac:dyDescent="0.25"/>
  </sheetData>
  <sheetProtection algorithmName="SHA-512" hashValue="9UiPi1c+fzXcZ6i0QEBXsChAKVtpaRXaI0W4ErDn9E3u5WIg/ITsT+z5YkngfKlN9pTnavOO5OJ9uAD7V3CCig==" saltValue="4Uuvs2CUEXmAAujUCjZqcQ==" spinCount="100000" sheet="1" objects="1" scenarios="1" sort="0" autoFilter="0"/>
  <mergeCells count="32">
    <mergeCell ref="A1:E1"/>
    <mergeCell ref="A4:E4"/>
    <mergeCell ref="A11:E11"/>
    <mergeCell ref="C5:E6"/>
    <mergeCell ref="A5:A6"/>
    <mergeCell ref="B5:B6"/>
    <mergeCell ref="B10:E10"/>
    <mergeCell ref="A12:E12"/>
    <mergeCell ref="B16:E16"/>
    <mergeCell ref="A18:E18"/>
    <mergeCell ref="A24:I24"/>
    <mergeCell ref="B29:E29"/>
    <mergeCell ref="B35:E35"/>
    <mergeCell ref="B36:E36"/>
    <mergeCell ref="A15:E15"/>
    <mergeCell ref="A21:I21"/>
    <mergeCell ref="A28:E28"/>
    <mergeCell ref="B30:E30"/>
    <mergeCell ref="B31:E31"/>
    <mergeCell ref="B32:E32"/>
    <mergeCell ref="B33:E33"/>
    <mergeCell ref="B34:E34"/>
    <mergeCell ref="A38:E38"/>
    <mergeCell ref="B39:E39"/>
    <mergeCell ref="B40:E40"/>
    <mergeCell ref="B41:E41"/>
    <mergeCell ref="B42:E42"/>
    <mergeCell ref="B43:E43"/>
    <mergeCell ref="B44:E44"/>
    <mergeCell ref="B45:E45"/>
    <mergeCell ref="B46:E46"/>
    <mergeCell ref="B47:E47"/>
  </mergeCells>
  <pageMargins left="0.4" right="0.4" top="0.5" bottom="0.5" header="0.3" footer="0.3"/>
  <pageSetup paperSize="9" scale="32" orientation="portrait" r:id="rId1"/>
  <headerFooter>
    <oddFooter>&amp;R&amp;"Calibri"&amp;7© Adam Nagy ¬∑ McOpCo ¬∑ Personalsheet 2026</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6FA1E-62B6-4625-9FB0-18EF12303AD5}">
  <sheetPr codeName="Tabelle16"/>
  <dimension ref="A1:E19"/>
  <sheetViews>
    <sheetView workbookViewId="0"/>
  </sheetViews>
  <sheetFormatPr baseColWidth="10" defaultRowHeight="15" x14ac:dyDescent="0.25"/>
  <cols>
    <col min="1" max="1" width="40.7109375" customWidth="1"/>
    <col min="2" max="2" width="12.7109375" customWidth="1"/>
    <col min="3" max="3" width="58.7109375" customWidth="1"/>
    <col min="4" max="4" width="22.7109375" customWidth="1"/>
    <col min="5" max="5" width="70.7109375" customWidth="1"/>
  </cols>
  <sheetData>
    <row r="1" spans="1:5" x14ac:dyDescent="0.25">
      <c r="A1" s="463" t="s">
        <v>336</v>
      </c>
      <c r="B1" s="463" t="s">
        <v>231</v>
      </c>
      <c r="C1" s="463" t="s">
        <v>337</v>
      </c>
      <c r="D1" s="463" t="s">
        <v>338</v>
      </c>
      <c r="E1" s="463" t="s">
        <v>339</v>
      </c>
    </row>
    <row r="2" spans="1:5" ht="30" x14ac:dyDescent="0.25">
      <c r="A2" s="464" t="s">
        <v>340</v>
      </c>
      <c r="B2" s="465" t="s">
        <v>341</v>
      </c>
      <c r="C2" s="467" t="s">
        <v>342</v>
      </c>
      <c r="D2" s="468">
        <v>46245.400706018518</v>
      </c>
      <c r="E2" s="467" t="s">
        <v>343</v>
      </c>
    </row>
    <row r="3" spans="1:5" ht="30" x14ac:dyDescent="0.25">
      <c r="A3" s="464" t="s">
        <v>344</v>
      </c>
      <c r="B3" s="465" t="s">
        <v>341</v>
      </c>
      <c r="C3" s="467" t="s">
        <v>345</v>
      </c>
      <c r="D3" s="468">
        <v>46245.400706018518</v>
      </c>
      <c r="E3" s="467" t="s">
        <v>346</v>
      </c>
    </row>
    <row r="4" spans="1:5" ht="30" x14ac:dyDescent="0.25">
      <c r="A4" s="464" t="s">
        <v>347</v>
      </c>
      <c r="B4" s="465" t="s">
        <v>341</v>
      </c>
      <c r="C4" s="467" t="s">
        <v>348</v>
      </c>
      <c r="D4" s="468">
        <v>46245.400706018518</v>
      </c>
      <c r="E4" s="467" t="s">
        <v>349</v>
      </c>
    </row>
    <row r="5" spans="1:5" ht="45" x14ac:dyDescent="0.25">
      <c r="A5" s="464" t="s">
        <v>350</v>
      </c>
      <c r="B5" s="465" t="s">
        <v>341</v>
      </c>
      <c r="C5" s="467" t="s">
        <v>351</v>
      </c>
      <c r="D5" s="468">
        <v>46245.400706018518</v>
      </c>
      <c r="E5" s="467" t="s">
        <v>352</v>
      </c>
    </row>
    <row r="6" spans="1:5" ht="30" x14ac:dyDescent="0.25">
      <c r="A6" s="464" t="s">
        <v>353</v>
      </c>
      <c r="B6" s="465" t="s">
        <v>341</v>
      </c>
      <c r="C6" s="467" t="s">
        <v>354</v>
      </c>
      <c r="D6" s="468">
        <v>46245.400706018518</v>
      </c>
      <c r="E6" s="467" t="s">
        <v>355</v>
      </c>
    </row>
    <row r="7" spans="1:5" ht="45" x14ac:dyDescent="0.25">
      <c r="A7" s="464" t="s">
        <v>356</v>
      </c>
      <c r="B7" s="465" t="s">
        <v>341</v>
      </c>
      <c r="C7" s="467" t="s">
        <v>357</v>
      </c>
      <c r="D7" s="468">
        <v>46245.400706018518</v>
      </c>
      <c r="E7" s="467" t="s">
        <v>358</v>
      </c>
    </row>
    <row r="8" spans="1:5" ht="30" x14ac:dyDescent="0.25">
      <c r="A8" s="464" t="s">
        <v>359</v>
      </c>
      <c r="B8" s="466" t="s">
        <v>360</v>
      </c>
      <c r="C8" s="467" t="s">
        <v>361</v>
      </c>
      <c r="D8" s="468">
        <v>46245.400717592594</v>
      </c>
      <c r="E8" s="467" t="s">
        <v>362</v>
      </c>
    </row>
    <row r="9" spans="1:5" x14ac:dyDescent="0.25">
      <c r="A9" s="464" t="s">
        <v>363</v>
      </c>
      <c r="B9" s="466" t="s">
        <v>360</v>
      </c>
      <c r="C9" s="467" t="s">
        <v>364</v>
      </c>
      <c r="D9" s="468">
        <v>46245.400717592594</v>
      </c>
      <c r="E9" s="467" t="s">
        <v>362</v>
      </c>
    </row>
    <row r="10" spans="1:5" x14ac:dyDescent="0.25">
      <c r="A10" s="464" t="s">
        <v>365</v>
      </c>
      <c r="B10" s="466" t="s">
        <v>360</v>
      </c>
      <c r="C10" s="467" t="s">
        <v>366</v>
      </c>
      <c r="D10" s="468">
        <v>46245.400717592594</v>
      </c>
      <c r="E10" s="467" t="s">
        <v>362</v>
      </c>
    </row>
    <row r="11" spans="1:5" x14ac:dyDescent="0.25">
      <c r="A11" s="464" t="s">
        <v>367</v>
      </c>
      <c r="B11" s="466" t="s">
        <v>360</v>
      </c>
      <c r="C11" s="467" t="s">
        <v>368</v>
      </c>
      <c r="D11" s="468">
        <v>46245.400717592594</v>
      </c>
      <c r="E11" s="467" t="s">
        <v>362</v>
      </c>
    </row>
    <row r="12" spans="1:5" x14ac:dyDescent="0.25">
      <c r="A12" s="464" t="s">
        <v>369</v>
      </c>
      <c r="B12" s="466" t="s">
        <v>360</v>
      </c>
      <c r="C12" s="467" t="s">
        <v>370</v>
      </c>
      <c r="D12" s="468">
        <v>46245.400717592594</v>
      </c>
      <c r="E12" s="467" t="s">
        <v>362</v>
      </c>
    </row>
    <row r="13" spans="1:5" ht="30" x14ac:dyDescent="0.25">
      <c r="A13" s="464" t="s">
        <v>371</v>
      </c>
      <c r="B13" s="466" t="s">
        <v>360</v>
      </c>
      <c r="C13" s="467" t="s">
        <v>372</v>
      </c>
      <c r="D13" s="468">
        <v>46245.400717592594</v>
      </c>
      <c r="E13" s="467" t="s">
        <v>362</v>
      </c>
    </row>
    <row r="14" spans="1:5" x14ac:dyDescent="0.25">
      <c r="A14" s="464" t="s">
        <v>373</v>
      </c>
      <c r="B14" s="466" t="s">
        <v>360</v>
      </c>
      <c r="C14" s="467" t="s">
        <v>374</v>
      </c>
      <c r="D14" s="468">
        <v>46245.400717592594</v>
      </c>
      <c r="E14" s="467" t="s">
        <v>362</v>
      </c>
    </row>
    <row r="15" spans="1:5" x14ac:dyDescent="0.25">
      <c r="A15" s="464" t="s">
        <v>375</v>
      </c>
      <c r="B15" s="466" t="s">
        <v>360</v>
      </c>
      <c r="C15" s="467" t="s">
        <v>376</v>
      </c>
      <c r="D15" s="468">
        <v>46245.400717592594</v>
      </c>
      <c r="E15" s="467" t="s">
        <v>362</v>
      </c>
    </row>
    <row r="16" spans="1:5" ht="30" x14ac:dyDescent="0.25">
      <c r="A16" s="464" t="s">
        <v>377</v>
      </c>
      <c r="B16" s="466" t="s">
        <v>360</v>
      </c>
      <c r="C16" s="467" t="s">
        <v>378</v>
      </c>
      <c r="D16" s="468">
        <v>46245.400717592594</v>
      </c>
      <c r="E16" s="467" t="s">
        <v>362</v>
      </c>
    </row>
    <row r="17" spans="1:5" ht="30" x14ac:dyDescent="0.25">
      <c r="A17" s="464" t="s">
        <v>379</v>
      </c>
      <c r="B17" s="466" t="s">
        <v>360</v>
      </c>
      <c r="C17" s="467" t="s">
        <v>380</v>
      </c>
      <c r="D17" s="468">
        <v>46245.400717592594</v>
      </c>
      <c r="E17" s="467" t="s">
        <v>362</v>
      </c>
    </row>
    <row r="18" spans="1:5" x14ac:dyDescent="0.25">
      <c r="A18" s="464" t="s">
        <v>381</v>
      </c>
      <c r="B18" s="466" t="s">
        <v>360</v>
      </c>
      <c r="C18" s="467" t="s">
        <v>382</v>
      </c>
      <c r="D18" s="468">
        <v>46245.400717592594</v>
      </c>
      <c r="E18" s="467" t="s">
        <v>362</v>
      </c>
    </row>
    <row r="19" spans="1:5" ht="30" x14ac:dyDescent="0.25">
      <c r="A19" s="464" t="s">
        <v>383</v>
      </c>
      <c r="B19" s="466" t="s">
        <v>360</v>
      </c>
      <c r="C19" s="467" t="s">
        <v>384</v>
      </c>
      <c r="D19" s="468">
        <v>46245.400717592594</v>
      </c>
      <c r="E19" s="467" t="s">
        <v>362</v>
      </c>
    </row>
  </sheetData>
  <sheetProtection algorithmName="SHA-512" hashValue="uZDn+F1tZUkplZqSKZpaEbiihHzxThOfdUnzcWFRKPt8qh6+6s6u1vCSZIk5QMqFl9jsVs9IJrSWm1nLkNiUPQ==" saltValue="5KOSKFX20zhHsDs6wsN4qg==" spinCount="100000" sheet="1" objects="1" scenarios="1" sort="0" autoFilter="0"/>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17</vt:i4>
      </vt:variant>
      <vt:variant>
        <vt:lpstr>Benannte Bereiche</vt:lpstr>
      </vt:variant>
      <vt:variant>
        <vt:i4>2</vt:i4>
      </vt:variant>
    </vt:vector>
  </HeadingPairs>
  <TitlesOfParts>
    <vt:vector size="19"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SYSTEM_CHECK</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2026-06-18T19:01:11Z</cp:lastPrinted>
  <dcterms:created xsi:type="dcterms:W3CDTF">2024-07-06T11:11:20Z</dcterms:created>
  <dcterms:modified xsi:type="dcterms:W3CDTF">2026-08-11T09:45:00Z</dcterms:modified>
  <cp:category/>
  <cp:contentStatus/>
</cp:coreProperties>
</file>