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E9230380-1B8D-E14C-B76B-79E4162C67B4}" xr6:coauthVersionLast="47" xr6:coauthVersionMax="47" xr10:uidLastSave="{00000000-0000-0000-0000-000000000000}"/>
  <bookViews>
    <workbookView xWindow="80" yWindow="780" windowWidth="34040" windowHeight="19900" tabRatio="677" activeTab="8" xr2:uid="{00000000-000D-0000-FFFF-FFFF00000000}"/>
  </bookViews>
  <sheets>
    <sheet name="LOHNTABELLE" sheetId="46" r:id="rId1"/>
    <sheet name="EINSTELLUNG" sheetId="2" r:id="rId2"/>
    <sheet name="Januar" sheetId="3" r:id="rId3"/>
    <sheet name="Februar" sheetId="25" r:id="rId4"/>
    <sheet name="Marz" sheetId="26" r:id="rId5"/>
    <sheet name="April" sheetId="27" r:id="rId6"/>
    <sheet name="Mai" sheetId="28" r:id="rId7"/>
    <sheet name="Juni" sheetId="37" r:id="rId8"/>
    <sheet name="Juli" sheetId="30" r:id="rId9"/>
    <sheet name="August" sheetId="31" r:id="rId10"/>
    <sheet name="September" sheetId="32" r:id="rId11"/>
    <sheet name="Oktober" sheetId="33" r:id="rId12"/>
    <sheet name="November" sheetId="36" r:id="rId13"/>
    <sheet name="Dezember" sheetId="35" r:id="rId14"/>
    <sheet name="FLUKTUATION_DATEN" sheetId="38" state="veryHidden" r:id="rId15"/>
    <sheet name="Message" sheetId="22" state="veryHidden" r:id="rId16"/>
    <sheet name="KV_DROPDOWN_HELPER" sheetId="49" state="veryHidden" r:id="rId17"/>
    <sheet name="PID_HOUR_OVERRIDES" sheetId="50" state="veryHidden" r:id="rId18"/>
    <sheet name="UBERSICHT" sheetId="15" r:id="rId19"/>
    <sheet name="FLUKTUATION" sheetId="52" r:id="rId20"/>
    <sheet name="SYSTEM_CHECK" sheetId="53"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19">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H21" i="15"/>
  <c r="F21" i="15"/>
  <c r="F20" i="15"/>
  <c r="F22" i="15" s="1"/>
  <c r="H22" i="15" s="1"/>
  <c r="H19" i="15"/>
  <c r="F19" i="15"/>
  <c r="F17" i="15"/>
  <c r="H17" i="15" s="1"/>
  <c r="H16" i="15"/>
  <c r="F16" i="15"/>
  <c r="F15" i="15"/>
  <c r="F18" i="15" s="1"/>
  <c r="H18" i="15" s="1"/>
  <c r="H13" i="15"/>
  <c r="F13" i="15"/>
  <c r="F12" i="15"/>
  <c r="H12" i="15" s="1"/>
  <c r="H11" i="15"/>
  <c r="F11" i="15"/>
  <c r="F9" i="15"/>
  <c r="H9" i="15" s="1"/>
  <c r="H8" i="15"/>
  <c r="F8" i="15"/>
  <c r="F7" i="15"/>
  <c r="H7" i="1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62" i="35"/>
  <c r="G63" i="35"/>
  <c r="G64" i="35"/>
  <c r="G65" i="35"/>
  <c r="G66" i="35"/>
  <c r="G67" i="35"/>
  <c r="G68" i="35"/>
  <c r="G69" i="35"/>
  <c r="G70" i="35"/>
  <c r="G71" i="35"/>
  <c r="G72" i="35"/>
  <c r="G73" i="35"/>
  <c r="G74" i="35"/>
  <c r="G75" i="35"/>
  <c r="G76" i="35"/>
  <c r="G77" i="35"/>
  <c r="G78" i="35"/>
  <c r="G79" i="35"/>
  <c r="G80" i="35"/>
  <c r="G81" i="35"/>
  <c r="G82" i="35"/>
  <c r="G62" i="36"/>
  <c r="G63" i="36"/>
  <c r="G64" i="36"/>
  <c r="G65" i="36"/>
  <c r="G66" i="36"/>
  <c r="G67" i="36"/>
  <c r="K67" i="36" s="1"/>
  <c r="G68" i="36"/>
  <c r="G69" i="36"/>
  <c r="K69" i="36" s="1"/>
  <c r="G70" i="36"/>
  <c r="G71" i="36"/>
  <c r="G72" i="36"/>
  <c r="G73" i="36"/>
  <c r="G74" i="36"/>
  <c r="G75" i="36"/>
  <c r="K75" i="36" s="1"/>
  <c r="G76" i="36"/>
  <c r="G77" i="36"/>
  <c r="G78" i="36"/>
  <c r="G79" i="36"/>
  <c r="G80" i="36"/>
  <c r="G81" i="36"/>
  <c r="G82" i="36"/>
  <c r="G62" i="33"/>
  <c r="G63" i="33"/>
  <c r="G64" i="33"/>
  <c r="G65" i="33"/>
  <c r="G66" i="33"/>
  <c r="G67" i="33"/>
  <c r="G68" i="33"/>
  <c r="G69" i="33"/>
  <c r="G70" i="33"/>
  <c r="G71" i="33"/>
  <c r="G72" i="33"/>
  <c r="G73" i="33"/>
  <c r="G74" i="33"/>
  <c r="G75" i="33"/>
  <c r="G76" i="33"/>
  <c r="G77" i="33"/>
  <c r="G78" i="33"/>
  <c r="G79" i="33"/>
  <c r="G80" i="33"/>
  <c r="G81" i="33"/>
  <c r="G82" i="33"/>
  <c r="G63" i="32"/>
  <c r="G64" i="32"/>
  <c r="G65" i="32"/>
  <c r="G66" i="32"/>
  <c r="G67" i="32"/>
  <c r="G68" i="32"/>
  <c r="G69" i="32"/>
  <c r="G70" i="32"/>
  <c r="G71" i="32"/>
  <c r="G72" i="32"/>
  <c r="G73" i="32"/>
  <c r="G74" i="32"/>
  <c r="G75" i="32"/>
  <c r="K75" i="32" s="1"/>
  <c r="G76" i="32"/>
  <c r="G77" i="32"/>
  <c r="K77" i="32" s="1"/>
  <c r="G78" i="32"/>
  <c r="G79" i="32"/>
  <c r="K79" i="32" s="1"/>
  <c r="G80" i="32"/>
  <c r="G81" i="32"/>
  <c r="G82" i="32"/>
  <c r="G63" i="31"/>
  <c r="G64" i="31"/>
  <c r="G65" i="31"/>
  <c r="G66" i="31"/>
  <c r="K66" i="31" s="1"/>
  <c r="G67" i="31"/>
  <c r="K67" i="31" s="1"/>
  <c r="G68" i="31"/>
  <c r="K68" i="31" s="1"/>
  <c r="G69" i="31"/>
  <c r="K69" i="31" s="1"/>
  <c r="G70" i="31"/>
  <c r="K70" i="31" s="1"/>
  <c r="G71" i="31"/>
  <c r="K71" i="31" s="1"/>
  <c r="G72" i="31"/>
  <c r="G73" i="31"/>
  <c r="G74" i="31"/>
  <c r="G75" i="31"/>
  <c r="G76" i="31"/>
  <c r="G77" i="31"/>
  <c r="G78" i="31"/>
  <c r="G79" i="31"/>
  <c r="G80" i="31"/>
  <c r="G81" i="31"/>
  <c r="G82" i="31"/>
  <c r="G64" i="30"/>
  <c r="G65" i="30"/>
  <c r="G66" i="30"/>
  <c r="G67" i="30"/>
  <c r="K67" i="30" s="1"/>
  <c r="L67" i="30" s="1"/>
  <c r="G68" i="30"/>
  <c r="K68" i="30" s="1"/>
  <c r="L68" i="30" s="1"/>
  <c r="G69" i="30"/>
  <c r="K69" i="30" s="1"/>
  <c r="L69" i="30" s="1"/>
  <c r="G70" i="30"/>
  <c r="G71" i="30"/>
  <c r="K71" i="30" s="1"/>
  <c r="L71" i="30" s="1"/>
  <c r="G72" i="30"/>
  <c r="K72" i="30" s="1"/>
  <c r="L72" i="30" s="1"/>
  <c r="G73" i="30"/>
  <c r="G74" i="30"/>
  <c r="K74" i="30" s="1"/>
  <c r="L74" i="30" s="1"/>
  <c r="G75" i="30"/>
  <c r="G76" i="30"/>
  <c r="K76" i="30" s="1"/>
  <c r="L76" i="30" s="1"/>
  <c r="G77" i="30"/>
  <c r="K77" i="30" s="1"/>
  <c r="L77" i="30" s="1"/>
  <c r="G78" i="30"/>
  <c r="K78" i="30" s="1"/>
  <c r="L78" i="30" s="1"/>
  <c r="G79" i="30"/>
  <c r="K79" i="30" s="1"/>
  <c r="L79" i="30" s="1"/>
  <c r="G80" i="30"/>
  <c r="G81" i="30"/>
  <c r="G82" i="30"/>
  <c r="G65" i="37"/>
  <c r="K65" i="37" s="1"/>
  <c r="L65" i="37" s="1"/>
  <c r="G66" i="37"/>
  <c r="K66" i="37" s="1"/>
  <c r="L66" i="37" s="1"/>
  <c r="G67" i="37"/>
  <c r="K67" i="37" s="1"/>
  <c r="L67" i="37" s="1"/>
  <c r="G68" i="37"/>
  <c r="G69" i="37"/>
  <c r="K69" i="37" s="1"/>
  <c r="L69" i="37" s="1"/>
  <c r="G70" i="37"/>
  <c r="G71" i="37"/>
  <c r="K71" i="37" s="1"/>
  <c r="L71" i="37" s="1"/>
  <c r="G72" i="37"/>
  <c r="G73" i="37"/>
  <c r="G74" i="37"/>
  <c r="G75" i="37"/>
  <c r="G76" i="37"/>
  <c r="K76" i="37" s="1"/>
  <c r="L76" i="37" s="1"/>
  <c r="G77" i="37"/>
  <c r="K77" i="37" s="1"/>
  <c r="L77" i="37" s="1"/>
  <c r="G78" i="37"/>
  <c r="K78" i="37" s="1"/>
  <c r="L78" i="37" s="1"/>
  <c r="G79" i="37"/>
  <c r="K79" i="37" s="1"/>
  <c r="L79" i="37" s="1"/>
  <c r="G80" i="37"/>
  <c r="K80" i="37" s="1"/>
  <c r="L80" i="37" s="1"/>
  <c r="G81" i="37"/>
  <c r="K81" i="37" s="1"/>
  <c r="L81" i="37" s="1"/>
  <c r="G82" i="37"/>
  <c r="K82" i="37" s="1"/>
  <c r="L82" i="37" s="1"/>
  <c r="G67" i="28"/>
  <c r="G68" i="28"/>
  <c r="K68" i="28" s="1"/>
  <c r="L68" i="28" s="1"/>
  <c r="G69" i="28"/>
  <c r="K69" i="28" s="1"/>
  <c r="L69" i="28" s="1"/>
  <c r="G70" i="28"/>
  <c r="K70" i="28" s="1"/>
  <c r="L70" i="28" s="1"/>
  <c r="G71" i="28"/>
  <c r="K71" i="28" s="1"/>
  <c r="L71" i="28" s="1"/>
  <c r="G72" i="28"/>
  <c r="K72" i="28" s="1"/>
  <c r="L72" i="28" s="1"/>
  <c r="G73" i="28"/>
  <c r="K73" i="28" s="1"/>
  <c r="L73" i="28" s="1"/>
  <c r="G74" i="28"/>
  <c r="K74" i="28" s="1"/>
  <c r="L74" i="28" s="1"/>
  <c r="G75" i="28"/>
  <c r="K75" i="28" s="1"/>
  <c r="L75" i="28" s="1"/>
  <c r="G76" i="28"/>
  <c r="K76" i="28" s="1"/>
  <c r="L76" i="28" s="1"/>
  <c r="G77" i="28"/>
  <c r="K77" i="28" s="1"/>
  <c r="L77" i="28" s="1"/>
  <c r="G78" i="28"/>
  <c r="K78" i="28" s="1"/>
  <c r="L78" i="28" s="1"/>
  <c r="G79" i="28"/>
  <c r="K79" i="28" s="1"/>
  <c r="L79" i="28" s="1"/>
  <c r="G80" i="28"/>
  <c r="G81" i="28"/>
  <c r="K81" i="28" s="1"/>
  <c r="L81" i="28" s="1"/>
  <c r="G82" i="28"/>
  <c r="K82" i="28" s="1"/>
  <c r="L82" i="28" s="1"/>
  <c r="G66" i="27"/>
  <c r="K66" i="27" s="1"/>
  <c r="L66" i="27" s="1"/>
  <c r="G67" i="27"/>
  <c r="G68" i="27"/>
  <c r="G69" i="27"/>
  <c r="K69" i="27" s="1"/>
  <c r="L69" i="27" s="1"/>
  <c r="G70" i="27"/>
  <c r="G71" i="27"/>
  <c r="K71" i="27" s="1"/>
  <c r="G72" i="27"/>
  <c r="K72" i="27" s="1"/>
  <c r="L72" i="27" s="1"/>
  <c r="G73" i="27"/>
  <c r="G74" i="27"/>
  <c r="G75" i="27"/>
  <c r="G76" i="27"/>
  <c r="G77" i="27"/>
  <c r="K77" i="27" s="1"/>
  <c r="L77" i="27" s="1"/>
  <c r="G78" i="27"/>
  <c r="G79" i="27"/>
  <c r="G80" i="27"/>
  <c r="K80" i="27" s="1"/>
  <c r="L80" i="27" s="1"/>
  <c r="G81" i="27"/>
  <c r="G82" i="27"/>
  <c r="G66" i="26"/>
  <c r="G67" i="26"/>
  <c r="K67" i="26" s="1"/>
  <c r="L67" i="26" s="1"/>
  <c r="G68" i="26"/>
  <c r="K68" i="26" s="1"/>
  <c r="L68" i="26" s="1"/>
  <c r="G69" i="26"/>
  <c r="G70" i="26"/>
  <c r="K70" i="26" s="1"/>
  <c r="L70" i="26" s="1"/>
  <c r="G71" i="26"/>
  <c r="K71" i="26" s="1"/>
  <c r="L71" i="26" s="1"/>
  <c r="G72" i="26"/>
  <c r="G73" i="26"/>
  <c r="G74" i="26"/>
  <c r="K74" i="26" s="1"/>
  <c r="L74" i="26" s="1"/>
  <c r="G75" i="26"/>
  <c r="K75" i="26" s="1"/>
  <c r="L75" i="26" s="1"/>
  <c r="G76" i="26"/>
  <c r="K76" i="26" s="1"/>
  <c r="L76" i="26" s="1"/>
  <c r="G77" i="26"/>
  <c r="K77" i="26" s="1"/>
  <c r="L77" i="26" s="1"/>
  <c r="G78" i="26"/>
  <c r="G79" i="26"/>
  <c r="K79" i="26" s="1"/>
  <c r="L79" i="26" s="1"/>
  <c r="G80" i="26"/>
  <c r="K80" i="26" s="1"/>
  <c r="L80" i="26" s="1"/>
  <c r="G81" i="26"/>
  <c r="K81" i="26" s="1"/>
  <c r="L81" i="26" s="1"/>
  <c r="G82" i="26"/>
  <c r="G65" i="25"/>
  <c r="G66" i="25"/>
  <c r="K66" i="25" s="1"/>
  <c r="G67" i="25"/>
  <c r="G68" i="25"/>
  <c r="G69" i="25"/>
  <c r="G70" i="25"/>
  <c r="G71" i="25"/>
  <c r="K71" i="25" s="1"/>
  <c r="G72" i="25"/>
  <c r="G73" i="25"/>
  <c r="G74" i="25"/>
  <c r="G75" i="25"/>
  <c r="G76" i="25"/>
  <c r="G77" i="25"/>
  <c r="G78" i="25"/>
  <c r="G79" i="25"/>
  <c r="K79" i="25" s="1"/>
  <c r="G80" i="25"/>
  <c r="G81" i="25"/>
  <c r="K81" i="25" s="1"/>
  <c r="G82" i="25"/>
  <c r="G56" i="3"/>
  <c r="G57" i="3"/>
  <c r="G58" i="3"/>
  <c r="K58" i="3" s="1"/>
  <c r="L58" i="3" s="1"/>
  <c r="G59" i="3"/>
  <c r="K59" i="3" s="1"/>
  <c r="L59" i="3" s="1"/>
  <c r="G60" i="3"/>
  <c r="K60" i="3" s="1"/>
  <c r="L60" i="3" s="1"/>
  <c r="G61" i="3"/>
  <c r="K61" i="3" s="1"/>
  <c r="L61" i="3" s="1"/>
  <c r="G62" i="3"/>
  <c r="K62" i="3" s="1"/>
  <c r="L62" i="3" s="1"/>
  <c r="G63" i="3"/>
  <c r="K63" i="3" s="1"/>
  <c r="L63" i="3" s="1"/>
  <c r="G64" i="3"/>
  <c r="G65" i="3"/>
  <c r="K65" i="3" s="1"/>
  <c r="L65" i="3" s="1"/>
  <c r="G66" i="3"/>
  <c r="K66" i="3" s="1"/>
  <c r="L66" i="3" s="1"/>
  <c r="G67" i="3"/>
  <c r="K67" i="3" s="1"/>
  <c r="L67" i="3" s="1"/>
  <c r="G68" i="3"/>
  <c r="G69" i="3"/>
  <c r="K69" i="3" s="1"/>
  <c r="L69" i="3" s="1"/>
  <c r="G70" i="3"/>
  <c r="G71" i="3"/>
  <c r="K71" i="3" s="1"/>
  <c r="L71" i="3" s="1"/>
  <c r="G72" i="3"/>
  <c r="K72" i="3" s="1"/>
  <c r="L72" i="3" s="1"/>
  <c r="G73" i="3"/>
  <c r="K73" i="3" s="1"/>
  <c r="L73" i="3" s="1"/>
  <c r="G74" i="3"/>
  <c r="K74" i="3" s="1"/>
  <c r="L74" i="3" s="1"/>
  <c r="G75" i="3"/>
  <c r="G76" i="3"/>
  <c r="K76" i="3" s="1"/>
  <c r="L76" i="3" s="1"/>
  <c r="G77" i="3"/>
  <c r="K77" i="3" s="1"/>
  <c r="L77" i="3" s="1"/>
  <c r="G78" i="3"/>
  <c r="K78" i="3" s="1"/>
  <c r="L78" i="3" s="1"/>
  <c r="G79" i="3"/>
  <c r="K79" i="3" s="1"/>
  <c r="L79" i="3" s="1"/>
  <c r="G80" i="3"/>
  <c r="G81" i="3"/>
  <c r="G82" i="3"/>
  <c r="K82" i="3" s="1"/>
  <c r="L82" i="3" s="1"/>
  <c r="K80" i="32"/>
  <c r="K64" i="30"/>
  <c r="L64" i="30" s="1"/>
  <c r="K70" i="30"/>
  <c r="L70" i="30" s="1"/>
  <c r="K80" i="30"/>
  <c r="L80" i="30" s="1"/>
  <c r="K68" i="37"/>
  <c r="L68" i="37" s="1"/>
  <c r="K70" i="37"/>
  <c r="L70" i="37" s="1"/>
  <c r="K74" i="37"/>
  <c r="L74" i="37" s="1"/>
  <c r="K75" i="37"/>
  <c r="L75" i="37" s="1"/>
  <c r="K80" i="28"/>
  <c r="L80" i="28" s="1"/>
  <c r="K74" i="27"/>
  <c r="L74" i="27" s="1"/>
  <c r="K79" i="27"/>
  <c r="K73" i="26"/>
  <c r="L73" i="26" s="1"/>
  <c r="K82" i="26"/>
  <c r="L82" i="26" s="1"/>
  <c r="K57" i="3"/>
  <c r="L57" i="3" s="1"/>
  <c r="K70" i="3"/>
  <c r="L70" i="3" s="1"/>
  <c r="K81" i="3"/>
  <c r="L81" i="3" s="1"/>
  <c r="K65" i="30"/>
  <c r="L65" i="30" s="1"/>
  <c r="K66" i="30"/>
  <c r="L66" i="30" s="1"/>
  <c r="K73" i="30"/>
  <c r="L73" i="30" s="1"/>
  <c r="K75" i="30"/>
  <c r="L75" i="30" s="1"/>
  <c r="K81" i="30"/>
  <c r="L81" i="30" s="1"/>
  <c r="K82" i="30"/>
  <c r="L82" i="30" s="1"/>
  <c r="K72" i="37"/>
  <c r="L72" i="37" s="1"/>
  <c r="K73" i="37"/>
  <c r="L73" i="37" s="1"/>
  <c r="K56" i="3"/>
  <c r="L56" i="3" s="1"/>
  <c r="K64" i="3"/>
  <c r="L64" i="3" s="1"/>
  <c r="K68" i="3"/>
  <c r="L68" i="3" s="1"/>
  <c r="K75" i="3"/>
  <c r="L75" i="3" s="1"/>
  <c r="K80" i="3"/>
  <c r="L80" i="3" s="1"/>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3" i="46"/>
  <c r="J163" i="46"/>
  <c r="I164" i="46"/>
  <c r="J164" i="46"/>
  <c r="I165" i="46"/>
  <c r="J165" i="46"/>
  <c r="I166" i="46"/>
  <c r="J166"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K74" i="32"/>
  <c r="K76" i="32"/>
  <c r="K67" i="28"/>
  <c r="L67" i="28" s="1"/>
  <c r="K66" i="26"/>
  <c r="L66" i="26" s="1"/>
  <c r="K69" i="26"/>
  <c r="L69" i="26" s="1"/>
  <c r="K78" i="32"/>
  <c r="K65" i="31"/>
  <c r="K82" i="27"/>
  <c r="L82" i="27" s="1"/>
  <c r="K68" i="36"/>
  <c r="K72" i="26"/>
  <c r="L72" i="26" s="1"/>
  <c r="K78" i="26"/>
  <c r="L78" i="26" s="1"/>
  <c r="D25" i="2"/>
  <c r="D24" i="2"/>
  <c r="G27" i="35"/>
  <c r="G27" i="36"/>
  <c r="G27" i="33"/>
  <c r="G27" i="32"/>
  <c r="G27" i="31"/>
  <c r="G35" i="30"/>
  <c r="G43" i="37"/>
  <c r="G43" i="28"/>
  <c r="G43" i="27"/>
  <c r="G43" i="26"/>
  <c r="G43" i="25"/>
  <c r="G43" i="3"/>
  <c r="G20" i="31"/>
  <c r="G20" i="35"/>
  <c r="G20" i="36"/>
  <c r="G20" i="33"/>
  <c r="G60" i="32"/>
  <c r="G44" i="30"/>
  <c r="G44" i="37"/>
  <c r="G44" i="28"/>
  <c r="G44" i="27"/>
  <c r="G44" i="26"/>
  <c r="G52" i="25"/>
  <c r="G30" i="35"/>
  <c r="G38" i="36"/>
  <c r="G46" i="33"/>
  <c r="G54" i="32"/>
  <c r="G54" i="31"/>
  <c r="G54" i="30"/>
  <c r="G54" i="37"/>
  <c r="G54" i="28"/>
  <c r="G54" i="27"/>
  <c r="G54" i="26"/>
  <c r="G54" i="25"/>
  <c r="G54" i="3"/>
  <c r="G8" i="36"/>
  <c r="G16" i="33"/>
  <c r="G24" i="32"/>
  <c r="G32" i="31"/>
  <c r="G40" i="30"/>
  <c r="G48" i="37"/>
  <c r="G48" i="28"/>
  <c r="G48" i="27"/>
  <c r="G48" i="26"/>
  <c r="G48" i="25"/>
  <c r="G48" i="3"/>
  <c r="G9" i="36"/>
  <c r="G17" i="33"/>
  <c r="G25" i="32"/>
  <c r="G33" i="31"/>
  <c r="G57" i="30"/>
  <c r="G9" i="28"/>
  <c r="G9" i="27"/>
  <c r="G9" i="26"/>
  <c r="G9" i="25"/>
  <c r="G17" i="3"/>
  <c r="G34" i="35"/>
  <c r="G42" i="36"/>
  <c r="G50" i="33"/>
  <c r="G58" i="32"/>
  <c r="G10" i="30"/>
  <c r="G18" i="37"/>
  <c r="G26" i="28"/>
  <c r="G26" i="27"/>
  <c r="G34" i="26"/>
  <c r="G42" i="25"/>
  <c r="G50" i="3"/>
  <c r="G53" i="32"/>
  <c r="G39" i="28"/>
  <c r="G47" i="3"/>
  <c r="G39" i="26"/>
  <c r="G55" i="36"/>
  <c r="G45" i="27"/>
  <c r="G61" i="32"/>
  <c r="G47" i="28"/>
  <c r="G53" i="3"/>
  <c r="G55" i="3"/>
  <c r="G53" i="31"/>
  <c r="G21" i="35"/>
  <c r="G23" i="31"/>
  <c r="G55" i="27"/>
  <c r="G55" i="35"/>
  <c r="G47" i="30"/>
  <c r="G35" i="35"/>
  <c r="G35" i="36"/>
  <c r="G35" i="33"/>
  <c r="G35" i="32"/>
  <c r="G35" i="31"/>
  <c r="G43" i="30"/>
  <c r="G51" i="37"/>
  <c r="G51" i="28"/>
  <c r="G51" i="27"/>
  <c r="G51" i="26"/>
  <c r="G51" i="25"/>
  <c r="G51" i="3"/>
  <c r="G36" i="31"/>
  <c r="G28" i="35"/>
  <c r="G28" i="36"/>
  <c r="G28" i="33"/>
  <c r="G12" i="31"/>
  <c r="G52" i="30"/>
  <c r="G52" i="37"/>
  <c r="G52" i="28"/>
  <c r="G52" i="27"/>
  <c r="G52" i="26"/>
  <c r="G60" i="25"/>
  <c r="G38" i="35"/>
  <c r="G46" i="36"/>
  <c r="G54" i="33"/>
  <c r="G62" i="32"/>
  <c r="G62" i="31"/>
  <c r="G62" i="30"/>
  <c r="G62" i="37"/>
  <c r="G62" i="28"/>
  <c r="G62" i="27"/>
  <c r="G62" i="26"/>
  <c r="G62" i="25"/>
  <c r="G8" i="35"/>
  <c r="G16" i="36"/>
  <c r="G24" i="33"/>
  <c r="G32" i="32"/>
  <c r="G40" i="31"/>
  <c r="G48" i="30"/>
  <c r="G56" i="37"/>
  <c r="G56" i="28"/>
  <c r="G56" i="27"/>
  <c r="G56" i="26"/>
  <c r="G56" i="25"/>
  <c r="G9" i="35"/>
  <c r="G17" i="36"/>
  <c r="G25" i="33"/>
  <c r="G33" i="32"/>
  <c r="G41" i="31"/>
  <c r="G9" i="37"/>
  <c r="G17" i="28"/>
  <c r="G17" i="27"/>
  <c r="G17" i="26"/>
  <c r="G17" i="25"/>
  <c r="G25" i="3"/>
  <c r="G42" i="35"/>
  <c r="G50" i="36"/>
  <c r="G58" i="33"/>
  <c r="G43" i="35"/>
  <c r="G43" i="36"/>
  <c r="G43" i="33"/>
  <c r="G43" i="32"/>
  <c r="G43" i="31"/>
  <c r="G51" i="30"/>
  <c r="G59" i="37"/>
  <c r="G59" i="28"/>
  <c r="G59" i="27"/>
  <c r="G59" i="26"/>
  <c r="G59" i="25"/>
  <c r="G12" i="32"/>
  <c r="G52" i="31"/>
  <c r="G36" i="35"/>
  <c r="G36" i="36"/>
  <c r="G36" i="33"/>
  <c r="G28" i="31"/>
  <c r="G60" i="30"/>
  <c r="G60" i="37"/>
  <c r="G60" i="28"/>
  <c r="G60" i="27"/>
  <c r="G60" i="26"/>
  <c r="G4" i="3"/>
  <c r="G46" i="35"/>
  <c r="G54" i="36"/>
  <c r="G6" i="32"/>
  <c r="G6" i="31"/>
  <c r="G6" i="30"/>
  <c r="G6" i="37"/>
  <c r="G6" i="28"/>
  <c r="G6" i="27"/>
  <c r="G6" i="26"/>
  <c r="G6" i="25"/>
  <c r="G6" i="3"/>
  <c r="G16" i="35"/>
  <c r="G24" i="36"/>
  <c r="G32" i="33"/>
  <c r="G40" i="32"/>
  <c r="G48" i="31"/>
  <c r="G56" i="30"/>
  <c r="G64" i="37"/>
  <c r="G64" i="28"/>
  <c r="G64" i="27"/>
  <c r="G64" i="26"/>
  <c r="G64" i="25"/>
  <c r="G17" i="35"/>
  <c r="G25" i="36"/>
  <c r="G33" i="33"/>
  <c r="G41" i="32"/>
  <c r="G49" i="31"/>
  <c r="G17" i="37"/>
  <c r="G25" i="28"/>
  <c r="G25" i="27"/>
  <c r="G25" i="26"/>
  <c r="G25" i="25"/>
  <c r="G33" i="3"/>
  <c r="G50" i="35"/>
  <c r="G58" i="36"/>
  <c r="G10" i="32"/>
  <c r="G18" i="31"/>
  <c r="G26" i="30"/>
  <c r="G34" i="37"/>
  <c r="G42" i="28"/>
  <c r="G42" i="27"/>
  <c r="G50" i="26"/>
  <c r="G58" i="25"/>
  <c r="G37" i="35"/>
  <c r="G39" i="31"/>
  <c r="G39" i="27"/>
  <c r="G21" i="37"/>
  <c r="G37" i="25"/>
  <c r="G39" i="33"/>
  <c r="G45" i="35"/>
  <c r="G47" i="31"/>
  <c r="G47" i="27"/>
  <c r="G21" i="28"/>
  <c r="G47" i="35"/>
  <c r="G39" i="30"/>
  <c r="G5" i="36"/>
  <c r="G45" i="30"/>
  <c r="G53" i="26"/>
  <c r="G39" i="36"/>
  <c r="G37" i="37"/>
  <c r="G53" i="25"/>
  <c r="G61" i="33"/>
  <c r="G63" i="28"/>
  <c r="G44" i="3"/>
  <c r="G5" i="28"/>
  <c r="G21" i="3"/>
  <c r="G4" i="37"/>
  <c r="G4" i="26"/>
  <c r="G4" i="25"/>
  <c r="G20" i="3"/>
  <c r="G54" i="35"/>
  <c r="G6" i="33"/>
  <c r="G14" i="32"/>
  <c r="G14" i="31"/>
  <c r="G14" i="30"/>
  <c r="G14" i="37"/>
  <c r="G14" i="28"/>
  <c r="G14" i="27"/>
  <c r="G14" i="26"/>
  <c r="G14" i="25"/>
  <c r="G14" i="3"/>
  <c r="G24" i="35"/>
  <c r="G32" i="36"/>
  <c r="G40" i="33"/>
  <c r="G48" i="32"/>
  <c r="G56" i="31"/>
  <c r="G8" i="37"/>
  <c r="G8" i="28"/>
  <c r="G8" i="27"/>
  <c r="G8" i="26"/>
  <c r="G8" i="25"/>
  <c r="G8" i="3"/>
  <c r="G25" i="35"/>
  <c r="G33" i="36"/>
  <c r="G41" i="33"/>
  <c r="G51" i="35"/>
  <c r="G51" i="36"/>
  <c r="G51" i="33"/>
  <c r="G51" i="32"/>
  <c r="G51" i="31"/>
  <c r="G59" i="30"/>
  <c r="G3" i="28"/>
  <c r="G3" i="27"/>
  <c r="G3" i="26"/>
  <c r="G3" i="25"/>
  <c r="G3" i="3"/>
  <c r="G20" i="32"/>
  <c r="G60" i="31"/>
  <c r="G44" i="35"/>
  <c r="G44" i="36"/>
  <c r="G44" i="33"/>
  <c r="G44" i="31"/>
  <c r="G4" i="28"/>
  <c r="G4" i="27"/>
  <c r="G59" i="35"/>
  <c r="G59" i="36"/>
  <c r="G59" i="33"/>
  <c r="G59" i="32"/>
  <c r="G59" i="31"/>
  <c r="G3" i="37"/>
  <c r="G11" i="28"/>
  <c r="G11" i="27"/>
  <c r="G11" i="26"/>
  <c r="G11" i="25"/>
  <c r="G11" i="3"/>
  <c r="G28" i="32"/>
  <c r="G28" i="25"/>
  <c r="G52" i="35"/>
  <c r="G52" i="36"/>
  <c r="G52" i="33"/>
  <c r="G4" i="30"/>
  <c r="G12" i="37"/>
  <c r="G12" i="28"/>
  <c r="G12" i="27"/>
  <c r="G12" i="26"/>
  <c r="G12" i="25"/>
  <c r="G28" i="3"/>
  <c r="G6" i="36"/>
  <c r="G14" i="33"/>
  <c r="G22" i="32"/>
  <c r="G22" i="31"/>
  <c r="G22" i="30"/>
  <c r="G22" i="37"/>
  <c r="G22" i="28"/>
  <c r="G22" i="27"/>
  <c r="G22" i="26"/>
  <c r="G22" i="25"/>
  <c r="G22" i="3"/>
  <c r="G32" i="35"/>
  <c r="G40" i="36"/>
  <c r="G48" i="33"/>
  <c r="G56" i="32"/>
  <c r="G8" i="30"/>
  <c r="G16" i="37"/>
  <c r="G16" i="28"/>
  <c r="G16" i="27"/>
  <c r="G3" i="35"/>
  <c r="G3" i="36"/>
  <c r="G3" i="33"/>
  <c r="G3" i="32"/>
  <c r="G3" i="31"/>
  <c r="G3" i="30"/>
  <c r="G11" i="37"/>
  <c r="G19" i="28"/>
  <c r="G19" i="27"/>
  <c r="G11" i="35"/>
  <c r="G11" i="36"/>
  <c r="G11" i="33"/>
  <c r="G11" i="32"/>
  <c r="G11" i="31"/>
  <c r="G19" i="30"/>
  <c r="G27" i="37"/>
  <c r="G27" i="28"/>
  <c r="G27" i="27"/>
  <c r="G27" i="26"/>
  <c r="G27" i="25"/>
  <c r="G27" i="3"/>
  <c r="G52" i="32"/>
  <c r="G4" i="35"/>
  <c r="G4" i="36"/>
  <c r="G4" i="33"/>
  <c r="G4" i="32"/>
  <c r="G28" i="30"/>
  <c r="G28" i="37"/>
  <c r="G28" i="28"/>
  <c r="G28" i="27"/>
  <c r="G28" i="26"/>
  <c r="G36" i="25"/>
  <c r="G14" i="35"/>
  <c r="G22" i="36"/>
  <c r="G30" i="33"/>
  <c r="G38" i="32"/>
  <c r="G38" i="31"/>
  <c r="G38" i="30"/>
  <c r="G38" i="37"/>
  <c r="G38" i="28"/>
  <c r="G38" i="27"/>
  <c r="G38" i="26"/>
  <c r="G38" i="25"/>
  <c r="G38" i="3"/>
  <c r="G48" i="35"/>
  <c r="G56" i="36"/>
  <c r="G8" i="32"/>
  <c r="G16" i="31"/>
  <c r="G24" i="30"/>
  <c r="G32" i="37"/>
  <c r="G32" i="28"/>
  <c r="G32" i="27"/>
  <c r="G19" i="35"/>
  <c r="G19" i="36"/>
  <c r="G19" i="33"/>
  <c r="G19" i="32"/>
  <c r="G19" i="31"/>
  <c r="G27" i="30"/>
  <c r="G35" i="37"/>
  <c r="G35" i="28"/>
  <c r="G35" i="27"/>
  <c r="G35" i="26"/>
  <c r="G35" i="25"/>
  <c r="G35" i="3"/>
  <c r="G4" i="31"/>
  <c r="G12" i="35"/>
  <c r="G12" i="36"/>
  <c r="G12" i="33"/>
  <c r="G36" i="32"/>
  <c r="G36" i="30"/>
  <c r="G36" i="37"/>
  <c r="G36" i="28"/>
  <c r="G36" i="27"/>
  <c r="G36" i="26"/>
  <c r="G44" i="25"/>
  <c r="G22" i="35"/>
  <c r="G30" i="36"/>
  <c r="G38" i="33"/>
  <c r="G46" i="32"/>
  <c r="G46" i="31"/>
  <c r="G46" i="30"/>
  <c r="G46" i="37"/>
  <c r="G46" i="28"/>
  <c r="G46" i="27"/>
  <c r="G46" i="26"/>
  <c r="G46" i="25"/>
  <c r="G46" i="3"/>
  <c r="G56" i="35"/>
  <c r="G8" i="33"/>
  <c r="G16" i="32"/>
  <c r="G24" i="31"/>
  <c r="G60" i="35"/>
  <c r="G20" i="25"/>
  <c r="G30" i="28"/>
  <c r="G8" i="31"/>
  <c r="G40" i="27"/>
  <c r="G40" i="25"/>
  <c r="G57" i="35"/>
  <c r="G17" i="32"/>
  <c r="G33" i="30"/>
  <c r="G33" i="28"/>
  <c r="G57" i="27"/>
  <c r="G41" i="25"/>
  <c r="G26" i="35"/>
  <c r="G26" i="33"/>
  <c r="G10" i="31"/>
  <c r="G42" i="30"/>
  <c r="G10" i="28"/>
  <c r="G34" i="27"/>
  <c r="G10" i="25"/>
  <c r="G34" i="3"/>
  <c r="G7" i="31"/>
  <c r="G37" i="26"/>
  <c r="G13" i="27"/>
  <c r="G7" i="33"/>
  <c r="G61" i="36"/>
  <c r="G55" i="37"/>
  <c r="G61" i="37"/>
  <c r="G15" i="33"/>
  <c r="G45" i="25"/>
  <c r="G55" i="31"/>
  <c r="G47" i="25"/>
  <c r="G29" i="31"/>
  <c r="G55" i="26"/>
  <c r="G29" i="33"/>
  <c r="G31" i="27"/>
  <c r="G5" i="31"/>
  <c r="G37" i="27"/>
  <c r="G47" i="36"/>
  <c r="G22" i="33"/>
  <c r="G57" i="28"/>
  <c r="G9" i="3"/>
  <c r="G18" i="36"/>
  <c r="G18" i="32"/>
  <c r="G42" i="31"/>
  <c r="G10" i="37"/>
  <c r="G50" i="28"/>
  <c r="G10" i="26"/>
  <c r="G34" i="25"/>
  <c r="G15" i="37"/>
  <c r="G23" i="3"/>
  <c r="G45" i="31"/>
  <c r="G13" i="26"/>
  <c r="G57" i="26"/>
  <c r="G34" i="32"/>
  <c r="G66" i="28"/>
  <c r="G29" i="37"/>
  <c r="G29" i="27"/>
  <c r="G45" i="37"/>
  <c r="G37" i="28"/>
  <c r="G60" i="36"/>
  <c r="G6" i="35"/>
  <c r="G30" i="27"/>
  <c r="G16" i="30"/>
  <c r="G16" i="26"/>
  <c r="G16" i="3"/>
  <c r="G41" i="36"/>
  <c r="G49" i="32"/>
  <c r="G41" i="30"/>
  <c r="G41" i="28"/>
  <c r="G65" i="27"/>
  <c r="G49" i="25"/>
  <c r="G58" i="35"/>
  <c r="G34" i="33"/>
  <c r="G26" i="31"/>
  <c r="G50" i="30"/>
  <c r="G18" i="28"/>
  <c r="G50" i="27"/>
  <c r="G18" i="25"/>
  <c r="G42" i="3"/>
  <c r="G29" i="30"/>
  <c r="G31" i="25"/>
  <c r="G7" i="26"/>
  <c r="G23" i="32"/>
  <c r="G13" i="33"/>
  <c r="G15" i="28"/>
  <c r="G53" i="28"/>
  <c r="G47" i="33"/>
  <c r="G36" i="3"/>
  <c r="G31" i="37"/>
  <c r="G7" i="3"/>
  <c r="G61" i="31"/>
  <c r="G21" i="25"/>
  <c r="G45" i="32"/>
  <c r="G63" i="27"/>
  <c r="G37" i="31"/>
  <c r="G31" i="26"/>
  <c r="G31" i="33"/>
  <c r="G49" i="28"/>
  <c r="G33" i="26"/>
  <c r="G57" i="25"/>
  <c r="G10" i="36"/>
  <c r="G58" i="30"/>
  <c r="G58" i="27"/>
  <c r="G26" i="25"/>
  <c r="G5" i="35"/>
  <c r="G61" i="30"/>
  <c r="G63" i="25"/>
  <c r="G5" i="25"/>
  <c r="G55" i="32"/>
  <c r="G45" i="33"/>
  <c r="G15" i="27"/>
  <c r="G31" i="32"/>
  <c r="G53" i="35"/>
  <c r="G37" i="3"/>
  <c r="G13" i="3"/>
  <c r="G29" i="26"/>
  <c r="G23" i="30"/>
  <c r="G15" i="32"/>
  <c r="G20" i="30"/>
  <c r="G57" i="36"/>
  <c r="G25" i="37"/>
  <c r="G21" i="36"/>
  <c r="G29" i="3"/>
  <c r="G29" i="32"/>
  <c r="G23" i="35"/>
  <c r="G29" i="28"/>
  <c r="G39" i="3"/>
  <c r="G21" i="30"/>
  <c r="G61" i="26"/>
  <c r="G55" i="30"/>
  <c r="G29" i="25"/>
  <c r="G30" i="32"/>
  <c r="G40" i="3"/>
  <c r="G26" i="37"/>
  <c r="G52" i="3"/>
  <c r="G45" i="26"/>
  <c r="G21" i="33"/>
  <c r="G55" i="28"/>
  <c r="G29" i="35"/>
  <c r="G23" i="25"/>
  <c r="G60" i="33"/>
  <c r="G14" i="36"/>
  <c r="G30" i="26"/>
  <c r="G32" i="30"/>
  <c r="G24" i="26"/>
  <c r="G24" i="3"/>
  <c r="G49" i="36"/>
  <c r="G57" i="32"/>
  <c r="G49" i="30"/>
  <c r="G42" i="33"/>
  <c r="G34" i="31"/>
  <c r="G34" i="28"/>
  <c r="G53" i="27"/>
  <c r="G63" i="37"/>
  <c r="G5" i="37"/>
  <c r="G31" i="31"/>
  <c r="G63" i="26"/>
  <c r="G19" i="26"/>
  <c r="G30" i="25"/>
  <c r="G24" i="37"/>
  <c r="G32" i="3"/>
  <c r="G9" i="31"/>
  <c r="G41" i="26"/>
  <c r="G15" i="26"/>
  <c r="G21" i="31"/>
  <c r="G17" i="31"/>
  <c r="G65" i="28"/>
  <c r="G49" i="26"/>
  <c r="G41" i="3"/>
  <c r="G26" i="36"/>
  <c r="G26" i="32"/>
  <c r="G50" i="31"/>
  <c r="G58" i="28"/>
  <c r="G18" i="26"/>
  <c r="G50" i="25"/>
  <c r="G53" i="36"/>
  <c r="G47" i="37"/>
  <c r="G13" i="31"/>
  <c r="G31" i="30"/>
  <c r="G15" i="31"/>
  <c r="G13" i="25"/>
  <c r="G61" i="28"/>
  <c r="G53" i="30"/>
  <c r="G32" i="26"/>
  <c r="G5" i="33"/>
  <c r="G63" i="30"/>
  <c r="G7" i="25"/>
  <c r="G53" i="33"/>
  <c r="G23" i="27"/>
  <c r="G55" i="25"/>
  <c r="G15" i="3"/>
  <c r="G19" i="25"/>
  <c r="G20" i="37"/>
  <c r="G30" i="3"/>
  <c r="G40" i="37"/>
  <c r="G40" i="26"/>
  <c r="G9" i="33"/>
  <c r="G33" i="37"/>
  <c r="G7" i="36"/>
  <c r="G58" i="31"/>
  <c r="G26" i="26"/>
  <c r="G61" i="35"/>
  <c r="G19" i="3"/>
  <c r="G20" i="28"/>
  <c r="G30" i="31"/>
  <c r="G40" i="35"/>
  <c r="G16" i="25"/>
  <c r="G33" i="35"/>
  <c r="G41" i="37"/>
  <c r="G33" i="27"/>
  <c r="G49" i="3"/>
  <c r="G34" i="36"/>
  <c r="G42" i="37"/>
  <c r="G10" i="3"/>
  <c r="G7" i="28"/>
  <c r="G7" i="35"/>
  <c r="G44" i="32"/>
  <c r="G20" i="27"/>
  <c r="G30" i="30"/>
  <c r="G48" i="36"/>
  <c r="G40" i="28"/>
  <c r="G24" i="25"/>
  <c r="G41" i="35"/>
  <c r="G57" i="33"/>
  <c r="G57" i="31"/>
  <c r="G49" i="37"/>
  <c r="G41" i="27"/>
  <c r="G65" i="26"/>
  <c r="G10" i="35"/>
  <c r="G10" i="33"/>
  <c r="G42" i="32"/>
  <c r="G18" i="30"/>
  <c r="G50" i="37"/>
  <c r="G10" i="27"/>
  <c r="G42" i="26"/>
  <c r="G18" i="3"/>
  <c r="G37" i="33"/>
  <c r="G7" i="27"/>
  <c r="G13" i="28"/>
  <c r="G39" i="35"/>
  <c r="G13" i="35"/>
  <c r="G37" i="30"/>
  <c r="G39" i="25"/>
  <c r="G15" i="35"/>
  <c r="G21" i="27"/>
  <c r="G5" i="32"/>
  <c r="G21" i="26"/>
  <c r="G55" i="33"/>
  <c r="G61" i="27"/>
  <c r="G13" i="36"/>
  <c r="G39" i="37"/>
  <c r="G12" i="3"/>
  <c r="G20" i="26"/>
  <c r="G30" i="37"/>
  <c r="G56" i="33"/>
  <c r="G24" i="27"/>
  <c r="G32" i="25"/>
  <c r="G49" i="35"/>
  <c r="G9" i="32"/>
  <c r="G25" i="30"/>
  <c r="G57" i="37"/>
  <c r="G49" i="27"/>
  <c r="G33" i="25"/>
  <c r="G18" i="35"/>
  <c r="G18" i="33"/>
  <c r="G50" i="32"/>
  <c r="G34" i="30"/>
  <c r="G58" i="37"/>
  <c r="G18" i="27"/>
  <c r="G58" i="26"/>
  <c r="G26" i="3"/>
  <c r="G21" i="32"/>
  <c r="G5" i="26"/>
  <c r="G45" i="28"/>
  <c r="G23" i="36"/>
  <c r="G29" i="36"/>
  <c r="G23" i="37"/>
  <c r="G31" i="3"/>
  <c r="G31" i="36"/>
  <c r="G47" i="26"/>
  <c r="G37" i="32"/>
  <c r="G15" i="25"/>
  <c r="G39" i="32"/>
  <c r="G23" i="26"/>
  <c r="G45" i="36"/>
  <c r="G31" i="28"/>
  <c r="G47" i="32"/>
  <c r="G5" i="27"/>
  <c r="G15" i="36"/>
  <c r="G37" i="36"/>
  <c r="G23" i="28"/>
  <c r="G13" i="37"/>
  <c r="G61" i="25"/>
  <c r="G24" i="28"/>
  <c r="G49" i="33"/>
  <c r="G25" i="31"/>
  <c r="G53" i="37"/>
  <c r="G5" i="3"/>
  <c r="G23" i="33"/>
  <c r="G7" i="37"/>
  <c r="G45" i="3"/>
  <c r="G31" i="35"/>
  <c r="F14" i="15" l="1"/>
  <c r="H14" i="15" s="1"/>
  <c r="F10" i="15"/>
  <c r="H15" i="15"/>
  <c r="H20" i="15"/>
  <c r="G23" i="15"/>
  <c r="J23" i="15"/>
  <c r="K32" i="30"/>
  <c r="L32" i="30" s="1"/>
  <c r="K63" i="30"/>
  <c r="L63" i="30" s="1"/>
  <c r="K55" i="30"/>
  <c r="L55" i="30" s="1"/>
  <c r="K47" i="30"/>
  <c r="L47" i="30" s="1"/>
  <c r="K39" i="30"/>
  <c r="L39" i="30" s="1"/>
  <c r="K7" i="30"/>
  <c r="L7" i="30" s="1"/>
  <c r="K62" i="30"/>
  <c r="L62" i="30" s="1"/>
  <c r="K54" i="30"/>
  <c r="L54" i="30" s="1"/>
  <c r="K46" i="30"/>
  <c r="L46" i="30" s="1"/>
  <c r="K38" i="30"/>
  <c r="L38" i="30" s="1"/>
  <c r="K6" i="30"/>
  <c r="L6" i="30" s="1"/>
  <c r="K21" i="30"/>
  <c r="L21" i="30" s="1"/>
  <c r="K58" i="30"/>
  <c r="L58" i="30" s="1"/>
  <c r="K50" i="30"/>
  <c r="L50" i="30" s="1"/>
  <c r="K42" i="30"/>
  <c r="L42" i="30" s="1"/>
  <c r="K34" i="30"/>
  <c r="L34" i="30" s="1"/>
  <c r="K26" i="30"/>
  <c r="L26" i="30" s="1"/>
  <c r="K18" i="30"/>
  <c r="L18" i="30" s="1"/>
  <c r="K10" i="30"/>
  <c r="L10" i="30" s="1"/>
  <c r="K16" i="30"/>
  <c r="L16" i="30" s="1"/>
  <c r="K15" i="30"/>
  <c r="L15" i="30" s="1"/>
  <c r="K30" i="30"/>
  <c r="L30" i="30" s="1"/>
  <c r="K29" i="30"/>
  <c r="L29" i="30" s="1"/>
  <c r="K57" i="30"/>
  <c r="L57" i="30" s="1"/>
  <c r="K49" i="30"/>
  <c r="L49" i="30" s="1"/>
  <c r="K41" i="30"/>
  <c r="L41" i="30" s="1"/>
  <c r="K33" i="30"/>
  <c r="L33" i="30" s="1"/>
  <c r="K25" i="30"/>
  <c r="L25" i="30" s="1"/>
  <c r="K17" i="30"/>
  <c r="L17" i="30" s="1"/>
  <c r="K9" i="30"/>
  <c r="L9" i="30" s="1"/>
  <c r="K56" i="30"/>
  <c r="L56" i="30" s="1"/>
  <c r="K48" i="30"/>
  <c r="L48" i="30" s="1"/>
  <c r="K40" i="30"/>
  <c r="L40" i="30" s="1"/>
  <c r="K8" i="30"/>
  <c r="L8" i="30" s="1"/>
  <c r="K31" i="30"/>
  <c r="L31" i="30" s="1"/>
  <c r="K14" i="30"/>
  <c r="L14" i="30" s="1"/>
  <c r="K61" i="30"/>
  <c r="L61" i="30" s="1"/>
  <c r="K53" i="30"/>
  <c r="L53" i="30" s="1"/>
  <c r="K45" i="30"/>
  <c r="L45" i="30" s="1"/>
  <c r="K37" i="30"/>
  <c r="L37" i="30" s="1"/>
  <c r="K5" i="30"/>
  <c r="L5" i="30" s="1"/>
  <c r="K60" i="30"/>
  <c r="L60" i="30" s="1"/>
  <c r="K52" i="30"/>
  <c r="L52" i="30" s="1"/>
  <c r="K44" i="30"/>
  <c r="L44" i="30" s="1"/>
  <c r="K36" i="30"/>
  <c r="L36" i="30" s="1"/>
  <c r="K28" i="30"/>
  <c r="L28" i="30" s="1"/>
  <c r="K20" i="30"/>
  <c r="L20" i="30" s="1"/>
  <c r="K12" i="30"/>
  <c r="L12" i="30" s="1"/>
  <c r="K4" i="30"/>
  <c r="L4" i="30" s="1"/>
  <c r="K24" i="30"/>
  <c r="L24" i="30" s="1"/>
  <c r="K23" i="30"/>
  <c r="L23" i="30" s="1"/>
  <c r="K22" i="30"/>
  <c r="L22" i="30" s="1"/>
  <c r="K13" i="30"/>
  <c r="L13" i="30" s="1"/>
  <c r="K59" i="30"/>
  <c r="L59" i="30" s="1"/>
  <c r="K51" i="30"/>
  <c r="L51" i="30" s="1"/>
  <c r="K43" i="30"/>
  <c r="L43" i="30" s="1"/>
  <c r="K35" i="30"/>
  <c r="L35" i="30" s="1"/>
  <c r="K27" i="30"/>
  <c r="L27" i="30" s="1"/>
  <c r="K19" i="30"/>
  <c r="L19" i="30" s="1"/>
  <c r="K11" i="30"/>
  <c r="L11" i="30" s="1"/>
  <c r="K3" i="30"/>
  <c r="L3" i="30" s="1"/>
  <c r="K39" i="37"/>
  <c r="L39" i="37" s="1"/>
  <c r="K38" i="37"/>
  <c r="L38" i="37" s="1"/>
  <c r="K58" i="37"/>
  <c r="L58" i="37" s="1"/>
  <c r="K50" i="37"/>
  <c r="L50" i="37" s="1"/>
  <c r="K42" i="37"/>
  <c r="L42" i="37" s="1"/>
  <c r="K34" i="37"/>
  <c r="L34" i="37" s="1"/>
  <c r="K26" i="37"/>
  <c r="L26" i="37" s="1"/>
  <c r="K10" i="37"/>
  <c r="L10" i="37" s="1"/>
  <c r="K57" i="37"/>
  <c r="L57" i="37" s="1"/>
  <c r="K49" i="37"/>
  <c r="L49" i="37" s="1"/>
  <c r="K41" i="37"/>
  <c r="L41" i="37" s="1"/>
  <c r="K33" i="37"/>
  <c r="L33" i="37" s="1"/>
  <c r="K25" i="37"/>
  <c r="L25" i="37" s="1"/>
  <c r="K17" i="37"/>
  <c r="L17" i="37" s="1"/>
  <c r="K9" i="37"/>
  <c r="L9" i="37" s="1"/>
  <c r="K23" i="37"/>
  <c r="L23" i="37" s="1"/>
  <c r="K62" i="37"/>
  <c r="L62" i="37" s="1"/>
  <c r="K54" i="37"/>
  <c r="L54" i="37" s="1"/>
  <c r="K46" i="37"/>
  <c r="L46" i="37" s="1"/>
  <c r="K14" i="37"/>
  <c r="L14" i="37" s="1"/>
  <c r="K18" i="37"/>
  <c r="L18" i="37" s="1"/>
  <c r="K64" i="37"/>
  <c r="L64" i="37" s="1"/>
  <c r="K56" i="37"/>
  <c r="L56" i="37" s="1"/>
  <c r="K48" i="37"/>
  <c r="L48" i="37" s="1"/>
  <c r="K40" i="37"/>
  <c r="L40" i="37" s="1"/>
  <c r="K32" i="37"/>
  <c r="L32" i="37" s="1"/>
  <c r="K24" i="37"/>
  <c r="L24" i="37" s="1"/>
  <c r="K16" i="37"/>
  <c r="L16" i="37" s="1"/>
  <c r="K8" i="37"/>
  <c r="L8" i="37" s="1"/>
  <c r="K55" i="37"/>
  <c r="L55" i="37" s="1"/>
  <c r="K7" i="37"/>
  <c r="L7" i="37" s="1"/>
  <c r="K6" i="37"/>
  <c r="L6" i="37" s="1"/>
  <c r="K31" i="37"/>
  <c r="L31" i="37" s="1"/>
  <c r="K30" i="37"/>
  <c r="L30" i="37" s="1"/>
  <c r="K53" i="37"/>
  <c r="L53" i="37" s="1"/>
  <c r="K37" i="37"/>
  <c r="L37" i="37" s="1"/>
  <c r="K21" i="37"/>
  <c r="L21" i="37" s="1"/>
  <c r="K5" i="37"/>
  <c r="L5" i="37" s="1"/>
  <c r="K60" i="37"/>
  <c r="L60" i="37" s="1"/>
  <c r="K52" i="37"/>
  <c r="L52" i="37" s="1"/>
  <c r="K44" i="37"/>
  <c r="L44" i="37" s="1"/>
  <c r="K36" i="37"/>
  <c r="L36" i="37" s="1"/>
  <c r="K28" i="37"/>
  <c r="L28" i="37" s="1"/>
  <c r="K20" i="37"/>
  <c r="L20" i="37" s="1"/>
  <c r="K12" i="37"/>
  <c r="L12" i="37" s="1"/>
  <c r="K4" i="37"/>
  <c r="L4" i="37" s="1"/>
  <c r="K63" i="37"/>
  <c r="L63" i="37" s="1"/>
  <c r="K47" i="37"/>
  <c r="L47" i="37" s="1"/>
  <c r="K15" i="37"/>
  <c r="L15" i="37" s="1"/>
  <c r="K22" i="37"/>
  <c r="L22" i="37" s="1"/>
  <c r="K61" i="37"/>
  <c r="L61" i="37" s="1"/>
  <c r="K45" i="37"/>
  <c r="L45" i="37" s="1"/>
  <c r="K29" i="37"/>
  <c r="L29" i="37" s="1"/>
  <c r="K13" i="37"/>
  <c r="L13" i="37" s="1"/>
  <c r="K59" i="37"/>
  <c r="L59" i="37" s="1"/>
  <c r="K51" i="37"/>
  <c r="L51" i="37" s="1"/>
  <c r="K43" i="37"/>
  <c r="L43" i="37" s="1"/>
  <c r="K35" i="37"/>
  <c r="L35" i="37" s="1"/>
  <c r="K27" i="37"/>
  <c r="L27" i="37" s="1"/>
  <c r="K19" i="37"/>
  <c r="L19" i="37" s="1"/>
  <c r="K11" i="37"/>
  <c r="L11" i="37" s="1"/>
  <c r="K3" i="37"/>
  <c r="L3" i="37" s="1"/>
  <c r="K39" i="3"/>
  <c r="L39" i="3" s="1"/>
  <c r="K38" i="3"/>
  <c r="L38" i="3" s="1"/>
  <c r="K50" i="3"/>
  <c r="L50" i="3" s="1"/>
  <c r="K42" i="3"/>
  <c r="L42" i="3" s="1"/>
  <c r="K34" i="3"/>
  <c r="L34" i="3" s="1"/>
  <c r="K26" i="3"/>
  <c r="L26" i="3" s="1"/>
  <c r="K18" i="3"/>
  <c r="L18" i="3" s="1"/>
  <c r="K10" i="3"/>
  <c r="L10" i="3" s="1"/>
  <c r="K49" i="3"/>
  <c r="L49" i="3" s="1"/>
  <c r="K41" i="3"/>
  <c r="L41" i="3" s="1"/>
  <c r="K33" i="3"/>
  <c r="L33" i="3" s="1"/>
  <c r="K25" i="3"/>
  <c r="L25" i="3" s="1"/>
  <c r="K17" i="3"/>
  <c r="L17" i="3" s="1"/>
  <c r="K9" i="3"/>
  <c r="L9" i="3" s="1"/>
  <c r="K48" i="3"/>
  <c r="L48" i="3" s="1"/>
  <c r="K40" i="3"/>
  <c r="L40" i="3" s="1"/>
  <c r="K32" i="3"/>
  <c r="L32" i="3" s="1"/>
  <c r="K24" i="3"/>
  <c r="L24" i="3" s="1"/>
  <c r="K16" i="3"/>
  <c r="L16" i="3" s="1"/>
  <c r="K8" i="3"/>
  <c r="L8" i="3" s="1"/>
  <c r="K55" i="3"/>
  <c r="L55" i="3" s="1"/>
  <c r="K47" i="3"/>
  <c r="L47" i="3" s="1"/>
  <c r="K31" i="3"/>
  <c r="L31" i="3" s="1"/>
  <c r="K23" i="3"/>
  <c r="L23" i="3" s="1"/>
  <c r="K15" i="3"/>
  <c r="L15" i="3" s="1"/>
  <c r="K7" i="3"/>
  <c r="L7" i="3" s="1"/>
  <c r="K6" i="3"/>
  <c r="L6" i="3" s="1"/>
  <c r="K22" i="3"/>
  <c r="L22" i="3" s="1"/>
  <c r="K53" i="3"/>
  <c r="L53" i="3" s="1"/>
  <c r="K45" i="3"/>
  <c r="L45" i="3" s="1"/>
  <c r="K37" i="3"/>
  <c r="L37" i="3" s="1"/>
  <c r="K29" i="3"/>
  <c r="L29" i="3" s="1"/>
  <c r="K21" i="3"/>
  <c r="L21" i="3" s="1"/>
  <c r="K13" i="3"/>
  <c r="L13" i="3" s="1"/>
  <c r="K5" i="3"/>
  <c r="L5" i="3" s="1"/>
  <c r="K54" i="3"/>
  <c r="L54" i="3" s="1"/>
  <c r="K46" i="3"/>
  <c r="L46" i="3" s="1"/>
  <c r="K14" i="3"/>
  <c r="L14" i="3" s="1"/>
  <c r="K52" i="3"/>
  <c r="L52" i="3" s="1"/>
  <c r="K44" i="3"/>
  <c r="L44" i="3" s="1"/>
  <c r="K36" i="3"/>
  <c r="L36" i="3" s="1"/>
  <c r="K28" i="3"/>
  <c r="L28" i="3" s="1"/>
  <c r="K20" i="3"/>
  <c r="L20" i="3" s="1"/>
  <c r="K12" i="3"/>
  <c r="L12" i="3" s="1"/>
  <c r="K4" i="3"/>
  <c r="L4" i="3" s="1"/>
  <c r="K30" i="3"/>
  <c r="L30" i="3" s="1"/>
  <c r="K51" i="3"/>
  <c r="L51" i="3" s="1"/>
  <c r="K43" i="3"/>
  <c r="L43" i="3" s="1"/>
  <c r="K35" i="3"/>
  <c r="L35" i="3" s="1"/>
  <c r="K27" i="3"/>
  <c r="L27" i="3" s="1"/>
  <c r="K19" i="3"/>
  <c r="L19" i="3" s="1"/>
  <c r="K11" i="3"/>
  <c r="L11" i="3" s="1"/>
  <c r="K3" i="3"/>
  <c r="L3" i="3" s="1"/>
  <c r="K66" i="28"/>
  <c r="L66" i="28" s="1"/>
  <c r="K58" i="28"/>
  <c r="L58" i="28" s="1"/>
  <c r="K50" i="28"/>
  <c r="L50" i="28" s="1"/>
  <c r="K42" i="28"/>
  <c r="L42" i="28" s="1"/>
  <c r="K34" i="28"/>
  <c r="L34" i="28" s="1"/>
  <c r="K26" i="28"/>
  <c r="L26" i="28" s="1"/>
  <c r="K18" i="28"/>
  <c r="L18" i="28" s="1"/>
  <c r="K10" i="28"/>
  <c r="L10" i="28" s="1"/>
  <c r="K65" i="28"/>
  <c r="L65" i="28" s="1"/>
  <c r="K57" i="28"/>
  <c r="L57" i="28" s="1"/>
  <c r="K49" i="28"/>
  <c r="L49" i="28" s="1"/>
  <c r="K41" i="28"/>
  <c r="L41" i="28" s="1"/>
  <c r="K33" i="28"/>
  <c r="L33" i="28" s="1"/>
  <c r="K25" i="28"/>
  <c r="L25" i="28" s="1"/>
  <c r="K17" i="28"/>
  <c r="L17" i="28" s="1"/>
  <c r="K9" i="28"/>
  <c r="L9" i="28" s="1"/>
  <c r="K64" i="28"/>
  <c r="L64" i="28" s="1"/>
  <c r="K56" i="28"/>
  <c r="L56" i="28" s="1"/>
  <c r="K48" i="28"/>
  <c r="L48" i="28" s="1"/>
  <c r="K40" i="28"/>
  <c r="L40" i="28" s="1"/>
  <c r="K32" i="28"/>
  <c r="L32" i="28" s="1"/>
  <c r="K24" i="28"/>
  <c r="L24" i="28" s="1"/>
  <c r="K16" i="28"/>
  <c r="L16" i="28" s="1"/>
  <c r="K8" i="28"/>
  <c r="L8" i="28" s="1"/>
  <c r="K63" i="28"/>
  <c r="L63" i="28" s="1"/>
  <c r="K55" i="28"/>
  <c r="L55" i="28" s="1"/>
  <c r="K47" i="28"/>
  <c r="L47" i="28" s="1"/>
  <c r="K39" i="28"/>
  <c r="L39" i="28" s="1"/>
  <c r="K31" i="28"/>
  <c r="L31" i="28" s="1"/>
  <c r="K23" i="28"/>
  <c r="L23" i="28" s="1"/>
  <c r="K15" i="28"/>
  <c r="L15" i="28" s="1"/>
  <c r="K7" i="28"/>
  <c r="L7" i="28" s="1"/>
  <c r="K62" i="28"/>
  <c r="L62" i="28" s="1"/>
  <c r="K54" i="28"/>
  <c r="L54" i="28" s="1"/>
  <c r="K46" i="28"/>
  <c r="L46" i="28" s="1"/>
  <c r="K38" i="28"/>
  <c r="L38" i="28" s="1"/>
  <c r="K30" i="28"/>
  <c r="L30" i="28" s="1"/>
  <c r="K22" i="28"/>
  <c r="L22" i="28" s="1"/>
  <c r="K14" i="28"/>
  <c r="L14" i="28" s="1"/>
  <c r="K6" i="28"/>
  <c r="L6" i="28" s="1"/>
  <c r="K61" i="28"/>
  <c r="L61" i="28" s="1"/>
  <c r="K53" i="28"/>
  <c r="L53" i="28" s="1"/>
  <c r="K45" i="28"/>
  <c r="L45" i="28" s="1"/>
  <c r="K37" i="28"/>
  <c r="L37" i="28" s="1"/>
  <c r="K29" i="28"/>
  <c r="L29" i="28" s="1"/>
  <c r="K21" i="28"/>
  <c r="L21" i="28" s="1"/>
  <c r="K13" i="28"/>
  <c r="L13" i="28" s="1"/>
  <c r="K5" i="28"/>
  <c r="L5" i="28" s="1"/>
  <c r="K60" i="28"/>
  <c r="L60" i="28" s="1"/>
  <c r="K52" i="28"/>
  <c r="L52" i="28" s="1"/>
  <c r="K44" i="28"/>
  <c r="L44" i="28" s="1"/>
  <c r="K36" i="28"/>
  <c r="L36" i="28" s="1"/>
  <c r="K28" i="28"/>
  <c r="L28" i="28" s="1"/>
  <c r="K20" i="28"/>
  <c r="L20" i="28" s="1"/>
  <c r="K12" i="28"/>
  <c r="L12" i="28" s="1"/>
  <c r="K4" i="28"/>
  <c r="L4" i="28" s="1"/>
  <c r="K59" i="28"/>
  <c r="L59" i="28" s="1"/>
  <c r="K51" i="28"/>
  <c r="L51" i="28" s="1"/>
  <c r="K43" i="28"/>
  <c r="L43" i="28" s="1"/>
  <c r="K35" i="28"/>
  <c r="L35" i="28" s="1"/>
  <c r="K27" i="28"/>
  <c r="L27" i="28" s="1"/>
  <c r="K19" i="28"/>
  <c r="L19" i="28" s="1"/>
  <c r="K11" i="28"/>
  <c r="L11" i="28" s="1"/>
  <c r="K3" i="28"/>
  <c r="L3" i="28" s="1"/>
  <c r="K10" i="26"/>
  <c r="L10" i="26" s="1"/>
  <c r="K39" i="26"/>
  <c r="L39" i="26" s="1"/>
  <c r="K58" i="26"/>
  <c r="L58" i="26" s="1"/>
  <c r="K50" i="26"/>
  <c r="L50" i="26" s="1"/>
  <c r="K42" i="26"/>
  <c r="L42" i="26" s="1"/>
  <c r="K34" i="26"/>
  <c r="L34" i="26" s="1"/>
  <c r="K26" i="26"/>
  <c r="L26" i="26" s="1"/>
  <c r="K18" i="26"/>
  <c r="L18" i="26" s="1"/>
  <c r="K65" i="26"/>
  <c r="L65" i="26" s="1"/>
  <c r="K57" i="26"/>
  <c r="L57" i="26" s="1"/>
  <c r="K49" i="26"/>
  <c r="L49" i="26" s="1"/>
  <c r="K41" i="26"/>
  <c r="L41" i="26" s="1"/>
  <c r="K33" i="26"/>
  <c r="L33" i="26" s="1"/>
  <c r="K25" i="26"/>
  <c r="L25" i="26" s="1"/>
  <c r="K17" i="26"/>
  <c r="L17" i="26" s="1"/>
  <c r="K9" i="26"/>
  <c r="L9" i="26" s="1"/>
  <c r="K64" i="26"/>
  <c r="L64" i="26" s="1"/>
  <c r="K56" i="26"/>
  <c r="L56" i="26" s="1"/>
  <c r="K48" i="26"/>
  <c r="L48" i="26" s="1"/>
  <c r="K40" i="26"/>
  <c r="L40" i="26" s="1"/>
  <c r="K32" i="26"/>
  <c r="L32" i="26" s="1"/>
  <c r="K24" i="26"/>
  <c r="L24" i="26" s="1"/>
  <c r="K16" i="26"/>
  <c r="L16" i="26" s="1"/>
  <c r="K8" i="26"/>
  <c r="L8" i="26" s="1"/>
  <c r="K55" i="26"/>
  <c r="L55" i="26" s="1"/>
  <c r="K47" i="26"/>
  <c r="L47" i="26" s="1"/>
  <c r="K31" i="26"/>
  <c r="L31" i="26" s="1"/>
  <c r="K23" i="26"/>
  <c r="L23" i="26" s="1"/>
  <c r="K15" i="26"/>
  <c r="L15" i="26" s="1"/>
  <c r="K7" i="26"/>
  <c r="L7" i="26" s="1"/>
  <c r="K54" i="26"/>
  <c r="L54" i="26" s="1"/>
  <c r="K30" i="26"/>
  <c r="L30" i="26" s="1"/>
  <c r="K61" i="26"/>
  <c r="L61" i="26" s="1"/>
  <c r="K53" i="26"/>
  <c r="L53" i="26" s="1"/>
  <c r="K45" i="26"/>
  <c r="L45" i="26" s="1"/>
  <c r="K37" i="26"/>
  <c r="L37" i="26" s="1"/>
  <c r="K29" i="26"/>
  <c r="L29" i="26" s="1"/>
  <c r="K21" i="26"/>
  <c r="L21" i="26" s="1"/>
  <c r="K13" i="26"/>
  <c r="L13" i="26" s="1"/>
  <c r="K5" i="26"/>
  <c r="L5" i="26" s="1"/>
  <c r="K46" i="26"/>
  <c r="L46" i="26" s="1"/>
  <c r="K22" i="26"/>
  <c r="L22" i="26" s="1"/>
  <c r="K60" i="26"/>
  <c r="L60" i="26" s="1"/>
  <c r="K52" i="26"/>
  <c r="L52" i="26" s="1"/>
  <c r="K44" i="26"/>
  <c r="L44" i="26" s="1"/>
  <c r="K36" i="26"/>
  <c r="L36" i="26" s="1"/>
  <c r="K28" i="26"/>
  <c r="L28" i="26" s="1"/>
  <c r="K20" i="26"/>
  <c r="L20" i="26" s="1"/>
  <c r="K12" i="26"/>
  <c r="L12" i="26" s="1"/>
  <c r="K4" i="26"/>
  <c r="L4" i="26" s="1"/>
  <c r="K63" i="26"/>
  <c r="L63" i="26" s="1"/>
  <c r="K62" i="26"/>
  <c r="L62" i="26" s="1"/>
  <c r="K38" i="26"/>
  <c r="L38" i="26" s="1"/>
  <c r="K14" i="26"/>
  <c r="L14" i="26" s="1"/>
  <c r="K6" i="26"/>
  <c r="L6" i="26" s="1"/>
  <c r="K59" i="26"/>
  <c r="L59" i="26" s="1"/>
  <c r="K51" i="26"/>
  <c r="L51" i="26" s="1"/>
  <c r="K43" i="26"/>
  <c r="L43" i="26" s="1"/>
  <c r="K35" i="26"/>
  <c r="L35" i="26" s="1"/>
  <c r="K27" i="26"/>
  <c r="L27" i="26" s="1"/>
  <c r="K19" i="26"/>
  <c r="L19" i="26" s="1"/>
  <c r="K11" i="26"/>
  <c r="L11" i="26" s="1"/>
  <c r="K3" i="26"/>
  <c r="L3" i="26" s="1"/>
  <c r="K58" i="25"/>
  <c r="L58" i="25" s="1"/>
  <c r="K10" i="25"/>
  <c r="L10" i="25" s="1"/>
  <c r="K64" i="25"/>
  <c r="L64" i="25" s="1"/>
  <c r="K56" i="25"/>
  <c r="L56" i="25" s="1"/>
  <c r="K48" i="25"/>
  <c r="L48" i="25" s="1"/>
  <c r="K40" i="25"/>
  <c r="L40" i="25" s="1"/>
  <c r="K32" i="25"/>
  <c r="L32" i="25" s="1"/>
  <c r="K24" i="25"/>
  <c r="L24" i="25" s="1"/>
  <c r="K16" i="25"/>
  <c r="L16" i="25" s="1"/>
  <c r="K8" i="25"/>
  <c r="L8" i="25" s="1"/>
  <c r="K50" i="25"/>
  <c r="L50" i="25" s="1"/>
  <c r="K55" i="25"/>
  <c r="L55" i="25" s="1"/>
  <c r="K15" i="25"/>
  <c r="L15" i="25" s="1"/>
  <c r="K34" i="25"/>
  <c r="L34" i="25" s="1"/>
  <c r="K18" i="25"/>
  <c r="L18" i="25" s="1"/>
  <c r="K49" i="25"/>
  <c r="L49" i="25" s="1"/>
  <c r="K33" i="25"/>
  <c r="L33" i="25" s="1"/>
  <c r="K17" i="25"/>
  <c r="L17" i="25" s="1"/>
  <c r="K9" i="25"/>
  <c r="L9" i="25" s="1"/>
  <c r="K63" i="25"/>
  <c r="L63" i="25" s="1"/>
  <c r="K47" i="25"/>
  <c r="L47" i="25" s="1"/>
  <c r="K39" i="25"/>
  <c r="L39" i="25" s="1"/>
  <c r="K31" i="25"/>
  <c r="L31" i="25" s="1"/>
  <c r="K23" i="25"/>
  <c r="L23" i="25" s="1"/>
  <c r="K7" i="25"/>
  <c r="L7" i="25" s="1"/>
  <c r="K62" i="25"/>
  <c r="L62" i="25" s="1"/>
  <c r="K54" i="25"/>
  <c r="L54" i="25" s="1"/>
  <c r="K46" i="25"/>
  <c r="L46" i="25" s="1"/>
  <c r="K38" i="25"/>
  <c r="L38" i="25" s="1"/>
  <c r="K30" i="25"/>
  <c r="L30" i="25" s="1"/>
  <c r="K22" i="25"/>
  <c r="L22" i="25" s="1"/>
  <c r="K14" i="25"/>
  <c r="L14" i="25" s="1"/>
  <c r="K6" i="25"/>
  <c r="L6" i="25" s="1"/>
  <c r="K21" i="25"/>
  <c r="L21" i="25" s="1"/>
  <c r="K42" i="25"/>
  <c r="L42" i="25" s="1"/>
  <c r="K26" i="25"/>
  <c r="L26" i="25" s="1"/>
  <c r="K57" i="25"/>
  <c r="L57" i="25" s="1"/>
  <c r="K41" i="25"/>
  <c r="L41" i="25" s="1"/>
  <c r="K25" i="25"/>
  <c r="L25" i="25" s="1"/>
  <c r="K61" i="25"/>
  <c r="L61" i="25" s="1"/>
  <c r="K45" i="25"/>
  <c r="L45" i="25" s="1"/>
  <c r="K37" i="25"/>
  <c r="L37" i="25" s="1"/>
  <c r="K29" i="25"/>
  <c r="L29" i="25" s="1"/>
  <c r="K13" i="25"/>
  <c r="L13" i="25" s="1"/>
  <c r="K5" i="25"/>
  <c r="L5" i="25" s="1"/>
  <c r="K60" i="25"/>
  <c r="L60" i="25" s="1"/>
  <c r="K52" i="25"/>
  <c r="L52" i="25" s="1"/>
  <c r="K44" i="25"/>
  <c r="L44" i="25" s="1"/>
  <c r="K36" i="25"/>
  <c r="L36" i="25" s="1"/>
  <c r="K28" i="25"/>
  <c r="L28" i="25" s="1"/>
  <c r="K20" i="25"/>
  <c r="L20" i="25" s="1"/>
  <c r="K12" i="25"/>
  <c r="L12" i="25" s="1"/>
  <c r="K4" i="25"/>
  <c r="L4" i="25" s="1"/>
  <c r="K53" i="25"/>
  <c r="L53" i="25" s="1"/>
  <c r="K59" i="25"/>
  <c r="L59" i="25" s="1"/>
  <c r="K51" i="25"/>
  <c r="L51" i="25" s="1"/>
  <c r="K43" i="25"/>
  <c r="L43" i="25" s="1"/>
  <c r="K35" i="25"/>
  <c r="L35" i="25" s="1"/>
  <c r="K27" i="25"/>
  <c r="L27" i="25" s="1"/>
  <c r="K19" i="25"/>
  <c r="L19" i="25" s="1"/>
  <c r="K11" i="25"/>
  <c r="L11" i="25" s="1"/>
  <c r="K3" i="25"/>
  <c r="L3" i="25" s="1"/>
  <c r="K74" i="25"/>
  <c r="L74" i="25" s="1"/>
  <c r="K80" i="25"/>
  <c r="L80" i="25" s="1"/>
  <c r="K72" i="25"/>
  <c r="L72" i="25" s="1"/>
  <c r="K82" i="25"/>
  <c r="L82" i="25" s="1"/>
  <c r="L66" i="25"/>
  <c r="L79" i="25"/>
  <c r="L71" i="25"/>
  <c r="K73" i="25"/>
  <c r="L73" i="25" s="1"/>
  <c r="L81" i="25"/>
  <c r="K78" i="25"/>
  <c r="L78" i="25" s="1"/>
  <c r="K70" i="25"/>
  <c r="L70" i="25" s="1"/>
  <c r="K77" i="25"/>
  <c r="L77" i="25" s="1"/>
  <c r="K69" i="25"/>
  <c r="L69" i="25" s="1"/>
  <c r="K65" i="25"/>
  <c r="L65" i="25" s="1"/>
  <c r="K76" i="25"/>
  <c r="L76" i="25" s="1"/>
  <c r="K68" i="25"/>
  <c r="L68" i="25" s="1"/>
  <c r="K75" i="25"/>
  <c r="L75" i="25" s="1"/>
  <c r="K67" i="25"/>
  <c r="L67" i="25" s="1"/>
  <c r="K58" i="27"/>
  <c r="L58" i="27" s="1"/>
  <c r="K50" i="27"/>
  <c r="L50" i="27" s="1"/>
  <c r="K42" i="27"/>
  <c r="L42" i="27" s="1"/>
  <c r="K34" i="27"/>
  <c r="L34" i="27" s="1"/>
  <c r="K26" i="27"/>
  <c r="L26" i="27" s="1"/>
  <c r="K18" i="27"/>
  <c r="L18" i="27" s="1"/>
  <c r="K10" i="27"/>
  <c r="L10" i="27" s="1"/>
  <c r="K65" i="27"/>
  <c r="L65" i="27" s="1"/>
  <c r="K57" i="27"/>
  <c r="L57" i="27" s="1"/>
  <c r="K49" i="27"/>
  <c r="L49" i="27" s="1"/>
  <c r="K41" i="27"/>
  <c r="L41" i="27" s="1"/>
  <c r="K33" i="27"/>
  <c r="L33" i="27" s="1"/>
  <c r="K25" i="27"/>
  <c r="L25" i="27" s="1"/>
  <c r="K17" i="27"/>
  <c r="L17" i="27" s="1"/>
  <c r="K9" i="27"/>
  <c r="L9" i="27" s="1"/>
  <c r="K64" i="27"/>
  <c r="L64"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K62" i="27"/>
  <c r="L62" i="27" s="1"/>
  <c r="K54" i="27"/>
  <c r="L54" i="27" s="1"/>
  <c r="K46" i="27"/>
  <c r="L46" i="27" s="1"/>
  <c r="K38" i="27"/>
  <c r="L38" i="27" s="1"/>
  <c r="K30" i="27"/>
  <c r="L30" i="27" s="1"/>
  <c r="K22" i="27"/>
  <c r="L22" i="27" s="1"/>
  <c r="K14" i="27"/>
  <c r="L14" i="27" s="1"/>
  <c r="K6" i="27"/>
  <c r="L6" i="27" s="1"/>
  <c r="K61" i="27"/>
  <c r="L61" i="27" s="1"/>
  <c r="K53" i="27"/>
  <c r="L53" i="27" s="1"/>
  <c r="K45" i="27"/>
  <c r="L45" i="27" s="1"/>
  <c r="K37" i="27"/>
  <c r="L37" i="27" s="1"/>
  <c r="K29" i="27"/>
  <c r="L29" i="27" s="1"/>
  <c r="K21" i="27"/>
  <c r="L21" i="27" s="1"/>
  <c r="K13" i="27"/>
  <c r="L13" i="27" s="1"/>
  <c r="K5" i="27"/>
  <c r="L5" i="27" s="1"/>
  <c r="K60" i="27"/>
  <c r="L60" i="27" s="1"/>
  <c r="K52" i="27"/>
  <c r="L52" i="27" s="1"/>
  <c r="K44" i="27"/>
  <c r="L44" i="27" s="1"/>
  <c r="K36" i="27"/>
  <c r="L36" i="27" s="1"/>
  <c r="K28" i="27"/>
  <c r="L28" i="27" s="1"/>
  <c r="K20" i="27"/>
  <c r="L20" i="27" s="1"/>
  <c r="K12" i="27"/>
  <c r="L12" i="27" s="1"/>
  <c r="K4" i="27"/>
  <c r="L4" i="27" s="1"/>
  <c r="K59" i="27"/>
  <c r="L59" i="27" s="1"/>
  <c r="K51" i="27"/>
  <c r="L51" i="27" s="1"/>
  <c r="K43" i="27"/>
  <c r="L43" i="27" s="1"/>
  <c r="K35" i="27"/>
  <c r="L35" i="27" s="1"/>
  <c r="K27" i="27"/>
  <c r="L27" i="27" s="1"/>
  <c r="K19" i="27"/>
  <c r="L19" i="27" s="1"/>
  <c r="K11" i="27"/>
  <c r="L11" i="27" s="1"/>
  <c r="K3" i="27"/>
  <c r="L3" i="27" s="1"/>
  <c r="K81" i="27"/>
  <c r="L81" i="27" s="1"/>
  <c r="K73" i="27"/>
  <c r="L73" i="27" s="1"/>
  <c r="L79" i="27"/>
  <c r="L71" i="27"/>
  <c r="K78" i="27"/>
  <c r="L78" i="27" s="1"/>
  <c r="K70" i="27"/>
  <c r="L70" i="27" s="1"/>
  <c r="K76" i="27"/>
  <c r="L76" i="27" s="1"/>
  <c r="K68" i="27"/>
  <c r="L68" i="27" s="1"/>
  <c r="K75" i="27"/>
  <c r="L75" i="27" s="1"/>
  <c r="K67" i="27"/>
  <c r="L67" i="27" s="1"/>
  <c r="K76" i="36"/>
  <c r="K77" i="31"/>
  <c r="K77" i="36"/>
  <c r="K78" i="31"/>
  <c r="K79" i="31"/>
  <c r="K80" i="31"/>
  <c r="K81" i="31"/>
  <c r="K82" i="31"/>
  <c r="K82" i="36"/>
  <c r="K81" i="35"/>
  <c r="K82" i="35"/>
  <c r="K78" i="36"/>
  <c r="K79" i="36"/>
  <c r="K80" i="36"/>
  <c r="K81" i="36"/>
  <c r="K77" i="35"/>
  <c r="K78" i="35"/>
  <c r="K79" i="35"/>
  <c r="K80" i="35"/>
  <c r="K70" i="36"/>
  <c r="K71" i="36"/>
  <c r="K72" i="36"/>
  <c r="K73" i="36"/>
  <c r="K74" i="36"/>
  <c r="K81" i="32"/>
  <c r="K82" i="32"/>
  <c r="K72" i="31"/>
  <c r="K73" i="31"/>
  <c r="K74" i="31"/>
  <c r="K75" i="31"/>
  <c r="K76" i="31"/>
  <c r="K72" i="35"/>
  <c r="K73" i="35"/>
  <c r="K74" i="35"/>
  <c r="K75" i="35"/>
  <c r="K76" i="35"/>
  <c r="K62" i="36"/>
  <c r="K63" i="36"/>
  <c r="K64" i="36"/>
  <c r="K65" i="36"/>
  <c r="K66" i="36"/>
  <c r="K69" i="32"/>
  <c r="K70" i="32"/>
  <c r="K71" i="32"/>
  <c r="K72" i="32"/>
  <c r="K73" i="32"/>
  <c r="K63" i="31"/>
  <c r="K64" i="31"/>
  <c r="K67" i="35"/>
  <c r="K68" i="35"/>
  <c r="K69" i="35"/>
  <c r="K70" i="35"/>
  <c r="K71" i="35"/>
  <c r="K68" i="32"/>
  <c r="K62" i="35"/>
  <c r="K63" i="35"/>
  <c r="K64" i="35"/>
  <c r="K65" i="35"/>
  <c r="K66" i="35"/>
  <c r="K62" i="33"/>
  <c r="K3" i="35"/>
  <c r="K4" i="35"/>
  <c r="K5" i="35"/>
  <c r="K6" i="35"/>
  <c r="K7" i="35"/>
  <c r="K8" i="35"/>
  <c r="K9" i="35"/>
  <c r="K10" i="35"/>
  <c r="K11" i="35"/>
  <c r="K12" i="35"/>
  <c r="K13" i="35"/>
  <c r="K14" i="35"/>
  <c r="K17" i="35"/>
  <c r="K19" i="35"/>
  <c r="K23" i="35"/>
  <c r="K27" i="35"/>
  <c r="K31" i="35"/>
  <c r="K38" i="35"/>
  <c r="K41" i="35"/>
  <c r="K47" i="35"/>
  <c r="K50" i="35"/>
  <c r="K57" i="35"/>
  <c r="K61" i="35"/>
  <c r="K34" i="36"/>
  <c r="K45" i="36"/>
  <c r="K51" i="36"/>
  <c r="K57" i="36"/>
  <c r="K18" i="33"/>
  <c r="K29" i="33"/>
  <c r="K37" i="33"/>
  <c r="K45" i="33"/>
  <c r="K53" i="33"/>
  <c r="K6" i="32"/>
  <c r="K22" i="32"/>
  <c r="K29" i="32"/>
  <c r="K38" i="32"/>
  <c r="K12" i="31"/>
  <c r="K33" i="36"/>
  <c r="K43" i="36"/>
  <c r="K49" i="36"/>
  <c r="K54" i="36"/>
  <c r="K19" i="33"/>
  <c r="K32" i="33"/>
  <c r="K43" i="33"/>
  <c r="K51" i="33"/>
  <c r="K58" i="33"/>
  <c r="K5" i="32"/>
  <c r="K21" i="32"/>
  <c r="K33" i="32"/>
  <c r="K11" i="31"/>
  <c r="K58" i="31"/>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1" i="36"/>
  <c r="K36" i="36"/>
  <c r="K44" i="36"/>
  <c r="K48" i="36"/>
  <c r="K55" i="36"/>
  <c r="K61" i="36"/>
  <c r="K25" i="33"/>
  <c r="K31" i="33"/>
  <c r="K42" i="33"/>
  <c r="K55" i="33"/>
  <c r="K60" i="33"/>
  <c r="K13" i="32"/>
  <c r="K25" i="32"/>
  <c r="K13" i="31"/>
  <c r="K21" i="33"/>
  <c r="K30" i="33"/>
  <c r="K39" i="33"/>
  <c r="K46" i="33"/>
  <c r="K54" i="33"/>
  <c r="K11" i="32"/>
  <c r="K19" i="32"/>
  <c r="K34" i="32"/>
  <c r="K9" i="31"/>
  <c r="K56" i="31"/>
  <c r="K3" i="33"/>
  <c r="K4" i="33"/>
  <c r="K5" i="33"/>
  <c r="K6" i="33"/>
  <c r="K7" i="33"/>
  <c r="K8" i="33"/>
  <c r="K9" i="33"/>
  <c r="K10" i="33"/>
  <c r="K11" i="33"/>
  <c r="K12" i="33"/>
  <c r="K13" i="33"/>
  <c r="K14" i="33"/>
  <c r="K15" i="33"/>
  <c r="K16" i="33"/>
  <c r="K17" i="33"/>
  <c r="K26" i="33"/>
  <c r="K38" i="33"/>
  <c r="K44" i="33"/>
  <c r="K52" i="33"/>
  <c r="K4" i="32"/>
  <c r="K18" i="32"/>
  <c r="K27" i="32"/>
  <c r="K8" i="31"/>
  <c r="K57" i="31"/>
  <c r="K63" i="33"/>
  <c r="K64" i="33"/>
  <c r="K65" i="33"/>
  <c r="K66" i="33"/>
  <c r="K67" i="33"/>
  <c r="K68" i="33"/>
  <c r="K69" i="33"/>
  <c r="K70" i="33"/>
  <c r="K71" i="33"/>
  <c r="K72" i="33"/>
  <c r="K73" i="33"/>
  <c r="K74" i="33"/>
  <c r="K75" i="33"/>
  <c r="K76" i="33"/>
  <c r="K77" i="33"/>
  <c r="K78" i="33"/>
  <c r="K79" i="33"/>
  <c r="K80" i="33"/>
  <c r="K81" i="33"/>
  <c r="K82" i="33"/>
  <c r="K8" i="32"/>
  <c r="K16" i="32"/>
  <c r="K31" i="32"/>
  <c r="K39" i="32"/>
  <c r="K5" i="31"/>
  <c r="K59" i="31"/>
  <c r="K7" i="32"/>
  <c r="K17" i="32"/>
  <c r="K32" i="32"/>
  <c r="K53" i="31"/>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4" i="31"/>
  <c r="K61" i="31"/>
  <c r="K5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60" i="31"/>
  <c r="K15" i="35"/>
  <c r="K22" i="35"/>
  <c r="K30" i="35"/>
  <c r="K36" i="35"/>
  <c r="K42" i="35"/>
  <c r="K54" i="35"/>
  <c r="K37" i="36"/>
  <c r="K50" i="36"/>
  <c r="K60" i="36"/>
  <c r="K36" i="33"/>
  <c r="K50" i="33"/>
  <c r="K61" i="33"/>
  <c r="K9" i="32"/>
  <c r="K24" i="32"/>
  <c r="K37" i="32"/>
  <c r="K7" i="31"/>
  <c r="K62" i="31"/>
  <c r="K16" i="35"/>
  <c r="K26" i="35"/>
  <c r="K37" i="35"/>
  <c r="K44" i="35"/>
  <c r="K51" i="35"/>
  <c r="K59" i="35"/>
  <c r="K41" i="36"/>
  <c r="K58" i="36"/>
  <c r="K33" i="33"/>
  <c r="K49" i="33"/>
  <c r="K10" i="32"/>
  <c r="K30" i="32"/>
  <c r="K14" i="31"/>
  <c r="K18" i="35"/>
  <c r="K20" i="35"/>
  <c r="K29" i="35"/>
  <c r="K33" i="35"/>
  <c r="K39" i="35"/>
  <c r="K46" i="35"/>
  <c r="K53" i="35"/>
  <c r="K30" i="36"/>
  <c r="K40" i="36"/>
  <c r="K53" i="36"/>
  <c r="K22" i="33"/>
  <c r="K40" i="33"/>
  <c r="K57" i="33"/>
  <c r="K12" i="32"/>
  <c r="K28" i="32"/>
  <c r="K15" i="31"/>
  <c r="K24" i="35"/>
  <c r="K55" i="35"/>
  <c r="K39" i="36"/>
  <c r="K27" i="33"/>
  <c r="K23" i="32"/>
  <c r="K10" i="31"/>
  <c r="K21" i="35"/>
  <c r="K32" i="35"/>
  <c r="K43" i="35"/>
  <c r="K49" i="35"/>
  <c r="K58" i="35"/>
  <c r="K35" i="36"/>
  <c r="K47" i="36"/>
  <c r="K56" i="36"/>
  <c r="K23" i="33"/>
  <c r="K35" i="33"/>
  <c r="K48" i="33"/>
  <c r="K15" i="32"/>
  <c r="K35" i="32"/>
  <c r="K3" i="31"/>
  <c r="K25" i="35"/>
  <c r="K35" i="35"/>
  <c r="K45" i="35"/>
  <c r="K52" i="35"/>
  <c r="K42" i="36"/>
  <c r="K59" i="36"/>
  <c r="K24" i="33"/>
  <c r="K41" i="33"/>
  <c r="K59" i="33"/>
  <c r="K14" i="32"/>
  <c r="K26" i="32"/>
  <c r="K6" i="31"/>
  <c r="K28" i="35"/>
  <c r="K34" i="35"/>
  <c r="K40" i="35"/>
  <c r="K48" i="35"/>
  <c r="K56" i="35"/>
  <c r="K60" i="35"/>
  <c r="K32" i="36"/>
  <c r="K38" i="36"/>
  <c r="K46" i="36"/>
  <c r="K52" i="36"/>
  <c r="K20" i="33"/>
  <c r="K28" i="33"/>
  <c r="K34" i="33"/>
  <c r="K47" i="33"/>
  <c r="K56" i="33"/>
  <c r="K3" i="32"/>
  <c r="K20" i="32"/>
  <c r="K36" i="32"/>
  <c r="K54" i="31"/>
  <c r="F23" i="15" l="1"/>
  <c r="H23" i="15"/>
  <c r="H10" i="15"/>
  <c r="L36"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3"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4" i="35" l="1"/>
  <c r="L45" i="35"/>
  <c r="L32" i="35"/>
  <c r="L56" i="35"/>
  <c r="L47" i="35"/>
  <c r="L31" i="35"/>
  <c r="L50" i="35"/>
  <c r="L40" i="35"/>
  <c r="L14" i="35"/>
  <c r="L52" i="35"/>
  <c r="L38" i="35"/>
  <c r="L27" i="35"/>
  <c r="L13" i="35"/>
  <c r="L20" i="35"/>
  <c r="L15" i="35"/>
  <c r="L51" i="35"/>
  <c r="L10" i="35"/>
  <c r="L37" i="35"/>
  <c r="L8" i="35"/>
  <c r="L60" i="35"/>
  <c r="L48" i="35"/>
  <c r="L22" i="35"/>
  <c r="L54" i="35"/>
  <c r="L49" i="35"/>
  <c r="L34" i="35"/>
  <c r="L18" i="35"/>
  <c r="L57" i="35"/>
  <c r="L55" i="35"/>
  <c r="L17" i="35"/>
  <c r="L46" i="35"/>
  <c r="L19" i="35"/>
  <c r="L30" i="35"/>
  <c r="L7" i="35"/>
  <c r="L58" i="35"/>
  <c r="L33" i="35"/>
  <c r="L23" i="35"/>
  <c r="L42" i="35"/>
  <c r="L35" i="35"/>
  <c r="L28" i="35"/>
  <c r="L21" i="35"/>
  <c r="L59" i="35"/>
  <c r="L9" i="35"/>
  <c r="L43" i="35"/>
  <c r="L41" i="35"/>
  <c r="L16" i="35"/>
  <c r="L11" i="35"/>
  <c r="L6" i="35"/>
  <c r="L26" i="35"/>
  <c r="L29" i="35"/>
  <c r="L44" i="35"/>
  <c r="L39" i="35"/>
  <c r="L12" i="35"/>
  <c r="L25" i="35"/>
  <c r="L5" i="35"/>
  <c r="L4" i="35"/>
  <c r="L3" i="35"/>
  <c r="L59" i="36"/>
  <c r="L51" i="36"/>
  <c r="L46" i="36"/>
  <c r="L19" i="36"/>
  <c r="L30" i="36"/>
  <c r="L38" i="36"/>
  <c r="L60" i="36"/>
  <c r="L52" i="36"/>
  <c r="L36" i="36"/>
  <c r="L22" i="36"/>
  <c r="L56" i="36"/>
  <c r="L33" i="36"/>
  <c r="L23" i="36"/>
  <c r="L42" i="36"/>
  <c r="L35" i="36"/>
  <c r="L28" i="36"/>
  <c r="L21" i="36"/>
  <c r="L54" i="36"/>
  <c r="L41" i="36"/>
  <c r="L16" i="36"/>
  <c r="L11" i="36"/>
  <c r="L6" i="36"/>
  <c r="L34" i="36"/>
  <c r="L24" i="36"/>
  <c r="L29" i="36"/>
  <c r="L44" i="36"/>
  <c r="L39" i="36"/>
  <c r="L12" i="36"/>
  <c r="L25" i="36"/>
  <c r="L61" i="36"/>
  <c r="L27" i="36"/>
  <c r="L55" i="36"/>
  <c r="L13" i="36"/>
  <c r="L45" i="36"/>
  <c r="L20" i="36"/>
  <c r="L32" i="36"/>
  <c r="L15" i="36"/>
  <c r="L4" i="36"/>
  <c r="L49" i="36"/>
  <c r="L57" i="36"/>
  <c r="L10" i="36"/>
  <c r="L47" i="36"/>
  <c r="L37" i="36"/>
  <c r="L31" i="36"/>
  <c r="L8" i="36"/>
  <c r="L3" i="36"/>
  <c r="L55" i="31"/>
  <c r="L49" i="31"/>
  <c r="L37" i="31"/>
  <c r="L23" i="31"/>
  <c r="L55" i="32"/>
  <c r="L49" i="32"/>
  <c r="L37" i="32"/>
  <c r="L23" i="32"/>
  <c r="L25" i="31"/>
  <c r="L24" i="31"/>
  <c r="L36" i="31"/>
  <c r="L22" i="31"/>
  <c r="L25" i="32"/>
  <c r="L24" i="32"/>
  <c r="L36" i="32"/>
  <c r="L22" i="32"/>
  <c r="L62" i="31"/>
  <c r="L44" i="31"/>
  <c r="L16" i="31"/>
  <c r="L6" i="31"/>
  <c r="L62" i="32"/>
  <c r="L44" i="32"/>
  <c r="L16" i="32"/>
  <c r="L6" i="32"/>
  <c r="L53" i="31"/>
  <c r="L50" i="31"/>
  <c r="L35" i="31"/>
  <c r="L21" i="31"/>
  <c r="L53" i="32"/>
  <c r="L50" i="32"/>
  <c r="L35" i="32"/>
  <c r="L21" i="32"/>
  <c r="L54" i="31"/>
  <c r="L41" i="31"/>
  <c r="L14" i="31"/>
  <c r="L54" i="32"/>
  <c r="L41" i="32"/>
  <c r="L14" i="32"/>
  <c r="L34" i="31"/>
  <c r="L43" i="31"/>
  <c r="L29" i="31"/>
  <c r="L34" i="32"/>
  <c r="L43" i="32"/>
  <c r="L29" i="32"/>
  <c r="L9" i="31"/>
  <c r="L42" i="31"/>
  <c r="L28" i="31"/>
  <c r="L9" i="32"/>
  <c r="L42" i="32"/>
  <c r="L28" i="32"/>
  <c r="L60" i="31"/>
  <c r="L39" i="31"/>
  <c r="L8" i="31"/>
  <c r="L60" i="32"/>
  <c r="L39" i="32"/>
  <c r="L8" i="32"/>
  <c r="L56" i="31"/>
  <c r="L59" i="31"/>
  <c r="L30" i="31"/>
  <c r="L45" i="31"/>
  <c r="L40" i="31"/>
  <c r="L12" i="31"/>
  <c r="L11" i="31"/>
  <c r="L17" i="31"/>
  <c r="L56" i="32"/>
  <c r="L59" i="32"/>
  <c r="L30" i="32"/>
  <c r="L45" i="32"/>
  <c r="L40" i="32"/>
  <c r="L12" i="32"/>
  <c r="L11" i="32"/>
  <c r="L17" i="32"/>
  <c r="L57" i="31"/>
  <c r="L61" i="31"/>
  <c r="L13" i="31"/>
  <c r="L46" i="31"/>
  <c r="L20" i="31"/>
  <c r="L33" i="31"/>
  <c r="L15" i="31"/>
  <c r="L5" i="31"/>
  <c r="L57" i="32"/>
  <c r="L61" i="32"/>
  <c r="L13" i="32"/>
  <c r="L46" i="32"/>
  <c r="L20" i="32"/>
  <c r="L33" i="32"/>
  <c r="L15" i="32"/>
  <c r="L5" i="32"/>
  <c r="L52" i="31"/>
  <c r="L51" i="31"/>
  <c r="L10" i="31"/>
  <c r="L48" i="31"/>
  <c r="L38" i="31"/>
  <c r="L32" i="31"/>
  <c r="L7" i="31"/>
  <c r="L4" i="31"/>
  <c r="L52" i="32"/>
  <c r="L51" i="32"/>
  <c r="L10" i="32"/>
  <c r="L48" i="32"/>
  <c r="L38" i="32"/>
  <c r="L32" i="32"/>
  <c r="L7" i="32"/>
  <c r="L4" i="32"/>
  <c r="L27" i="31"/>
  <c r="L58" i="31"/>
  <c r="L19" i="31"/>
  <c r="L47" i="31"/>
  <c r="L18" i="31"/>
  <c r="L31" i="31"/>
  <c r="L26" i="31"/>
  <c r="L3" i="31"/>
  <c r="L27" i="32"/>
  <c r="L58" i="32"/>
  <c r="L19" i="32"/>
  <c r="L47" i="32"/>
  <c r="L18" i="32"/>
  <c r="L31" i="32"/>
  <c r="L26" i="32"/>
  <c r="L3" i="32"/>
  <c r="L57" i="33"/>
  <c r="L46" i="33"/>
  <c r="L30" i="33"/>
  <c r="L26" i="36"/>
  <c r="L33" i="33"/>
  <c r="L42" i="33"/>
  <c r="L28" i="33"/>
  <c r="L59" i="33"/>
  <c r="L38" i="33"/>
  <c r="L27" i="33"/>
  <c r="L55" i="33"/>
  <c r="L29" i="33"/>
  <c r="L39" i="33"/>
  <c r="L25" i="33"/>
  <c r="L24" i="33"/>
  <c r="L23" i="33"/>
  <c r="L35" i="33"/>
  <c r="L21" i="33"/>
  <c r="L53" i="36"/>
  <c r="L52" i="33"/>
  <c r="L49" i="33"/>
  <c r="L34" i="33"/>
  <c r="L18" i="33"/>
  <c r="L17" i="36"/>
  <c r="L7" i="36"/>
  <c r="L26" i="33"/>
  <c r="L17" i="33"/>
  <c r="L19" i="33"/>
  <c r="L7" i="33"/>
  <c r="L58" i="33"/>
  <c r="L44" i="33"/>
  <c r="L12" i="33"/>
  <c r="L5" i="33"/>
  <c r="L54" i="33"/>
  <c r="L53" i="33"/>
  <c r="L48" i="33"/>
  <c r="L40" i="33"/>
  <c r="L36" i="33"/>
  <c r="L14" i="33"/>
  <c r="L22" i="33"/>
  <c r="L48" i="36"/>
  <c r="L61" i="33"/>
  <c r="L9" i="33"/>
  <c r="L43" i="33"/>
  <c r="L41" i="33"/>
  <c r="L16" i="33"/>
  <c r="L11" i="33"/>
  <c r="L6" i="33"/>
  <c r="L9" i="36"/>
  <c r="L43" i="36"/>
  <c r="L56" i="33"/>
  <c r="L60" i="33"/>
  <c r="L13" i="33"/>
  <c r="L45" i="33"/>
  <c r="L20" i="33"/>
  <c r="L32" i="33"/>
  <c r="L15" i="33"/>
  <c r="L4" i="33"/>
  <c r="L58" i="36"/>
  <c r="L51" i="33"/>
  <c r="L50" i="33"/>
  <c r="L10" i="33"/>
  <c r="L47" i="33"/>
  <c r="L37" i="33"/>
  <c r="L31" i="33"/>
  <c r="L8" i="33"/>
  <c r="L3" i="33"/>
  <c r="L5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31"/>
  <c r="S36" i="27"/>
  <c r="S36" i="26"/>
  <c r="S36" i="28"/>
  <c r="S36" i="37"/>
  <c r="S36" i="25"/>
  <c r="S36" i="36"/>
  <c r="S36" i="30"/>
  <c r="S36" i="32"/>
  <c r="S36" i="33"/>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I18" i="15" l="1"/>
  <c r="K18" i="15" s="1"/>
  <c r="K15" i="15"/>
  <c r="I14" i="15"/>
  <c r="K14" i="15" s="1"/>
  <c r="K11" i="15"/>
  <c r="E15" i="2"/>
  <c r="I19" i="15" s="1"/>
  <c r="U39" i="26"/>
  <c r="U37" i="37"/>
  <c r="U39" i="32"/>
  <c r="U39" i="28"/>
  <c r="U39" i="25"/>
  <c r="U39" i="35"/>
  <c r="U39" i="36"/>
  <c r="U39" i="33"/>
  <c r="U39" i="31"/>
  <c r="U39" i="27"/>
  <c r="U39" i="30"/>
  <c r="I22" i="15" l="1"/>
  <c r="K22" i="15" s="1"/>
  <c r="K19" i="15"/>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O5" i="35"/>
  <c r="O5" i="36"/>
  <c r="O5" i="33"/>
  <c r="O5" i="32"/>
  <c r="O5" i="31"/>
  <c r="O5" i="30"/>
  <c r="O5" i="37"/>
  <c r="O5" i="28"/>
  <c r="O5" i="27"/>
  <c r="O5" i="26"/>
  <c r="O5" i="25"/>
  <c r="O5" i="3"/>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<sst xmlns="http://schemas.openxmlformats.org/spreadsheetml/2006/main" count="8064" uniqueCount="528">
  <si>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</si>
  <si>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</si>
  <si>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</si>
  <si>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</si>
  <si>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</si>
  <si>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</si>
  <si>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</si>
  <si>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</si>
  <si>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</si>
  <si>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</si>
  <si>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</si>
  <si>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</si>
  <si>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</si>
  <si>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</si>
  <si>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</si>
  <si>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</si>
  <si>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</si>
  <si>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</si>
  <si>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</si>
  <si>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</si>
  <si>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</si>
  <si>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</si>
  <si>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</si>
  <si>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</si>
  <si>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</si>
  <si>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</si>
  <si>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</si>
  <si>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</si>
  <si>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</si>
  <si>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</si>
  <si>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</si>
  <si>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</si>
  <si>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</si>
  <si>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</si>
  <si>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</si>
  <si>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</si>
  <si>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</si>
  <si>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</si>
  <si>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</si>
  <si>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</si>
  <si>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</si>
  <si>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</si>
  <si>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</si>
  <si>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</si>
  <si>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</si>
  <si>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</si>
  <si>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</si>
  <si>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</si>
  <si>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</si>
  <si>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</si>
  <si>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</si>
  <si>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</si>
  <si>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</si>
  <si>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</si>
  <si>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</si>
  <si>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</si>
  <si>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</si>
  <si>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</si>
  <si>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</si>
  <si>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</si>
  <si>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</si>
  <si>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</si>
  <si>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</si>
  <si>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</si>
  <si>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</si>
  <si>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</si>
  <si>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</si>
  <si>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</si>
  <si>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</si>
  <si>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</si>
  <si>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</si>
  <si>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</si>
  <si>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</si>
  <si>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</si>
  <si>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</si>
  <si>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</si>
  <si>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</si>
  <si>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</si>
  <si>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</si>
  <si>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</si>
  <si>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</si>
  <si>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</si>
  <si>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</si>
  <si>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</si>
  <si>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</si>
  <si>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</si>
  <si>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</si>
  <si>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</si>
  <si>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</si>
  <si>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</si>
  <si>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</si>
  <si>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</si>
  <si>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</si>
  <si>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</si>
  <si>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</si>
  <si>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</si>
  <si>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</si>
  <si>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</si>
  <si>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</si>
  <si>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</si>
  <si>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</si>
  <si>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</si>
  <si>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</si>
  <si>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</si>
  <si>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</si>
  <si>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</si>
  <si>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</si>
  <si>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</si>
  <si>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</si>
  <si>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</si>
  <si>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</si>
  <si>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</si>
  <si>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</si>
  <si>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</si>
  <si>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</si>
  <si>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</si>
  <si>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</si>
  <si>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</si>
  <si>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</si>
  <si>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</si>
  <si>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</si>
  <si>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</si>
  <si>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</si>
  <si>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</si>
  <si>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</si>
  <si>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</si>
  <si>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</si>
  <si>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</si>
  <si>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</si>
  <si>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</si>
  <si>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</si>
  <si>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</si>
  <si>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</si>
  <si>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</si>
  <si>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</si>
  <si>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</si>
  <si>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</si>
  <si>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</si>
  <si>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</si>
  <si>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</si>
  <si>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</si>
  <si>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</si>
  <si>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</si>
  <si>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</si>
  <si>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</si>
  <si>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</si>
  <si>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</si>
  <si>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</si>
  <si>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</si>
  <si>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</si>
  <si>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</si>
  <si>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</si>
  <si>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</si>
  <si>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</si>
  <si>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</si>
  <si>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</si>
  <si>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</si>
  <si>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</si>
  <si>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</si>
  <si>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</si>
  <si>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</si>
  <si>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</si>
  <si>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</si>
  <si>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</si>
  <si>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</si>
  <si>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</si>
  <si>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</si>
  <si>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</si>
  <si>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</si>
  <si>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</si>
  <si>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</si>
  <si>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</si>
  <si>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</si>
  <si>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</si>
  <si>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</si>
  <si>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</si>
  <si>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</si>
  <si>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</si>
  <si>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</si>
  <si>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</si>
  <si>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</si>
  <si>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</si>
  <si>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</si>
  <si>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</si>
  <si>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</si>
  <si>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</si>
  <si>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</si>
  <si>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</si>
  <si>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</si>
  <si>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</si>
  <si>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</si>
  <si>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</si>
  <si>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</si>
  <si>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</si>
  <si>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</si>
  <si>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</si>
  <si>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</si>
  <si>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</si>
  <si>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</si>
  <si>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</si>
  <si>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</si>
  <si>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</si>
  <si>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</si>
  <si>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</si>
  <si>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</si>
  <si>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</si>
  <si>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</si>
  <si>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</si>
  <si>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</si>
  <si>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</si>
  <si>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</si>
  <si>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</si>
  <si>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</si>
  <si>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</si>
  <si>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</si>
  <si>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</si>
  <si>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</si>
  <si>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</si>
  <si>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</si>
  <si>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</si>
  <si>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</si>
  <si>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</si>
  <si>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</si>
  <si>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</si>
  <si>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</si>
  <si>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</si>
  <si>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</si>
  <si>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</si>
  <si>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</si>
  <si>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</si>
  <si>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</si>
  <si>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</si>
  <si>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</si>
  <si>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</si>
  <si>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</si>
  <si>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</si>
  <si>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</si>
  <si>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</si>
  <si>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</si>
  <si>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</si>
  <si>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</si>
  <si>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</si>
  <si>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</si>
  <si>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</si>
  <si>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</si>
  <si>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</si>
  <si>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</si>
  <si>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</si>
  <si>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</si>
  <si>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</si>
  <si>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</si>
  <si>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</si>
  <si>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</si>
  <si>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</si>
  <si>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</si>
  <si>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</si>
  <si>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</si>
  <si>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</si>
  <si>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</si>
  <si>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</si>
  <si>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</si>
  <si>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</si>
  <si>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</si>
  <si>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</si>
  <si>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</si>
  <si>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</si>
  <si>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</si>
  <si>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</si>
  <si>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</si>
  <si>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</si>
  <si>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</si>
  <si>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</si>
  <si>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</si>
  <si>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</si>
  <si>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</si>
  <si>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</si>
  <si>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</si>
  <si>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</si>
  <si>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</si>
  <si>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</si>
  <si>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</si>
  <si>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</si>
  <si>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</si>
  <si>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</si>
  <si>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</si>
  <si>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</si>
  <si>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</si>
  <si>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</si>
  <si>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</si>
  <si>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</si>
  <si>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</si>
  <si>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</si>
  <si>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</si>
  <si>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</si>
  <si>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</si>
  <si>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</si>
  <si>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</si>
  <si>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</si>
  <si>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</si>
  <si>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</si>
  <si>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</si>
  <si>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</si>
  <si>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</si>
  <si>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</si>
  <si>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</si>
  <si>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</si>
  <si>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</si>
  <si>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</si>
  <si>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</si>
  <si>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</si>
  <si>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</si>
  <si>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</si>
  <si>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</si>
  <si>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</si>
  <si>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</si>
  <si>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</si>
  <si>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</si>
  <si>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</si>
  <si>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</si>
  <si>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</si>
  <si>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</si>
  <si>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</si>
  <si>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</si>
  <si>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</si>
  <si>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</si>
  <si>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</si>
  <si>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</si>
  <si>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</si>
  <si>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</si>
  <si>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</si>
  <si>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</si>
  <si>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</si>
  <si>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</si>
  <si>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</si>
  <si>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</si>
  <si>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</si>
  <si>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</si>
  <si>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</si>
  <si>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</si>
  <si>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</si>
  <si>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</si>
  <si>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</si>
  <si>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</si>
  <si>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</si>
  <si>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</si>
  <si>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</si>
  <si>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</si>
  <si>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</si>
  <si>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</si>
  <si>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</si>
  <si>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</si>
  <si>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</si>
  <si>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</si>
  <si>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</si>
  <si>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</si>
  <si>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</si>
  <si>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</si>
  <si>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</si>
  <si>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</si>
  <si>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</si>
  <si>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</si>
  <si>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</si>
  <si>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</si>
  <si>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</si>
  <si>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</si>
  <si>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</si>
  <si>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</si>
  <si>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</si>
  <si>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</si>
  <si>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</si>
  <si>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</si>
  <si>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</si>
  <si>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</si>
  <si>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</si>
  <si>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</si>
  <si>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</si>
  <si>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</si>
  <si>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</si>
  <si>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</si>
  <si>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</si>
  <si>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</si>
  <si>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</si>
  <si>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</si>
  <si>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</si>
  <si>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</si>
  <si>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</si>
  <si>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</si>
  <si>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</si>
  <si>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</si>
  <si>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</si>
  <si>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</si>
  <si>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</si>
  <si>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</si>
  <si>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</si>
  <si>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</si>
  <si>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</si>
  <si>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</si>
  <si>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</si>
  <si>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</si>
  <si>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</si>
  <si>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</si>
  <si>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</si>
  <si>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</si>
  <si>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</si>
  <si>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</si>
  <si>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</si>
  <si>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</si>
  <si>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</si>
  <si>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</si>
  <si>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</si>
  <si>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</si>
  <si>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</si>
  <si>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</si>
  <si>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</si>
  <si>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</si>
  <si>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</si>
  <si>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</si>
  <si>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</si>
  <si>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</si>
  <si>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</si>
  <si>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</si>
  <si>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</si>
  <si>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</si>
  <si>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</si>
  <si>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</si>
  <si>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</si>
  <si>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</si>
  <si>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</si>
  <si>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</si>
  <si>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</si>
  <si>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</si>
  <si>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</si>
  <si>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</si>
  <si>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</si>
  <si>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</si>
  <si>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</si>
  <si>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</si>
  <si>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</si>
  <si>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</si>
  <si>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</si>
  <si>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</si>
  <si>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</si>
  <si>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</si>
  <si>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</si>
  <si>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</si>
  <si>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</si>
  <si>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</si>
  <si>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</si>
  <si>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</si>
  <si>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</si>
  <si>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</si>
  <si>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</si>
  <si>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</si>
  <si>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</si>
  <si>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</si>
  <si>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</si>
  <si>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</si>
  <si>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</si>
  <si>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</si>
  <si>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</si>
  <si>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</si>
  <si>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</si>
  <si>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</si>
  <si>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</si>
  <si>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</si>
  <si>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</si>
  <si>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</si>
  <si>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</si>
  <si>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</si>
  <si>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</si>
  <si>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</si>
  <si>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</si>
  <si>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</si>
  <si>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</si>
  <si>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</si>
  <si>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</si>
  <si>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</si>
  <si>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</si>
  <si>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</si>
  <si>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</si>
  <si>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</si>
  <si>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</si>
  <si>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</si>
  <si>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</si>
  <si>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</si>
  <si>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</si>
  <si>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</si>
  <si>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</si>
  <si>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</si>
  <si>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</si>
  <si>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</si>
  <si>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</si>
  <si>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</si>
  <si>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</si>
  <si>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</si>
  <si>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</si>
  <si>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</si>
  <si>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</si>
  <si>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</si>
  <si>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</si>
  <si>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</si>
  <si>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</si>
  <si>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</si>
  <si>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</si>
  <si>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</si>
  <si>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</si>
  <si>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</si>
  <si>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</si>
  <si>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</si>
  <si>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</si>
  <si>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</si>
  <si>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</si>
  <si>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</si>
  <si>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</si>
  <si>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</si>
  <si>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LOHNTABELLE enthaelt KV-Daten (Spalte D bis Zeile 319).</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</si>
  <si>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</si>
  <si>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</si>
  <si>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</si>
  <si>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</si>
  <si>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</si>
  <si>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</si>
  <si>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</si>
  <si>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</si>
  <si>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</si>
  <si>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Monatslohn-Formel auf allen 12 Monatsblaettern in Spalte G vorhanden.</t>
  </si>
  <si>
    <t>400002|JA</t>
  </si>
  <si>
    <t>Betriebszugehörigkeit: 8 Jahre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</si>
</sst>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17" fillId="0" borderId="0" xfId="0" applyFont="1" applyAlignment="1">
      <alignment vertical="center"/>
    </xf>
    <xf numFmtId="10" fontId="17" fillId="0" borderId="25" xfId="0" applyNumberFormat="1" applyFont="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7" fillId="5" borderId="0" xfId="0" applyFont="1" applyFill="1" applyAlignment="1">
      <alignment horizontal="center" vertical="center" wrapText="1"/>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0" xfId="0" applyNumberFormat="1" applyFont="1" applyAlignment="1" applyProtection="1">
      <alignment horizont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5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49"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49" fontId="54" fillId="0" borderId="22" xfId="0" applyNumberFormat="1" applyFont="1" applyBorder="1" applyAlignment="1" applyProtection="1">
      <alignment horizontal="center" vertical="center"/>
    </xf>
    <xf numFmtId="49" fontId="54" fillId="0" borderId="21" xfId="0" applyNumberFormat="1" applyFont="1" applyBorder="1" applyAlignment="1" applyProtection="1">
      <alignment horizontal="center" vertical="center"/>
    </xf>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43" fillId="7" borderId="59" xfId="0"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43" fillId="7" borderId="62" xfId="0" applyFont="1" applyFill="1" applyBorder="1" applyAlignment="1" applyProtection="1">
      <alignment horizontal="center" vertical="center"/>
    </xf>
    <xf numFmtId="10" fontId="43" fillId="7" borderId="63"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60" xfId="0" applyFont="1" applyFill="1" applyBorder="1" applyAlignment="1" applyProtection="1">
      <alignment vertical="center"/>
    </xf>
    <xf numFmtId="0" fontId="43" fillId="7" borderId="60" xfId="0"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49" fontId="54" fillId="0" borderId="24" xfId="0" applyNumberFormat="1" applyFont="1" applyBorder="1" applyAlignment="1" applyProtection="1">
      <alignment horizontal="center" vertical="center"/>
    </xf>
    <xf numFmtId="0" fontId="3" fillId="3" borderId="0" xfId="0" applyFont="1" applyFill="1" applyProtection="1"/>
    <xf numFmtId="0" fontId="35" fillId="2" borderId="64" xfId="0" applyFont="1" applyFill="1" applyBorder="1" applyAlignment="1" applyProtection="1">
      <alignment horizontal="center" vertical="center" wrapText="1"/>
    </xf>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46" fillId="0" borderId="0" xfId="0" applyFont="1" applyFill="1" applyAlignment="1" applyProtection="1">
      <alignment horizontal="left" vertical="center"/>
    </xf>
    <xf numFmtId="0" fontId="46" fillId="0" borderId="67" xfId="0" applyFont="1" applyFill="1" applyBorder="1" applyAlignment="1" applyProtection="1">
      <alignment horizontal="right" vertical="center"/>
    </xf>
    <xf numFmtId="0" fontId="46" fillId="0" borderId="0" xfId="0" applyFont="1" applyFill="1" applyBorder="1" applyAlignment="1" applyProtection="1">
      <alignment horizontal="righ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1B35-2E47-9B4A-8A052B779AB7}"/>
            </c:ext>
          </c:extLst>
        </c:ser>
        <c:dLbls>
          <c:showLegendKey val="0"/>
          <c:showVal val="0"/>
          <c:showCatName val="0"/>
          <c:showSerName val="0"/>
          <c:showPercent val="0"/>
          <c:showBubbleSize val="0"/>
        </c:dLbls>
        <c:gapWidth val="150"/>
        <c:axId val="1397937408"/>
        <c:axId val="1397933376"/>
      </c:barChart>
      <c:catAx>
        <c:axId val="1397937408"/>
        <c:scaling>
          <c:orientation val="minMax"/>
        </c:scaling>
        <c:delete val="0"/>
        <c:axPos val="b"/>
        <c:numFmt formatCode="General" sourceLinked="1"/>
        <c:majorTickMark val="out"/>
        <c:minorTickMark val="none"/>
        <c:tickLblPos val="nextTo"/>
        <c:crossAx val="1397933376"/>
        <c:crosses val="autoZero"/>
        <c:auto val="1"/>
        <c:lblAlgn val="ctr"/>
        <c:lblOffset val="100"/>
        <c:noMultiLvlLbl val="0"/>
      </c:catAx>
      <c:valAx>
        <c:axId val="1397933376"/>
        <c:scaling>
          <c:orientation val="minMax"/>
        </c:scaling>
        <c:delete val="0"/>
        <c:axPos val="l"/>
        <c:majorGridlines/>
        <c:numFmt formatCode="General" sourceLinked="1"/>
        <c:majorTickMark val="out"/>
        <c:minorTickMark val="none"/>
        <c:tickLblPos val="nextTo"/>
        <c:crossAx val="1397937408"/>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F492-1C46-9A2A-ECBC4F4E26F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4DDD-4642-9F9F-C945E58491FA}"/>
            </c:ext>
          </c:extLst>
        </c:ser>
        <c:dLbls>
          <c:showLegendKey val="0"/>
          <c:showVal val="0"/>
          <c:showCatName val="0"/>
          <c:showSerName val="0"/>
          <c:showPercent val="0"/>
          <c:showBubbleSize val="0"/>
        </c:dLbls>
        <c:gapWidth val="150"/>
        <c:axId val="1245123840"/>
        <c:axId val="1397995072"/>
      </c:barChart>
      <c:catAx>
        <c:axId val="1245123840"/>
        <c:scaling>
          <c:orientation val="minMax"/>
        </c:scaling>
        <c:delete val="0"/>
        <c:axPos val="l"/>
        <c:numFmt formatCode="General" sourceLinked="1"/>
        <c:majorTickMark val="out"/>
        <c:minorTickMark val="none"/>
        <c:tickLblPos val="nextTo"/>
        <c:crossAx val="1397995072"/>
        <c:crosses val="autoZero"/>
        <c:auto val="1"/>
        <c:lblAlgn val="ctr"/>
        <c:lblOffset val="100"/>
        <c:noMultiLvlLbl val="0"/>
      </c:catAx>
      <c:valAx>
        <c:axId val="1397995072"/>
        <c:scaling>
          <c:orientation val="minMax"/>
        </c:scaling>
        <c:delete val="0"/>
        <c:axPos val="b"/>
        <c:majorGridlines/>
        <c:numFmt formatCode="General" sourceLinked="1"/>
        <c:majorTickMark val="out"/>
        <c:minorTickMark val="none"/>
        <c:tickLblPos val="nextTo"/>
        <c:crossAx val="124512384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859367</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922867</xdr:colOff>
      <xdr:row>1</xdr:row>
      <xdr:rowOff>44450</xdr:rowOff>
    </xdr:from>
    <xdr:to>
      <xdr:col>5</xdr:col>
      <xdr:colOff>805391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868891</xdr:colOff>
      <xdr:row>1</xdr:row>
      <xdr:rowOff>44450</xdr:rowOff>
    </xdr:from>
    <xdr:to>
      <xdr:col>7</xdr:col>
      <xdr:colOff>1132416</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1132416</xdr:colOff>
      <xdr:row>1</xdr:row>
      <xdr:rowOff>44450</xdr:rowOff>
    </xdr:from>
    <xdr:to>
      <xdr:col>9</xdr:col>
      <xdr:colOff>1463676</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127000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6751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5" name="Diagramm 4">
          <a:extLst>
            <a:ext uri="{FF2B5EF4-FFF2-40B4-BE49-F238E27FC236}">
              <a16:creationId xmlns:a16="http://schemas.microsoft.com/office/drawing/2014/main" id="{62576F14-9584-25CF-E3C8-CE7E98E877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6" name="Diagramm 5">
          <a:extLst>
            <a:ext uri="{FF2B5EF4-FFF2-40B4-BE49-F238E27FC236}">
              <a16:creationId xmlns:a16="http://schemas.microsoft.com/office/drawing/2014/main" id="{5729C322-0E32-5B6C-BB55-88F794F29B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7" name="Diagramm 6">
          <a:extLst>
            <a:ext uri="{FF2B5EF4-FFF2-40B4-BE49-F238E27FC236}">
              <a16:creationId xmlns:a16="http://schemas.microsoft.com/office/drawing/2014/main" id="{D0D8E117-F853-5AF2-6C11-70E04B772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19"/>
  <sheetViews>
    <sheetView showGridLines="0" zoomScale="120" zoomScaleNormal="120" workbookViewId="0">
      <pane ySplit="3" topLeftCell="A4" activePane="bottomLeft" state="frozen"/>
      <selection pane="bottomLeft" activeCell="L16" sqref="L16"/>
    </sheetView>
  </sheetViews>
  <sheetFormatPr baseColWidth="10" defaultRowHeight="18" customHeight="1"/>
  <cols>
    <col min="1" max="1" width="16.83203125" style="6" customWidth="1"/>
    <col min="2" max="4" width="14.83203125" style="6" customWidth="1"/>
    <col min="5" max="5" width="13.83203125" style="6" customWidth="1"/>
    <col min="6" max="6" width="25.83203125" style="6" customWidth="1"/>
    <col min="7" max="7" width="13.83203125" style="6" customWidth="1"/>
    <col min="8" max="8" width="14.83203125" style="7" customWidth="1"/>
    <col min="9" max="9" width="22.83203125" style="6" customWidth="1"/>
    <col min="10" max="10" width="24.83203125" style="6" customWidth="1"/>
    <col min="11" max="11" width="3.6640625" hidden="1" customWidth="1"/>
    <col min="12" max="14" width="18.83203125" customWidth="1"/>
    <col min="27" max="29" width="0" hidden="1" customWidth="1"/>
  </cols>
  <sheetData>
    <row r="1" spans="1:15" ht="20" customHeight="1">
      <c r="A1" s="179" t="s">
        <v>280</v>
      </c>
      <c r="B1" s="179"/>
      <c r="C1" s="179"/>
      <c r="D1" s="179"/>
      <c r="E1" s="179"/>
      <c r="F1" s="179"/>
      <c r="G1" s="179"/>
      <c r="H1" s="179"/>
      <c r="I1" s="179"/>
      <c r="J1" s="179"/>
    </row>
    <row r="2" spans="1:15" ht="24" customHeight="1">
      <c r="A2" s="174"/>
      <c r="B2" s="174"/>
      <c r="C2" s="174"/>
      <c r="D2" s="174"/>
      <c r="E2" s="174"/>
      <c r="F2" s="174"/>
      <c r="G2" s="174"/>
      <c r="H2" s="175"/>
      <c r="I2" s="176"/>
      <c r="J2" s="176"/>
      <c r="L2" s="396" t="s">
        <v>460</v>
      </c>
      <c r="M2" s="396"/>
      <c r="N2" s="396"/>
      <c r="O2" s="111"/>
    </row>
    <row r="3" spans="1:15" ht="18" customHeight="1" thickBot="1">
      <c r="A3" s="95" t="s">
        <v>285</v>
      </c>
      <c r="B3" s="95" t="s">
        <v>401</v>
      </c>
      <c r="C3" s="95" t="s">
        <v>402</v>
      </c>
      <c r="D3" s="95" t="s">
        <v>289</v>
      </c>
      <c r="E3" s="95" t="s">
        <v>286</v>
      </c>
      <c r="F3" s="95" t="s">
        <v>403</v>
      </c>
      <c r="G3" s="95" t="s">
        <v>287</v>
      </c>
      <c r="H3" s="96" t="s">
        <v>1</v>
      </c>
      <c r="I3" s="95" t="s">
        <v>288</v>
      </c>
      <c r="J3" s="95" t="s">
        <v>404</v>
      </c>
    </row>
    <row r="4" spans="1:15" ht="24" customHeight="1" thickBot="1">
      <c r="A4" s="186" t="s">
        <v>470</v>
      </c>
      <c r="B4" s="187"/>
      <c r="C4" s="187"/>
      <c r="D4" s="188"/>
      <c r="E4" s="188"/>
      <c r="F4" s="188"/>
      <c r="G4" s="189"/>
      <c r="H4" s="190"/>
      <c r="I4" s="188"/>
      <c r="J4" s="191"/>
    </row>
    <row r="5" spans="1:15" ht="24" customHeight="1">
      <c r="A5" s="155" t="s">
        <v>469</v>
      </c>
      <c r="B5" s="137">
        <v>46143</v>
      </c>
      <c r="C5" s="137">
        <v>46507</v>
      </c>
      <c r="D5" s="138" t="s">
        <v>290</v>
      </c>
      <c r="E5" s="138" t="s">
        <v>2</v>
      </c>
      <c r="F5" s="138" t="s">
        <v>281</v>
      </c>
      <c r="G5" s="113">
        <v>173</v>
      </c>
      <c r="H5" s="114">
        <v>2900</v>
      </c>
      <c r="I5" s="139" t="str">
        <f t="shared" ref="I5:I36" si="0">IF($A5="","",IF(OR($B5="",$C5="",$D5="",$E5="",$F5=""),"Stammdaten fehlen",IF(AND($G5="",$H5=""),"Werte fehlen",IF($G5="","Monatsstunden fehlen",IF($H5="","Monatslohn fehlt","OK")))))</f>
        <v>OK</v>
      </c>
      <c r="J5" s="161" t="str">
        <f t="shared" ref="J5:J36" si="1">IF($G5="","",IF(COUNTIFS($A:$A,$A5,$D:$D,$D5,$G:$G,$G5)&gt;1,"Doppelte Monatsstunden",""))</f>
        <v/>
      </c>
    </row>
    <row r="6" spans="1:15" ht="24" customHeight="1">
      <c r="A6" s="156" t="s">
        <v>469</v>
      </c>
      <c r="B6" s="140">
        <v>46143</v>
      </c>
      <c r="C6" s="140">
        <v>46507</v>
      </c>
      <c r="D6" s="141" t="s">
        <v>290</v>
      </c>
      <c r="E6" s="141" t="s">
        <v>2</v>
      </c>
      <c r="F6" s="141" t="s">
        <v>281</v>
      </c>
      <c r="G6" s="115">
        <v>166</v>
      </c>
      <c r="H6" s="116">
        <v>2454</v>
      </c>
      <c r="I6" s="142" t="str">
        <f t="shared" si="0"/>
        <v>OK</v>
      </c>
      <c r="J6" s="162" t="str">
        <f t="shared" si="1"/>
        <v/>
      </c>
      <c r="K6" t="s">
        <v>468</v>
      </c>
    </row>
    <row r="7" spans="1:15" ht="24" customHeight="1">
      <c r="A7" s="156" t="s">
        <v>469</v>
      </c>
      <c r="B7" s="140">
        <v>46143</v>
      </c>
      <c r="C7" s="140">
        <v>46507</v>
      </c>
      <c r="D7" s="141" t="s">
        <v>290</v>
      </c>
      <c r="E7" s="141" t="s">
        <v>2</v>
      </c>
      <c r="F7" s="141" t="s">
        <v>281</v>
      </c>
      <c r="G7" s="115">
        <v>151.38</v>
      </c>
      <c r="H7" s="116">
        <v>2500</v>
      </c>
      <c r="I7" s="142" t="str">
        <f t="shared" si="0"/>
        <v>OK</v>
      </c>
      <c r="J7" s="162" t="str">
        <f t="shared" si="1"/>
        <v/>
      </c>
    </row>
    <row r="8" spans="1:15" ht="24" customHeight="1">
      <c r="A8" s="156" t="s">
        <v>469</v>
      </c>
      <c r="B8" s="140">
        <v>46143</v>
      </c>
      <c r="C8" s="140">
        <v>46507</v>
      </c>
      <c r="D8" s="141" t="s">
        <v>290</v>
      </c>
      <c r="E8" s="141" t="s">
        <v>2</v>
      </c>
      <c r="F8" s="141" t="s">
        <v>281</v>
      </c>
      <c r="G8" s="115">
        <v>138.4</v>
      </c>
      <c r="H8" s="116">
        <v>2400</v>
      </c>
      <c r="I8" s="142" t="str">
        <f t="shared" si="0"/>
        <v>OK</v>
      </c>
      <c r="J8" s="162" t="str">
        <f t="shared" si="1"/>
        <v/>
      </c>
    </row>
    <row r="9" spans="1:15" ht="24" customHeight="1">
      <c r="A9" s="156" t="s">
        <v>469</v>
      </c>
      <c r="B9" s="140">
        <v>46143</v>
      </c>
      <c r="C9" s="140">
        <v>46507</v>
      </c>
      <c r="D9" s="141" t="s">
        <v>290</v>
      </c>
      <c r="E9" s="141" t="s">
        <v>2</v>
      </c>
      <c r="F9" s="141" t="s">
        <v>281</v>
      </c>
      <c r="G9" s="115">
        <v>129.75</v>
      </c>
      <c r="H9" s="116">
        <v>2300</v>
      </c>
      <c r="I9" s="142" t="str">
        <f t="shared" si="0"/>
        <v>OK</v>
      </c>
      <c r="J9" s="162" t="str">
        <f t="shared" si="1"/>
        <v/>
      </c>
    </row>
    <row r="10" spans="1:15" ht="24" customHeight="1">
      <c r="A10" s="156" t="s">
        <v>469</v>
      </c>
      <c r="B10" s="140">
        <v>46143</v>
      </c>
      <c r="C10" s="140">
        <v>46507</v>
      </c>
      <c r="D10" s="141" t="s">
        <v>290</v>
      </c>
      <c r="E10" s="141" t="s">
        <v>2</v>
      </c>
      <c r="F10" s="141" t="s">
        <v>281</v>
      </c>
      <c r="G10" s="115">
        <v>108.13</v>
      </c>
      <c r="H10" s="116">
        <v>2200</v>
      </c>
      <c r="I10" s="142" t="str">
        <f t="shared" si="0"/>
        <v>OK</v>
      </c>
      <c r="J10" s="162" t="str">
        <f t="shared" si="1"/>
        <v/>
      </c>
    </row>
    <row r="11" spans="1:15" ht="24" customHeight="1">
      <c r="A11" s="156" t="s">
        <v>469</v>
      </c>
      <c r="B11" s="140">
        <v>46143</v>
      </c>
      <c r="C11" s="140">
        <v>46507</v>
      </c>
      <c r="D11" s="141" t="s">
        <v>290</v>
      </c>
      <c r="E11" s="141" t="s">
        <v>2</v>
      </c>
      <c r="F11" s="141" t="s">
        <v>281</v>
      </c>
      <c r="G11" s="115">
        <v>105</v>
      </c>
      <c r="H11" s="116">
        <v>2333</v>
      </c>
      <c r="I11" s="142" t="str">
        <f t="shared" si="0"/>
        <v>OK</v>
      </c>
      <c r="J11" s="162" t="str">
        <f t="shared" si="1"/>
        <v/>
      </c>
    </row>
    <row r="12" spans="1:15" ht="24" customHeight="1">
      <c r="A12" s="156" t="s">
        <v>469</v>
      </c>
      <c r="B12" s="140">
        <v>46143</v>
      </c>
      <c r="C12" s="140">
        <v>46507</v>
      </c>
      <c r="D12" s="141" t="s">
        <v>290</v>
      </c>
      <c r="E12" s="141" t="s">
        <v>2</v>
      </c>
      <c r="F12" s="141" t="s">
        <v>281</v>
      </c>
      <c r="G12" s="115">
        <v>103.8</v>
      </c>
      <c r="H12" s="116">
        <v>2222</v>
      </c>
      <c r="I12" s="142" t="str">
        <f t="shared" si="0"/>
        <v>OK</v>
      </c>
      <c r="J12" s="162" t="str">
        <f t="shared" si="1"/>
        <v/>
      </c>
    </row>
    <row r="13" spans="1:15" ht="24" customHeight="1">
      <c r="A13" s="156" t="s">
        <v>469</v>
      </c>
      <c r="B13" s="140">
        <v>46143</v>
      </c>
      <c r="C13" s="140">
        <v>46507</v>
      </c>
      <c r="D13" s="141" t="s">
        <v>290</v>
      </c>
      <c r="E13" s="141" t="s">
        <v>2</v>
      </c>
      <c r="F13" s="141" t="s">
        <v>281</v>
      </c>
      <c r="G13" s="115">
        <v>86.5</v>
      </c>
      <c r="H13" s="116">
        <v>2152</v>
      </c>
      <c r="I13" s="142" t="str">
        <f t="shared" si="0"/>
        <v>OK</v>
      </c>
      <c r="J13" s="162" t="str">
        <f t="shared" si="1"/>
        <v/>
      </c>
    </row>
    <row r="14" spans="1:15" ht="24" customHeight="1">
      <c r="A14" s="156" t="s">
        <v>469</v>
      </c>
      <c r="B14" s="140">
        <v>46143</v>
      </c>
      <c r="C14" s="140">
        <v>46507</v>
      </c>
      <c r="D14" s="141" t="s">
        <v>290</v>
      </c>
      <c r="E14" s="141" t="s">
        <v>2</v>
      </c>
      <c r="F14" s="141" t="s">
        <v>281</v>
      </c>
      <c r="G14" s="115">
        <v>69.2</v>
      </c>
      <c r="H14" s="116">
        <v>2654</v>
      </c>
      <c r="I14" s="142" t="str">
        <f t="shared" si="0"/>
        <v>OK</v>
      </c>
      <c r="J14" s="162" t="str">
        <f t="shared" si="1"/>
        <v/>
      </c>
    </row>
    <row r="15" spans="1:15" ht="24" customHeight="1">
      <c r="A15" s="156" t="s">
        <v>469</v>
      </c>
      <c r="B15" s="140">
        <v>46143</v>
      </c>
      <c r="C15" s="140">
        <v>46507</v>
      </c>
      <c r="D15" s="141" t="s">
        <v>290</v>
      </c>
      <c r="E15" s="141" t="s">
        <v>2</v>
      </c>
      <c r="F15" s="141" t="s">
        <v>281</v>
      </c>
      <c r="G15" s="115">
        <v>51.9</v>
      </c>
      <c r="H15" s="116">
        <v>2120</v>
      </c>
      <c r="I15" s="142" t="str">
        <f t="shared" si="0"/>
        <v>OK</v>
      </c>
      <c r="J15" s="162" t="str">
        <f t="shared" si="1"/>
        <v/>
      </c>
    </row>
    <row r="16" spans="1:15" ht="24" customHeight="1">
      <c r="A16" s="156" t="s">
        <v>469</v>
      </c>
      <c r="B16" s="140">
        <v>46143</v>
      </c>
      <c r="C16" s="140">
        <v>46507</v>
      </c>
      <c r="D16" s="141" t="s">
        <v>290</v>
      </c>
      <c r="E16" s="141" t="s">
        <v>2</v>
      </c>
      <c r="F16" s="141" t="s">
        <v>281</v>
      </c>
      <c r="G16" s="115">
        <v>47.58</v>
      </c>
      <c r="H16" s="116">
        <v>2562</v>
      </c>
      <c r="I16" s="142" t="str">
        <f t="shared" si="0"/>
        <v>OK</v>
      </c>
      <c r="J16" s="162" t="str">
        <f t="shared" si="1"/>
        <v/>
      </c>
    </row>
    <row r="17" spans="1:10" ht="24" customHeight="1">
      <c r="A17" s="156" t="s">
        <v>469</v>
      </c>
      <c r="B17" s="140">
        <v>46143</v>
      </c>
      <c r="C17" s="140">
        <v>46507</v>
      </c>
      <c r="D17" s="141" t="s">
        <v>290</v>
      </c>
      <c r="E17" s="141" t="s">
        <v>2</v>
      </c>
      <c r="F17" s="141" t="s">
        <v>281</v>
      </c>
      <c r="G17" s="115">
        <v>43.25</v>
      </c>
      <c r="H17" s="116">
        <v>2021</v>
      </c>
      <c r="I17" s="142" t="str">
        <f t="shared" si="0"/>
        <v>OK</v>
      </c>
      <c r="J17" s="162" t="str">
        <f t="shared" si="1"/>
        <v/>
      </c>
    </row>
    <row r="18" spans="1:10" ht="24" customHeight="1" thickBot="1">
      <c r="A18" s="156" t="s">
        <v>469</v>
      </c>
      <c r="B18" s="140">
        <v>46143</v>
      </c>
      <c r="C18" s="140">
        <v>46507</v>
      </c>
      <c r="D18" s="141" t="s">
        <v>290</v>
      </c>
      <c r="E18" s="141" t="s">
        <v>2</v>
      </c>
      <c r="F18" s="141" t="s">
        <v>281</v>
      </c>
      <c r="G18" s="115">
        <v>34.6</v>
      </c>
      <c r="H18" s="116">
        <v>1254</v>
      </c>
      <c r="I18" s="142" t="str">
        <f t="shared" si="0"/>
        <v>OK</v>
      </c>
      <c r="J18" s="162" t="str">
        <f t="shared" si="1"/>
        <v/>
      </c>
    </row>
    <row r="19" spans="1:10" ht="24" customHeight="1">
      <c r="A19" s="155" t="s">
        <v>469</v>
      </c>
      <c r="B19" s="137">
        <v>46143</v>
      </c>
      <c r="C19" s="137">
        <v>46507</v>
      </c>
      <c r="D19" s="138" t="s">
        <v>3</v>
      </c>
      <c r="E19" s="138" t="s">
        <v>2</v>
      </c>
      <c r="F19" s="138" t="s">
        <v>282</v>
      </c>
      <c r="G19" s="113">
        <v>173</v>
      </c>
      <c r="H19" s="114"/>
      <c r="I19" s="139" t="str">
        <f t="shared" si="0"/>
        <v>Monatslohn fehlt</v>
      </c>
      <c r="J19" s="161" t="str">
        <f t="shared" si="1"/>
        <v/>
      </c>
    </row>
    <row r="20" spans="1:10" ht="24" customHeight="1">
      <c r="A20" s="156" t="s">
        <v>469</v>
      </c>
      <c r="B20" s="140">
        <v>46143</v>
      </c>
      <c r="C20" s="140">
        <v>46507</v>
      </c>
      <c r="D20" s="141" t="s">
        <v>3</v>
      </c>
      <c r="E20" s="141" t="s">
        <v>2</v>
      </c>
      <c r="F20" s="141" t="s">
        <v>282</v>
      </c>
      <c r="G20" s="115">
        <v>151.38</v>
      </c>
      <c r="H20" s="116"/>
      <c r="I20" s="142" t="str">
        <f t="shared" si="0"/>
        <v>Monatslohn fehlt</v>
      </c>
      <c r="J20" s="162" t="str">
        <f t="shared" si="1"/>
        <v/>
      </c>
    </row>
    <row r="21" spans="1:10" ht="24" customHeight="1">
      <c r="A21" s="156" t="s">
        <v>469</v>
      </c>
      <c r="B21" s="140">
        <v>46143</v>
      </c>
      <c r="C21" s="140">
        <v>46507</v>
      </c>
      <c r="D21" s="141" t="s">
        <v>3</v>
      </c>
      <c r="E21" s="141" t="s">
        <v>2</v>
      </c>
      <c r="F21" s="141" t="s">
        <v>282</v>
      </c>
      <c r="G21" s="115">
        <v>138.4</v>
      </c>
      <c r="H21" s="116"/>
      <c r="I21" s="142" t="str">
        <f t="shared" si="0"/>
        <v>Monatslohn fehlt</v>
      </c>
      <c r="J21" s="162" t="str">
        <f t="shared" si="1"/>
        <v/>
      </c>
    </row>
    <row r="22" spans="1:10" ht="24" customHeight="1">
      <c r="A22" s="156" t="s">
        <v>469</v>
      </c>
      <c r="B22" s="140">
        <v>46143</v>
      </c>
      <c r="C22" s="140">
        <v>46507</v>
      </c>
      <c r="D22" s="141" t="s">
        <v>3</v>
      </c>
      <c r="E22" s="141" t="s">
        <v>2</v>
      </c>
      <c r="F22" s="141" t="s">
        <v>282</v>
      </c>
      <c r="G22" s="115">
        <v>129.75</v>
      </c>
      <c r="H22" s="116"/>
      <c r="I22" s="142" t="str">
        <f t="shared" si="0"/>
        <v>Monatslohn fehlt</v>
      </c>
      <c r="J22" s="162" t="str">
        <f t="shared" si="1"/>
        <v/>
      </c>
    </row>
    <row r="23" spans="1:10" ht="24" customHeight="1">
      <c r="A23" s="156" t="s">
        <v>469</v>
      </c>
      <c r="B23" s="140">
        <v>46143</v>
      </c>
      <c r="C23" s="140">
        <v>46507</v>
      </c>
      <c r="D23" s="141" t="s">
        <v>3</v>
      </c>
      <c r="E23" s="141" t="s">
        <v>2</v>
      </c>
      <c r="F23" s="141" t="s">
        <v>282</v>
      </c>
      <c r="G23" s="115">
        <v>108.13</v>
      </c>
      <c r="H23" s="116"/>
      <c r="I23" s="142" t="str">
        <f t="shared" si="0"/>
        <v>Monatslohn fehlt</v>
      </c>
      <c r="J23" s="162" t="str">
        <f t="shared" si="1"/>
        <v/>
      </c>
    </row>
    <row r="24" spans="1:10" ht="24" customHeight="1">
      <c r="A24" s="156" t="s">
        <v>469</v>
      </c>
      <c r="B24" s="140">
        <v>46143</v>
      </c>
      <c r="C24" s="140">
        <v>46507</v>
      </c>
      <c r="D24" s="141" t="s">
        <v>3</v>
      </c>
      <c r="E24" s="141" t="s">
        <v>2</v>
      </c>
      <c r="F24" s="141" t="s">
        <v>282</v>
      </c>
      <c r="G24" s="115">
        <v>103.8</v>
      </c>
      <c r="H24" s="116"/>
      <c r="I24" s="142" t="str">
        <f t="shared" si="0"/>
        <v>Monatslohn fehlt</v>
      </c>
      <c r="J24" s="162" t="str">
        <f t="shared" si="1"/>
        <v/>
      </c>
    </row>
    <row r="25" spans="1:10" ht="24" customHeight="1">
      <c r="A25" s="156" t="s">
        <v>469</v>
      </c>
      <c r="B25" s="140">
        <v>46143</v>
      </c>
      <c r="C25" s="140">
        <v>46507</v>
      </c>
      <c r="D25" s="141" t="s">
        <v>3</v>
      </c>
      <c r="E25" s="141" t="s">
        <v>2</v>
      </c>
      <c r="F25" s="141" t="s">
        <v>282</v>
      </c>
      <c r="G25" s="115">
        <v>86.5</v>
      </c>
      <c r="H25" s="116"/>
      <c r="I25" s="142" t="str">
        <f t="shared" si="0"/>
        <v>Monatslohn fehlt</v>
      </c>
      <c r="J25" s="162" t="str">
        <f t="shared" si="1"/>
        <v/>
      </c>
    </row>
    <row r="26" spans="1:10" ht="24" customHeight="1">
      <c r="A26" s="156" t="s">
        <v>469</v>
      </c>
      <c r="B26" s="140">
        <v>46143</v>
      </c>
      <c r="C26" s="140">
        <v>46507</v>
      </c>
      <c r="D26" s="141" t="s">
        <v>3</v>
      </c>
      <c r="E26" s="141" t="s">
        <v>2</v>
      </c>
      <c r="F26" s="141" t="s">
        <v>282</v>
      </c>
      <c r="G26" s="115">
        <v>69.2</v>
      </c>
      <c r="H26" s="116"/>
      <c r="I26" s="142" t="str">
        <f t="shared" si="0"/>
        <v>Monatslohn fehlt</v>
      </c>
      <c r="J26" s="162" t="str">
        <f t="shared" si="1"/>
        <v/>
      </c>
    </row>
    <row r="27" spans="1:10" ht="24" customHeight="1">
      <c r="A27" s="156" t="s">
        <v>469</v>
      </c>
      <c r="B27" s="140">
        <v>46143</v>
      </c>
      <c r="C27" s="140">
        <v>46507</v>
      </c>
      <c r="D27" s="141" t="s">
        <v>3</v>
      </c>
      <c r="E27" s="141" t="s">
        <v>2</v>
      </c>
      <c r="F27" s="141" t="s">
        <v>282</v>
      </c>
      <c r="G27" s="115">
        <v>51.9</v>
      </c>
      <c r="H27" s="116"/>
      <c r="I27" s="142" t="str">
        <f t="shared" si="0"/>
        <v>Monatslohn fehlt</v>
      </c>
      <c r="J27" s="162" t="str">
        <f t="shared" si="1"/>
        <v/>
      </c>
    </row>
    <row r="28" spans="1:10" ht="24" customHeight="1">
      <c r="A28" s="156" t="s">
        <v>469</v>
      </c>
      <c r="B28" s="140">
        <v>46143</v>
      </c>
      <c r="C28" s="140">
        <v>46507</v>
      </c>
      <c r="D28" s="141" t="s">
        <v>3</v>
      </c>
      <c r="E28" s="141" t="s">
        <v>2</v>
      </c>
      <c r="F28" s="141" t="s">
        <v>282</v>
      </c>
      <c r="G28" s="115">
        <v>47.58</v>
      </c>
      <c r="H28" s="116"/>
      <c r="I28" s="142" t="str">
        <f t="shared" si="0"/>
        <v>Monatslohn fehlt</v>
      </c>
      <c r="J28" s="162" t="str">
        <f t="shared" si="1"/>
        <v/>
      </c>
    </row>
    <row r="29" spans="1:10" ht="24" customHeight="1">
      <c r="A29" s="156" t="s">
        <v>469</v>
      </c>
      <c r="B29" s="140">
        <v>46143</v>
      </c>
      <c r="C29" s="140">
        <v>46507</v>
      </c>
      <c r="D29" s="141" t="s">
        <v>3</v>
      </c>
      <c r="E29" s="141" t="s">
        <v>2</v>
      </c>
      <c r="F29" s="141" t="s">
        <v>282</v>
      </c>
      <c r="G29" s="115">
        <v>43.25</v>
      </c>
      <c r="H29" s="116"/>
      <c r="I29" s="142" t="str">
        <f t="shared" si="0"/>
        <v>Monatslohn fehlt</v>
      </c>
      <c r="J29" s="162" t="str">
        <f t="shared" si="1"/>
        <v/>
      </c>
    </row>
    <row r="30" spans="1:10" ht="24" customHeight="1">
      <c r="A30" s="156" t="s">
        <v>469</v>
      </c>
      <c r="B30" s="140">
        <v>46143</v>
      </c>
      <c r="C30" s="140">
        <v>46507</v>
      </c>
      <c r="D30" s="141" t="s">
        <v>3</v>
      </c>
      <c r="E30" s="141" t="s">
        <v>2</v>
      </c>
      <c r="F30" s="141" t="s">
        <v>282</v>
      </c>
      <c r="G30" s="115">
        <v>34.6</v>
      </c>
      <c r="H30" s="116"/>
      <c r="I30" s="142" t="str">
        <f t="shared" si="0"/>
        <v>Monatslohn fehlt</v>
      </c>
      <c r="J30" s="162" t="str">
        <f t="shared" si="1"/>
        <v/>
      </c>
    </row>
    <row r="31" spans="1:10" ht="24" customHeight="1" thickBot="1">
      <c r="A31" s="156" t="s">
        <v>469</v>
      </c>
      <c r="B31" s="140">
        <v>46143</v>
      </c>
      <c r="C31" s="140">
        <v>46507</v>
      </c>
      <c r="D31" s="141" t="s">
        <v>3</v>
      </c>
      <c r="E31" s="141" t="s">
        <v>2</v>
      </c>
      <c r="F31" s="141" t="s">
        <v>282</v>
      </c>
      <c r="G31" s="115">
        <v>32.01</v>
      </c>
      <c r="H31" s="116"/>
      <c r="I31" s="142" t="str">
        <f t="shared" si="0"/>
        <v>Monatslohn fehlt</v>
      </c>
      <c r="J31" s="162" t="str">
        <f t="shared" si="1"/>
        <v/>
      </c>
    </row>
    <row r="32" spans="1:10" ht="24" customHeight="1">
      <c r="A32" s="155" t="s">
        <v>469</v>
      </c>
      <c r="B32" s="137">
        <v>46143</v>
      </c>
      <c r="C32" s="137">
        <v>46507</v>
      </c>
      <c r="D32" s="138" t="s">
        <v>4</v>
      </c>
      <c r="E32" s="138" t="s">
        <v>2</v>
      </c>
      <c r="F32" s="138" t="s">
        <v>283</v>
      </c>
      <c r="G32" s="113">
        <v>173</v>
      </c>
      <c r="H32" s="114"/>
      <c r="I32" s="139" t="str">
        <f t="shared" si="0"/>
        <v>Monatslohn fehlt</v>
      </c>
      <c r="J32" s="161" t="str">
        <f t="shared" si="1"/>
        <v/>
      </c>
    </row>
    <row r="33" spans="1:10" ht="24" customHeight="1">
      <c r="A33" s="156" t="s">
        <v>469</v>
      </c>
      <c r="B33" s="140">
        <v>46143</v>
      </c>
      <c r="C33" s="140">
        <v>46507</v>
      </c>
      <c r="D33" s="141" t="s">
        <v>4</v>
      </c>
      <c r="E33" s="141" t="s">
        <v>2</v>
      </c>
      <c r="F33" s="141" t="s">
        <v>283</v>
      </c>
      <c r="G33" s="115">
        <v>151.38</v>
      </c>
      <c r="H33" s="116"/>
      <c r="I33" s="142" t="str">
        <f t="shared" si="0"/>
        <v>Monatslohn fehlt</v>
      </c>
      <c r="J33" s="162" t="str">
        <f t="shared" si="1"/>
        <v/>
      </c>
    </row>
    <row r="34" spans="1:10" ht="24" customHeight="1">
      <c r="A34" s="156" t="s">
        <v>469</v>
      </c>
      <c r="B34" s="140">
        <v>46143</v>
      </c>
      <c r="C34" s="140">
        <v>46507</v>
      </c>
      <c r="D34" s="141" t="s">
        <v>4</v>
      </c>
      <c r="E34" s="141" t="s">
        <v>2</v>
      </c>
      <c r="F34" s="141" t="s">
        <v>283</v>
      </c>
      <c r="G34" s="115">
        <v>138.4</v>
      </c>
      <c r="H34" s="116"/>
      <c r="I34" s="142" t="str">
        <f t="shared" si="0"/>
        <v>Monatslohn fehlt</v>
      </c>
      <c r="J34" s="162" t="str">
        <f t="shared" si="1"/>
        <v/>
      </c>
    </row>
    <row r="35" spans="1:10" ht="24" customHeight="1">
      <c r="A35" s="156" t="s">
        <v>469</v>
      </c>
      <c r="B35" s="140">
        <v>46143</v>
      </c>
      <c r="C35" s="140">
        <v>46507</v>
      </c>
      <c r="D35" s="141" t="s">
        <v>4</v>
      </c>
      <c r="E35" s="141" t="s">
        <v>2</v>
      </c>
      <c r="F35" s="141" t="s">
        <v>283</v>
      </c>
      <c r="G35" s="115">
        <v>129.75</v>
      </c>
      <c r="H35" s="116"/>
      <c r="I35" s="142" t="str">
        <f t="shared" si="0"/>
        <v>Monatslohn fehlt</v>
      </c>
      <c r="J35" s="162" t="str">
        <f t="shared" si="1"/>
        <v/>
      </c>
    </row>
    <row r="36" spans="1:10" ht="24" customHeight="1">
      <c r="A36" s="156" t="s">
        <v>469</v>
      </c>
      <c r="B36" s="140">
        <v>46143</v>
      </c>
      <c r="C36" s="140">
        <v>46507</v>
      </c>
      <c r="D36" s="141" t="s">
        <v>4</v>
      </c>
      <c r="E36" s="141" t="s">
        <v>2</v>
      </c>
      <c r="F36" s="141" t="s">
        <v>283</v>
      </c>
      <c r="G36" s="115">
        <v>108.13</v>
      </c>
      <c r="H36" s="116"/>
      <c r="I36" s="142" t="str">
        <f t="shared" si="0"/>
        <v>Monatslohn fehlt</v>
      </c>
      <c r="J36" s="162" t="str">
        <f t="shared" si="1"/>
        <v/>
      </c>
    </row>
    <row r="37" spans="1:10" ht="24" customHeight="1">
      <c r="A37" s="156" t="s">
        <v>469</v>
      </c>
      <c r="B37" s="140">
        <v>46143</v>
      </c>
      <c r="C37" s="140">
        <v>46507</v>
      </c>
      <c r="D37" s="141" t="s">
        <v>4</v>
      </c>
      <c r="E37" s="141" t="s">
        <v>2</v>
      </c>
      <c r="F37" s="141" t="s">
        <v>283</v>
      </c>
      <c r="G37" s="115">
        <v>103.8</v>
      </c>
      <c r="H37" s="116"/>
      <c r="I37" s="142" t="str">
        <f t="shared" ref="I37:I68" si="2">IF($A37="","",IF(OR($B37="",$C37="",$D37="",$E37="",$F37=""),"Stammdaten fehlen",IF(AND($G37="",$H37=""),"Werte fehlen",IF($G37="","Monatsstunden fehlen",IF($H37="","Monatslohn fehlt","OK")))))</f>
        <v>Monatslohn fehlt</v>
      </c>
      <c r="J37" s="162" t="str">
        <f t="shared" ref="J37:J68" si="3">IF($G37="","",IF(COUNTIFS($A:$A,$A37,$D:$D,$D37,$G:$G,$G37)&gt;1,"Doppelte Monatsstunden",""))</f>
        <v/>
      </c>
    </row>
    <row r="38" spans="1:10" ht="24" customHeight="1">
      <c r="A38" s="156" t="s">
        <v>469</v>
      </c>
      <c r="B38" s="140">
        <v>46143</v>
      </c>
      <c r="C38" s="140">
        <v>46507</v>
      </c>
      <c r="D38" s="141" t="s">
        <v>4</v>
      </c>
      <c r="E38" s="141" t="s">
        <v>2</v>
      </c>
      <c r="F38" s="141" t="s">
        <v>283</v>
      </c>
      <c r="G38" s="115">
        <v>86.5</v>
      </c>
      <c r="H38" s="116"/>
      <c r="I38" s="142" t="str">
        <f t="shared" si="2"/>
        <v>Monatslohn fehlt</v>
      </c>
      <c r="J38" s="162" t="str">
        <f t="shared" si="3"/>
        <v/>
      </c>
    </row>
    <row r="39" spans="1:10" ht="24" customHeight="1">
      <c r="A39" s="156" t="s">
        <v>469</v>
      </c>
      <c r="B39" s="140">
        <v>46143</v>
      </c>
      <c r="C39" s="140">
        <v>46507</v>
      </c>
      <c r="D39" s="141" t="s">
        <v>4</v>
      </c>
      <c r="E39" s="141" t="s">
        <v>2</v>
      </c>
      <c r="F39" s="141" t="s">
        <v>283</v>
      </c>
      <c r="G39" s="115">
        <v>69.2</v>
      </c>
      <c r="H39" s="116"/>
      <c r="I39" s="142" t="str">
        <f t="shared" si="2"/>
        <v>Monatslohn fehlt</v>
      </c>
      <c r="J39" s="162" t="str">
        <f t="shared" si="3"/>
        <v/>
      </c>
    </row>
    <row r="40" spans="1:10" ht="24" customHeight="1">
      <c r="A40" s="156" t="s">
        <v>469</v>
      </c>
      <c r="B40" s="140">
        <v>46143</v>
      </c>
      <c r="C40" s="140">
        <v>46507</v>
      </c>
      <c r="D40" s="141" t="s">
        <v>4</v>
      </c>
      <c r="E40" s="141" t="s">
        <v>2</v>
      </c>
      <c r="F40" s="141" t="s">
        <v>283</v>
      </c>
      <c r="G40" s="115">
        <v>51.9</v>
      </c>
      <c r="H40" s="116"/>
      <c r="I40" s="142" t="str">
        <f t="shared" si="2"/>
        <v>Monatslohn fehlt</v>
      </c>
      <c r="J40" s="162" t="str">
        <f t="shared" si="3"/>
        <v/>
      </c>
    </row>
    <row r="41" spans="1:10" ht="24" customHeight="1">
      <c r="A41" s="156" t="s">
        <v>469</v>
      </c>
      <c r="B41" s="140">
        <v>46143</v>
      </c>
      <c r="C41" s="140">
        <v>46507</v>
      </c>
      <c r="D41" s="141" t="s">
        <v>4</v>
      </c>
      <c r="E41" s="141" t="s">
        <v>2</v>
      </c>
      <c r="F41" s="141" t="s">
        <v>283</v>
      </c>
      <c r="G41" s="115">
        <v>47.58</v>
      </c>
      <c r="H41" s="116"/>
      <c r="I41" s="142" t="str">
        <f t="shared" si="2"/>
        <v>Monatslohn fehlt</v>
      </c>
      <c r="J41" s="162" t="str">
        <f t="shared" si="3"/>
        <v/>
      </c>
    </row>
    <row r="42" spans="1:10" ht="24" customHeight="1">
      <c r="A42" s="156" t="s">
        <v>469</v>
      </c>
      <c r="B42" s="140">
        <v>46143</v>
      </c>
      <c r="C42" s="140">
        <v>46507</v>
      </c>
      <c r="D42" s="141" t="s">
        <v>4</v>
      </c>
      <c r="E42" s="141" t="s">
        <v>2</v>
      </c>
      <c r="F42" s="141" t="s">
        <v>283</v>
      </c>
      <c r="G42" s="115">
        <v>43.25</v>
      </c>
      <c r="H42" s="116"/>
      <c r="I42" s="142" t="str">
        <f t="shared" si="2"/>
        <v>Monatslohn fehlt</v>
      </c>
      <c r="J42" s="162" t="str">
        <f t="shared" si="3"/>
        <v/>
      </c>
    </row>
    <row r="43" spans="1:10" ht="24" customHeight="1">
      <c r="A43" s="156" t="s">
        <v>469</v>
      </c>
      <c r="B43" s="140">
        <v>46143</v>
      </c>
      <c r="C43" s="140">
        <v>46507</v>
      </c>
      <c r="D43" s="141" t="s">
        <v>4</v>
      </c>
      <c r="E43" s="141" t="s">
        <v>2</v>
      </c>
      <c r="F43" s="141" t="s">
        <v>283</v>
      </c>
      <c r="G43" s="115">
        <v>34.6</v>
      </c>
      <c r="H43" s="116"/>
      <c r="I43" s="142" t="str">
        <f t="shared" si="2"/>
        <v>Monatslohn fehlt</v>
      </c>
      <c r="J43" s="162" t="str">
        <f t="shared" si="3"/>
        <v/>
      </c>
    </row>
    <row r="44" spans="1:10" ht="24" customHeight="1" thickBot="1">
      <c r="A44" s="156" t="s">
        <v>469</v>
      </c>
      <c r="B44" s="140">
        <v>46143</v>
      </c>
      <c r="C44" s="140">
        <v>46507</v>
      </c>
      <c r="D44" s="141" t="s">
        <v>4</v>
      </c>
      <c r="E44" s="141" t="s">
        <v>2</v>
      </c>
      <c r="F44" s="141" t="s">
        <v>283</v>
      </c>
      <c r="G44" s="115">
        <v>32.01</v>
      </c>
      <c r="H44" s="116"/>
      <c r="I44" s="142" t="str">
        <f t="shared" si="2"/>
        <v>Monatslohn fehlt</v>
      </c>
      <c r="J44" s="162" t="str">
        <f t="shared" si="3"/>
        <v/>
      </c>
    </row>
    <row r="45" spans="1:10" ht="24" customHeight="1">
      <c r="A45" s="155" t="s">
        <v>469</v>
      </c>
      <c r="B45" s="137">
        <v>46143</v>
      </c>
      <c r="C45" s="137">
        <v>46507</v>
      </c>
      <c r="D45" s="138" t="s">
        <v>5</v>
      </c>
      <c r="E45" s="138" t="s">
        <v>2</v>
      </c>
      <c r="F45" s="138" t="s">
        <v>284</v>
      </c>
      <c r="G45" s="113">
        <v>173</v>
      </c>
      <c r="H45" s="114"/>
      <c r="I45" s="139" t="str">
        <f t="shared" si="2"/>
        <v>Monatslohn fehlt</v>
      </c>
      <c r="J45" s="161" t="str">
        <f t="shared" si="3"/>
        <v/>
      </c>
    </row>
    <row r="46" spans="1:10" ht="24" customHeight="1">
      <c r="A46" s="156" t="s">
        <v>469</v>
      </c>
      <c r="B46" s="140">
        <v>46143</v>
      </c>
      <c r="C46" s="140">
        <v>46507</v>
      </c>
      <c r="D46" s="141" t="s">
        <v>5</v>
      </c>
      <c r="E46" s="141" t="s">
        <v>2</v>
      </c>
      <c r="F46" s="141" t="s">
        <v>284</v>
      </c>
      <c r="G46" s="115">
        <v>151.38</v>
      </c>
      <c r="H46" s="116"/>
      <c r="I46" s="142" t="str">
        <f t="shared" si="2"/>
        <v>Monatslohn fehlt</v>
      </c>
      <c r="J46" s="162" t="str">
        <f t="shared" si="3"/>
        <v/>
      </c>
    </row>
    <row r="47" spans="1:10" ht="24" customHeight="1">
      <c r="A47" s="156" t="s">
        <v>469</v>
      </c>
      <c r="B47" s="140">
        <v>46143</v>
      </c>
      <c r="C47" s="140">
        <v>46507</v>
      </c>
      <c r="D47" s="141" t="s">
        <v>5</v>
      </c>
      <c r="E47" s="141" t="s">
        <v>2</v>
      </c>
      <c r="F47" s="141" t="s">
        <v>284</v>
      </c>
      <c r="G47" s="115">
        <v>138.4</v>
      </c>
      <c r="H47" s="116"/>
      <c r="I47" s="142" t="str">
        <f t="shared" si="2"/>
        <v>Monatslohn fehlt</v>
      </c>
      <c r="J47" s="162" t="str">
        <f t="shared" si="3"/>
        <v/>
      </c>
    </row>
    <row r="48" spans="1:10" ht="24" customHeight="1">
      <c r="A48" s="156" t="s">
        <v>469</v>
      </c>
      <c r="B48" s="140">
        <v>46143</v>
      </c>
      <c r="C48" s="140">
        <v>46507</v>
      </c>
      <c r="D48" s="141" t="s">
        <v>5</v>
      </c>
      <c r="E48" s="141" t="s">
        <v>2</v>
      </c>
      <c r="F48" s="141" t="s">
        <v>284</v>
      </c>
      <c r="G48" s="115">
        <v>129.75</v>
      </c>
      <c r="H48" s="116"/>
      <c r="I48" s="142" t="str">
        <f t="shared" si="2"/>
        <v>Monatslohn fehlt</v>
      </c>
      <c r="J48" s="162" t="str">
        <f t="shared" si="3"/>
        <v/>
      </c>
    </row>
    <row r="49" spans="1:10" ht="24" customHeight="1">
      <c r="A49" s="156" t="s">
        <v>469</v>
      </c>
      <c r="B49" s="140">
        <v>46143</v>
      </c>
      <c r="C49" s="140">
        <v>46507</v>
      </c>
      <c r="D49" s="141" t="s">
        <v>5</v>
      </c>
      <c r="E49" s="141" t="s">
        <v>2</v>
      </c>
      <c r="F49" s="141" t="s">
        <v>284</v>
      </c>
      <c r="G49" s="115">
        <v>108.13</v>
      </c>
      <c r="H49" s="116"/>
      <c r="I49" s="142" t="str">
        <f t="shared" si="2"/>
        <v>Monatslohn fehlt</v>
      </c>
      <c r="J49" s="162" t="str">
        <f t="shared" si="3"/>
        <v/>
      </c>
    </row>
    <row r="50" spans="1:10" ht="24" customHeight="1">
      <c r="A50" s="156" t="s">
        <v>469</v>
      </c>
      <c r="B50" s="140">
        <v>46143</v>
      </c>
      <c r="C50" s="140">
        <v>46507</v>
      </c>
      <c r="D50" s="141" t="s">
        <v>5</v>
      </c>
      <c r="E50" s="141" t="s">
        <v>2</v>
      </c>
      <c r="F50" s="141" t="s">
        <v>284</v>
      </c>
      <c r="G50" s="115">
        <v>103.8</v>
      </c>
      <c r="H50" s="116"/>
      <c r="I50" s="142" t="str">
        <f t="shared" si="2"/>
        <v>Monatslohn fehlt</v>
      </c>
      <c r="J50" s="162" t="str">
        <f t="shared" si="3"/>
        <v/>
      </c>
    </row>
    <row r="51" spans="1:10" ht="24" customHeight="1">
      <c r="A51" s="156" t="s">
        <v>469</v>
      </c>
      <c r="B51" s="140">
        <v>46143</v>
      </c>
      <c r="C51" s="140">
        <v>46507</v>
      </c>
      <c r="D51" s="141" t="s">
        <v>5</v>
      </c>
      <c r="E51" s="141" t="s">
        <v>2</v>
      </c>
      <c r="F51" s="141" t="s">
        <v>284</v>
      </c>
      <c r="G51" s="115">
        <v>86.5</v>
      </c>
      <c r="H51" s="116"/>
      <c r="I51" s="142" t="str">
        <f t="shared" si="2"/>
        <v>Monatslohn fehlt</v>
      </c>
      <c r="J51" s="162" t="str">
        <f t="shared" si="3"/>
        <v/>
      </c>
    </row>
    <row r="52" spans="1:10" ht="24" customHeight="1">
      <c r="A52" s="156" t="s">
        <v>469</v>
      </c>
      <c r="B52" s="140">
        <v>46143</v>
      </c>
      <c r="C52" s="140">
        <v>46507</v>
      </c>
      <c r="D52" s="141" t="s">
        <v>5</v>
      </c>
      <c r="E52" s="141" t="s">
        <v>2</v>
      </c>
      <c r="F52" s="141" t="s">
        <v>284</v>
      </c>
      <c r="G52" s="115">
        <v>69.2</v>
      </c>
      <c r="H52" s="116"/>
      <c r="I52" s="142" t="str">
        <f t="shared" si="2"/>
        <v>Monatslohn fehlt</v>
      </c>
      <c r="J52" s="162" t="str">
        <f t="shared" si="3"/>
        <v/>
      </c>
    </row>
    <row r="53" spans="1:10" ht="24" customHeight="1">
      <c r="A53" s="156" t="s">
        <v>469</v>
      </c>
      <c r="B53" s="140">
        <v>46143</v>
      </c>
      <c r="C53" s="140">
        <v>46507</v>
      </c>
      <c r="D53" s="141" t="s">
        <v>5</v>
      </c>
      <c r="E53" s="141" t="s">
        <v>2</v>
      </c>
      <c r="F53" s="141" t="s">
        <v>284</v>
      </c>
      <c r="G53" s="115">
        <v>51.9</v>
      </c>
      <c r="H53" s="116"/>
      <c r="I53" s="142" t="str">
        <f t="shared" si="2"/>
        <v>Monatslohn fehlt</v>
      </c>
      <c r="J53" s="162" t="str">
        <f t="shared" si="3"/>
        <v/>
      </c>
    </row>
    <row r="54" spans="1:10" ht="24" customHeight="1">
      <c r="A54" s="156" t="s">
        <v>469</v>
      </c>
      <c r="B54" s="140">
        <v>46143</v>
      </c>
      <c r="C54" s="140">
        <v>46507</v>
      </c>
      <c r="D54" s="141" t="s">
        <v>5</v>
      </c>
      <c r="E54" s="141" t="s">
        <v>2</v>
      </c>
      <c r="F54" s="141" t="s">
        <v>284</v>
      </c>
      <c r="G54" s="115">
        <v>47.58</v>
      </c>
      <c r="H54" s="116"/>
      <c r="I54" s="142" t="str">
        <f t="shared" si="2"/>
        <v>Monatslohn fehlt</v>
      </c>
      <c r="J54" s="162" t="str">
        <f t="shared" si="3"/>
        <v/>
      </c>
    </row>
    <row r="55" spans="1:10" ht="24" customHeight="1">
      <c r="A55" s="156" t="s">
        <v>469</v>
      </c>
      <c r="B55" s="140">
        <v>46143</v>
      </c>
      <c r="C55" s="140">
        <v>46507</v>
      </c>
      <c r="D55" s="141" t="s">
        <v>5</v>
      </c>
      <c r="E55" s="141" t="s">
        <v>2</v>
      </c>
      <c r="F55" s="141" t="s">
        <v>284</v>
      </c>
      <c r="G55" s="115">
        <v>43.25</v>
      </c>
      <c r="H55" s="116"/>
      <c r="I55" s="142" t="str">
        <f t="shared" si="2"/>
        <v>Monatslohn fehlt</v>
      </c>
      <c r="J55" s="162" t="str">
        <f t="shared" si="3"/>
        <v/>
      </c>
    </row>
    <row r="56" spans="1:10" ht="24" customHeight="1">
      <c r="A56" s="156" t="s">
        <v>469</v>
      </c>
      <c r="B56" s="140">
        <v>46143</v>
      </c>
      <c r="C56" s="140">
        <v>46507</v>
      </c>
      <c r="D56" s="141" t="s">
        <v>5</v>
      </c>
      <c r="E56" s="141" t="s">
        <v>2</v>
      </c>
      <c r="F56" s="141" t="s">
        <v>284</v>
      </c>
      <c r="G56" s="115">
        <v>34.6</v>
      </c>
      <c r="H56" s="116"/>
      <c r="I56" s="142" t="str">
        <f t="shared" si="2"/>
        <v>Monatslohn fehlt</v>
      </c>
      <c r="J56" s="162" t="str">
        <f t="shared" si="3"/>
        <v/>
      </c>
    </row>
    <row r="57" spans="1:10" ht="24" customHeight="1" thickBot="1">
      <c r="A57" s="156" t="s">
        <v>469</v>
      </c>
      <c r="B57" s="140">
        <v>46143</v>
      </c>
      <c r="C57" s="140">
        <v>46507</v>
      </c>
      <c r="D57" s="141" t="s">
        <v>5</v>
      </c>
      <c r="E57" s="141" t="s">
        <v>2</v>
      </c>
      <c r="F57" s="141" t="s">
        <v>284</v>
      </c>
      <c r="G57" s="115">
        <v>32.01</v>
      </c>
      <c r="H57" s="116"/>
      <c r="I57" s="142" t="str">
        <f t="shared" si="2"/>
        <v>Monatslohn fehlt</v>
      </c>
      <c r="J57" s="162" t="str">
        <f t="shared" si="3"/>
        <v/>
      </c>
    </row>
    <row r="58" spans="1:10" ht="24" customHeight="1">
      <c r="A58" s="157" t="s">
        <v>469</v>
      </c>
      <c r="B58" s="143">
        <v>46143</v>
      </c>
      <c r="C58" s="143">
        <v>46507</v>
      </c>
      <c r="D58" s="144" t="s">
        <v>291</v>
      </c>
      <c r="E58" s="144" t="s">
        <v>6</v>
      </c>
      <c r="F58" s="144" t="s">
        <v>281</v>
      </c>
      <c r="G58" s="117">
        <v>173</v>
      </c>
      <c r="H58" s="118"/>
      <c r="I58" s="145" t="str">
        <f t="shared" si="2"/>
        <v>Monatslohn fehlt</v>
      </c>
      <c r="J58" s="163" t="str">
        <f t="shared" si="3"/>
        <v/>
      </c>
    </row>
    <row r="59" spans="1:10" ht="24" customHeight="1">
      <c r="A59" s="158" t="s">
        <v>469</v>
      </c>
      <c r="B59" s="146">
        <v>46143</v>
      </c>
      <c r="C59" s="146">
        <v>46507</v>
      </c>
      <c r="D59" s="147" t="s">
        <v>291</v>
      </c>
      <c r="E59" s="147" t="s">
        <v>6</v>
      </c>
      <c r="F59" s="147" t="s">
        <v>281</v>
      </c>
      <c r="G59" s="119">
        <v>151.38</v>
      </c>
      <c r="H59" s="120"/>
      <c r="I59" s="148" t="str">
        <f t="shared" si="2"/>
        <v>Monatslohn fehlt</v>
      </c>
      <c r="J59" s="164" t="str">
        <f t="shared" si="3"/>
        <v/>
      </c>
    </row>
    <row r="60" spans="1:10" ht="24" customHeight="1">
      <c r="A60" s="158" t="s">
        <v>469</v>
      </c>
      <c r="B60" s="146">
        <v>46143</v>
      </c>
      <c r="C60" s="146">
        <v>46507</v>
      </c>
      <c r="D60" s="147" t="s">
        <v>291</v>
      </c>
      <c r="E60" s="147" t="s">
        <v>6</v>
      </c>
      <c r="F60" s="147" t="s">
        <v>281</v>
      </c>
      <c r="G60" s="119">
        <v>138.4</v>
      </c>
      <c r="H60" s="120"/>
      <c r="I60" s="148" t="str">
        <f t="shared" si="2"/>
        <v>Monatslohn fehlt</v>
      </c>
      <c r="J60" s="164" t="str">
        <f t="shared" si="3"/>
        <v/>
      </c>
    </row>
    <row r="61" spans="1:10" ht="24" customHeight="1">
      <c r="A61" s="158" t="s">
        <v>469</v>
      </c>
      <c r="B61" s="146">
        <v>46143</v>
      </c>
      <c r="C61" s="146">
        <v>46507</v>
      </c>
      <c r="D61" s="147" t="s">
        <v>291</v>
      </c>
      <c r="E61" s="147" t="s">
        <v>6</v>
      </c>
      <c r="F61" s="147" t="s">
        <v>281</v>
      </c>
      <c r="G61" s="119">
        <v>129.75</v>
      </c>
      <c r="H61" s="120"/>
      <c r="I61" s="148" t="str">
        <f t="shared" si="2"/>
        <v>Monatslohn fehlt</v>
      </c>
      <c r="J61" s="164" t="str">
        <f t="shared" si="3"/>
        <v/>
      </c>
    </row>
    <row r="62" spans="1:10" ht="24" customHeight="1">
      <c r="A62" s="158" t="s">
        <v>469</v>
      </c>
      <c r="B62" s="146">
        <v>46143</v>
      </c>
      <c r="C62" s="146">
        <v>46507</v>
      </c>
      <c r="D62" s="147" t="s">
        <v>291</v>
      </c>
      <c r="E62" s="147" t="s">
        <v>6</v>
      </c>
      <c r="F62" s="147" t="s">
        <v>281</v>
      </c>
      <c r="G62" s="119">
        <v>108.13</v>
      </c>
      <c r="H62" s="120"/>
      <c r="I62" s="148" t="str">
        <f t="shared" si="2"/>
        <v>Monatslohn fehlt</v>
      </c>
      <c r="J62" s="164" t="str">
        <f t="shared" si="3"/>
        <v/>
      </c>
    </row>
    <row r="63" spans="1:10" ht="24" customHeight="1">
      <c r="A63" s="158" t="s">
        <v>469</v>
      </c>
      <c r="B63" s="146">
        <v>46143</v>
      </c>
      <c r="C63" s="146">
        <v>46507</v>
      </c>
      <c r="D63" s="147" t="s">
        <v>291</v>
      </c>
      <c r="E63" s="147" t="s">
        <v>6</v>
      </c>
      <c r="F63" s="147" t="s">
        <v>281</v>
      </c>
      <c r="G63" s="119">
        <v>103.8</v>
      </c>
      <c r="H63" s="120"/>
      <c r="I63" s="148" t="str">
        <f t="shared" si="2"/>
        <v>Monatslohn fehlt</v>
      </c>
      <c r="J63" s="164" t="str">
        <f t="shared" si="3"/>
        <v/>
      </c>
    </row>
    <row r="64" spans="1:10" ht="24" customHeight="1">
      <c r="A64" s="158" t="s">
        <v>469</v>
      </c>
      <c r="B64" s="146">
        <v>46143</v>
      </c>
      <c r="C64" s="146">
        <v>46507</v>
      </c>
      <c r="D64" s="147" t="s">
        <v>291</v>
      </c>
      <c r="E64" s="147" t="s">
        <v>6</v>
      </c>
      <c r="F64" s="147" t="s">
        <v>281</v>
      </c>
      <c r="G64" s="119">
        <v>86.5</v>
      </c>
      <c r="H64" s="120"/>
      <c r="I64" s="148" t="str">
        <f t="shared" si="2"/>
        <v>Monatslohn fehlt</v>
      </c>
      <c r="J64" s="164" t="str">
        <f t="shared" si="3"/>
        <v/>
      </c>
    </row>
    <row r="65" spans="1:10" ht="24" customHeight="1">
      <c r="A65" s="158" t="s">
        <v>469</v>
      </c>
      <c r="B65" s="146">
        <v>46143</v>
      </c>
      <c r="C65" s="146">
        <v>46507</v>
      </c>
      <c r="D65" s="147" t="s">
        <v>291</v>
      </c>
      <c r="E65" s="147" t="s">
        <v>6</v>
      </c>
      <c r="F65" s="147" t="s">
        <v>281</v>
      </c>
      <c r="G65" s="119">
        <v>69.2</v>
      </c>
      <c r="H65" s="120"/>
      <c r="I65" s="148" t="str">
        <f t="shared" si="2"/>
        <v>Monatslohn fehlt</v>
      </c>
      <c r="J65" s="164" t="str">
        <f t="shared" si="3"/>
        <v/>
      </c>
    </row>
    <row r="66" spans="1:10" ht="24" customHeight="1">
      <c r="A66" s="158" t="s">
        <v>469</v>
      </c>
      <c r="B66" s="146">
        <v>46143</v>
      </c>
      <c r="C66" s="146">
        <v>46507</v>
      </c>
      <c r="D66" s="147" t="s">
        <v>291</v>
      </c>
      <c r="E66" s="147" t="s">
        <v>6</v>
      </c>
      <c r="F66" s="147" t="s">
        <v>281</v>
      </c>
      <c r="G66" s="119">
        <v>51.9</v>
      </c>
      <c r="H66" s="120"/>
      <c r="I66" s="148" t="str">
        <f t="shared" si="2"/>
        <v>Monatslohn fehlt</v>
      </c>
      <c r="J66" s="164" t="str">
        <f t="shared" si="3"/>
        <v/>
      </c>
    </row>
    <row r="67" spans="1:10" ht="24" customHeight="1">
      <c r="A67" s="158" t="s">
        <v>469</v>
      </c>
      <c r="B67" s="146">
        <v>46143</v>
      </c>
      <c r="C67" s="146">
        <v>46507</v>
      </c>
      <c r="D67" s="147" t="s">
        <v>291</v>
      </c>
      <c r="E67" s="147" t="s">
        <v>6</v>
      </c>
      <c r="F67" s="147" t="s">
        <v>281</v>
      </c>
      <c r="G67" s="119">
        <v>47.58</v>
      </c>
      <c r="H67" s="120"/>
      <c r="I67" s="148" t="str">
        <f t="shared" si="2"/>
        <v>Monatslohn fehlt</v>
      </c>
      <c r="J67" s="164" t="str">
        <f t="shared" si="3"/>
        <v/>
      </c>
    </row>
    <row r="68" spans="1:10" ht="24" customHeight="1">
      <c r="A68" s="158" t="s">
        <v>469</v>
      </c>
      <c r="B68" s="146">
        <v>46143</v>
      </c>
      <c r="C68" s="146">
        <v>46507</v>
      </c>
      <c r="D68" s="147" t="s">
        <v>291</v>
      </c>
      <c r="E68" s="147" t="s">
        <v>6</v>
      </c>
      <c r="F68" s="147" t="s">
        <v>281</v>
      </c>
      <c r="G68" s="119">
        <v>43.25</v>
      </c>
      <c r="H68" s="120"/>
      <c r="I68" s="148" t="str">
        <f t="shared" si="2"/>
        <v>Monatslohn fehlt</v>
      </c>
      <c r="J68" s="164" t="str">
        <f t="shared" si="3"/>
        <v/>
      </c>
    </row>
    <row r="69" spans="1:10" ht="24" customHeight="1">
      <c r="A69" s="158" t="s">
        <v>469</v>
      </c>
      <c r="B69" s="146">
        <v>46143</v>
      </c>
      <c r="C69" s="146">
        <v>46507</v>
      </c>
      <c r="D69" s="147" t="s">
        <v>291</v>
      </c>
      <c r="E69" s="147" t="s">
        <v>6</v>
      </c>
      <c r="F69" s="147" t="s">
        <v>281</v>
      </c>
      <c r="G69" s="119">
        <v>34.6</v>
      </c>
      <c r="H69" s="120"/>
      <c r="I69" s="148" t="str">
        <f t="shared" ref="I69:I100" si="4">IF($A69="","",IF(OR($B69="",$C69="",$D69="",$E69="",$F69=""),"Stammdaten fehlen",IF(AND($G69="",$H69=""),"Werte fehlen",IF($G69="","Monatsstunden fehlen",IF($H69="","Monatslohn fehlt","OK")))))</f>
        <v>Monatslohn fehlt</v>
      </c>
      <c r="J69" s="164" t="str">
        <f t="shared" ref="J69:J100" si="5">IF($G69="","",IF(COUNTIFS($A:$A,$A69,$D:$D,$D69,$G:$G,$G69)&gt;1,"Doppelte Monatsstunden",""))</f>
        <v/>
      </c>
    </row>
    <row r="70" spans="1:10" ht="24" customHeight="1" thickBot="1">
      <c r="A70" s="158" t="s">
        <v>469</v>
      </c>
      <c r="B70" s="146">
        <v>46143</v>
      </c>
      <c r="C70" s="146">
        <v>46507</v>
      </c>
      <c r="D70" s="147" t="s">
        <v>291</v>
      </c>
      <c r="E70" s="147" t="s">
        <v>6</v>
      </c>
      <c r="F70" s="147" t="s">
        <v>281</v>
      </c>
      <c r="G70" s="119">
        <v>32.01</v>
      </c>
      <c r="H70" s="120"/>
      <c r="I70" s="148" t="str">
        <f t="shared" si="4"/>
        <v>Monatslohn fehlt</v>
      </c>
      <c r="J70" s="164" t="str">
        <f t="shared" si="5"/>
        <v/>
      </c>
    </row>
    <row r="71" spans="1:10" ht="24" customHeight="1">
      <c r="A71" s="157" t="s">
        <v>469</v>
      </c>
      <c r="B71" s="143">
        <v>46143</v>
      </c>
      <c r="C71" s="143">
        <v>46507</v>
      </c>
      <c r="D71" s="144" t="s">
        <v>7</v>
      </c>
      <c r="E71" s="144" t="s">
        <v>6</v>
      </c>
      <c r="F71" s="144" t="s">
        <v>282</v>
      </c>
      <c r="G71" s="117">
        <v>173</v>
      </c>
      <c r="H71" s="118"/>
      <c r="I71" s="145" t="str">
        <f t="shared" si="4"/>
        <v>Monatslohn fehlt</v>
      </c>
      <c r="J71" s="163" t="str">
        <f t="shared" si="5"/>
        <v/>
      </c>
    </row>
    <row r="72" spans="1:10" ht="24" customHeight="1">
      <c r="A72" s="158" t="s">
        <v>469</v>
      </c>
      <c r="B72" s="146">
        <v>46143</v>
      </c>
      <c r="C72" s="146">
        <v>46507</v>
      </c>
      <c r="D72" s="147" t="s">
        <v>7</v>
      </c>
      <c r="E72" s="147" t="s">
        <v>6</v>
      </c>
      <c r="F72" s="147" t="s">
        <v>282</v>
      </c>
      <c r="G72" s="119">
        <v>151.38</v>
      </c>
      <c r="H72" s="120"/>
      <c r="I72" s="148" t="str">
        <f t="shared" si="4"/>
        <v>Monatslohn fehlt</v>
      </c>
      <c r="J72" s="164" t="str">
        <f t="shared" si="5"/>
        <v/>
      </c>
    </row>
    <row r="73" spans="1:10" ht="24" customHeight="1">
      <c r="A73" s="158" t="s">
        <v>469</v>
      </c>
      <c r="B73" s="146">
        <v>46143</v>
      </c>
      <c r="C73" s="146">
        <v>46507</v>
      </c>
      <c r="D73" s="147" t="s">
        <v>7</v>
      </c>
      <c r="E73" s="147" t="s">
        <v>6</v>
      </c>
      <c r="F73" s="147" t="s">
        <v>282</v>
      </c>
      <c r="G73" s="119">
        <v>138.4</v>
      </c>
      <c r="H73" s="120"/>
      <c r="I73" s="148" t="str">
        <f t="shared" si="4"/>
        <v>Monatslohn fehlt</v>
      </c>
      <c r="J73" s="164" t="str">
        <f t="shared" si="5"/>
        <v/>
      </c>
    </row>
    <row r="74" spans="1:10" ht="24" customHeight="1">
      <c r="A74" s="158" t="s">
        <v>469</v>
      </c>
      <c r="B74" s="146">
        <v>46143</v>
      </c>
      <c r="C74" s="146">
        <v>46507</v>
      </c>
      <c r="D74" s="147" t="s">
        <v>7</v>
      </c>
      <c r="E74" s="147" t="s">
        <v>6</v>
      </c>
      <c r="F74" s="147" t="s">
        <v>282</v>
      </c>
      <c r="G74" s="119">
        <v>129.75</v>
      </c>
      <c r="H74" s="120"/>
      <c r="I74" s="148" t="str">
        <f t="shared" si="4"/>
        <v>Monatslohn fehlt</v>
      </c>
      <c r="J74" s="164" t="str">
        <f t="shared" si="5"/>
        <v/>
      </c>
    </row>
    <row r="75" spans="1:10" ht="24" customHeight="1">
      <c r="A75" s="158" t="s">
        <v>469</v>
      </c>
      <c r="B75" s="146">
        <v>46143</v>
      </c>
      <c r="C75" s="146">
        <v>46507</v>
      </c>
      <c r="D75" s="147" t="s">
        <v>7</v>
      </c>
      <c r="E75" s="147" t="s">
        <v>6</v>
      </c>
      <c r="F75" s="147" t="s">
        <v>282</v>
      </c>
      <c r="G75" s="119">
        <v>108.13</v>
      </c>
      <c r="H75" s="120"/>
      <c r="I75" s="148" t="str">
        <f t="shared" si="4"/>
        <v>Monatslohn fehlt</v>
      </c>
      <c r="J75" s="164" t="str">
        <f t="shared" si="5"/>
        <v/>
      </c>
    </row>
    <row r="76" spans="1:10" ht="24" customHeight="1">
      <c r="A76" s="158" t="s">
        <v>469</v>
      </c>
      <c r="B76" s="146">
        <v>46143</v>
      </c>
      <c r="C76" s="146">
        <v>46507</v>
      </c>
      <c r="D76" s="147" t="s">
        <v>7</v>
      </c>
      <c r="E76" s="147" t="s">
        <v>6</v>
      </c>
      <c r="F76" s="147" t="s">
        <v>282</v>
      </c>
      <c r="G76" s="119">
        <v>103.8</v>
      </c>
      <c r="H76" s="120"/>
      <c r="I76" s="148" t="str">
        <f t="shared" si="4"/>
        <v>Monatslohn fehlt</v>
      </c>
      <c r="J76" s="164" t="str">
        <f t="shared" si="5"/>
        <v/>
      </c>
    </row>
    <row r="77" spans="1:10" ht="24" customHeight="1">
      <c r="A77" s="158" t="s">
        <v>469</v>
      </c>
      <c r="B77" s="146">
        <v>46143</v>
      </c>
      <c r="C77" s="146">
        <v>46507</v>
      </c>
      <c r="D77" s="147" t="s">
        <v>7</v>
      </c>
      <c r="E77" s="147" t="s">
        <v>6</v>
      </c>
      <c r="F77" s="147" t="s">
        <v>282</v>
      </c>
      <c r="G77" s="119">
        <v>86.5</v>
      </c>
      <c r="H77" s="120"/>
      <c r="I77" s="148" t="str">
        <f t="shared" si="4"/>
        <v>Monatslohn fehlt</v>
      </c>
      <c r="J77" s="164" t="str">
        <f t="shared" si="5"/>
        <v/>
      </c>
    </row>
    <row r="78" spans="1:10" ht="24" customHeight="1">
      <c r="A78" s="158" t="s">
        <v>469</v>
      </c>
      <c r="B78" s="146">
        <v>46143</v>
      </c>
      <c r="C78" s="146">
        <v>46507</v>
      </c>
      <c r="D78" s="147" t="s">
        <v>7</v>
      </c>
      <c r="E78" s="147" t="s">
        <v>6</v>
      </c>
      <c r="F78" s="147" t="s">
        <v>282</v>
      </c>
      <c r="G78" s="119">
        <v>69.2</v>
      </c>
      <c r="H78" s="120"/>
      <c r="I78" s="148" t="str">
        <f t="shared" si="4"/>
        <v>Monatslohn fehlt</v>
      </c>
      <c r="J78" s="164" t="str">
        <f t="shared" si="5"/>
        <v/>
      </c>
    </row>
    <row r="79" spans="1:10" ht="24" customHeight="1">
      <c r="A79" s="158" t="s">
        <v>469</v>
      </c>
      <c r="B79" s="146">
        <v>46143</v>
      </c>
      <c r="C79" s="146">
        <v>46507</v>
      </c>
      <c r="D79" s="147" t="s">
        <v>7</v>
      </c>
      <c r="E79" s="147" t="s">
        <v>6</v>
      </c>
      <c r="F79" s="147" t="s">
        <v>282</v>
      </c>
      <c r="G79" s="119">
        <v>51.9</v>
      </c>
      <c r="H79" s="120"/>
      <c r="I79" s="148" t="str">
        <f t="shared" si="4"/>
        <v>Monatslohn fehlt</v>
      </c>
      <c r="J79" s="164" t="str">
        <f t="shared" si="5"/>
        <v/>
      </c>
    </row>
    <row r="80" spans="1:10" ht="24" customHeight="1">
      <c r="A80" s="158" t="s">
        <v>469</v>
      </c>
      <c r="B80" s="146">
        <v>46143</v>
      </c>
      <c r="C80" s="146">
        <v>46507</v>
      </c>
      <c r="D80" s="147" t="s">
        <v>7</v>
      </c>
      <c r="E80" s="147" t="s">
        <v>6</v>
      </c>
      <c r="F80" s="147" t="s">
        <v>282</v>
      </c>
      <c r="G80" s="119">
        <v>47.58</v>
      </c>
      <c r="H80" s="120"/>
      <c r="I80" s="148" t="str">
        <f t="shared" si="4"/>
        <v>Monatslohn fehlt</v>
      </c>
      <c r="J80" s="164" t="str">
        <f t="shared" si="5"/>
        <v/>
      </c>
    </row>
    <row r="81" spans="1:10" ht="24" customHeight="1">
      <c r="A81" s="158" t="s">
        <v>469</v>
      </c>
      <c r="B81" s="146">
        <v>46143</v>
      </c>
      <c r="C81" s="146">
        <v>46507</v>
      </c>
      <c r="D81" s="147" t="s">
        <v>7</v>
      </c>
      <c r="E81" s="147" t="s">
        <v>6</v>
      </c>
      <c r="F81" s="147" t="s">
        <v>282</v>
      </c>
      <c r="G81" s="119">
        <v>43.25</v>
      </c>
      <c r="H81" s="120"/>
      <c r="I81" s="148" t="str">
        <f t="shared" si="4"/>
        <v>Monatslohn fehlt</v>
      </c>
      <c r="J81" s="164" t="str">
        <f t="shared" si="5"/>
        <v/>
      </c>
    </row>
    <row r="82" spans="1:10" ht="24" customHeight="1">
      <c r="A82" s="158" t="s">
        <v>469</v>
      </c>
      <c r="B82" s="146">
        <v>46143</v>
      </c>
      <c r="C82" s="146">
        <v>46507</v>
      </c>
      <c r="D82" s="147" t="s">
        <v>7</v>
      </c>
      <c r="E82" s="147" t="s">
        <v>6</v>
      </c>
      <c r="F82" s="147" t="s">
        <v>282</v>
      </c>
      <c r="G82" s="119">
        <v>34.6</v>
      </c>
      <c r="H82" s="120"/>
      <c r="I82" s="148" t="str">
        <f t="shared" si="4"/>
        <v>Monatslohn fehlt</v>
      </c>
      <c r="J82" s="164" t="str">
        <f t="shared" si="5"/>
        <v/>
      </c>
    </row>
    <row r="83" spans="1:10" ht="24" customHeight="1" thickBot="1">
      <c r="A83" s="158" t="s">
        <v>469</v>
      </c>
      <c r="B83" s="146">
        <v>46143</v>
      </c>
      <c r="C83" s="146">
        <v>46507</v>
      </c>
      <c r="D83" s="147" t="s">
        <v>7</v>
      </c>
      <c r="E83" s="147" t="s">
        <v>6</v>
      </c>
      <c r="F83" s="147" t="s">
        <v>282</v>
      </c>
      <c r="G83" s="119">
        <v>32.01</v>
      </c>
      <c r="H83" s="120"/>
      <c r="I83" s="148" t="str">
        <f t="shared" si="4"/>
        <v>Monatslohn fehlt</v>
      </c>
      <c r="J83" s="164" t="str">
        <f t="shared" si="5"/>
        <v/>
      </c>
    </row>
    <row r="84" spans="1:10" ht="24" customHeight="1">
      <c r="A84" s="157" t="s">
        <v>469</v>
      </c>
      <c r="B84" s="143">
        <v>46143</v>
      </c>
      <c r="C84" s="143">
        <v>46507</v>
      </c>
      <c r="D84" s="144" t="s">
        <v>8</v>
      </c>
      <c r="E84" s="144" t="s">
        <v>6</v>
      </c>
      <c r="F84" s="144" t="s">
        <v>283</v>
      </c>
      <c r="G84" s="117">
        <v>173</v>
      </c>
      <c r="H84" s="118"/>
      <c r="I84" s="145" t="str">
        <f t="shared" si="4"/>
        <v>Monatslohn fehlt</v>
      </c>
      <c r="J84" s="163" t="str">
        <f t="shared" si="5"/>
        <v/>
      </c>
    </row>
    <row r="85" spans="1:10" ht="24" customHeight="1">
      <c r="A85" s="158" t="s">
        <v>469</v>
      </c>
      <c r="B85" s="146">
        <v>46143</v>
      </c>
      <c r="C85" s="146">
        <v>46507</v>
      </c>
      <c r="D85" s="147" t="s">
        <v>8</v>
      </c>
      <c r="E85" s="147" t="s">
        <v>6</v>
      </c>
      <c r="F85" s="147" t="s">
        <v>283</v>
      </c>
      <c r="G85" s="119">
        <v>151.38</v>
      </c>
      <c r="H85" s="120"/>
      <c r="I85" s="148" t="str">
        <f t="shared" si="4"/>
        <v>Monatslohn fehlt</v>
      </c>
      <c r="J85" s="164" t="str">
        <f t="shared" si="5"/>
        <v/>
      </c>
    </row>
    <row r="86" spans="1:10" ht="24" customHeight="1">
      <c r="A86" s="158" t="s">
        <v>469</v>
      </c>
      <c r="B86" s="146">
        <v>46143</v>
      </c>
      <c r="C86" s="146">
        <v>46507</v>
      </c>
      <c r="D86" s="147" t="s">
        <v>8</v>
      </c>
      <c r="E86" s="147" t="s">
        <v>6</v>
      </c>
      <c r="F86" s="147" t="s">
        <v>283</v>
      </c>
      <c r="G86" s="119">
        <v>138.4</v>
      </c>
      <c r="H86" s="120"/>
      <c r="I86" s="148" t="str">
        <f t="shared" si="4"/>
        <v>Monatslohn fehlt</v>
      </c>
      <c r="J86" s="164" t="str">
        <f t="shared" si="5"/>
        <v/>
      </c>
    </row>
    <row r="87" spans="1:10" ht="24" customHeight="1">
      <c r="A87" s="158" t="s">
        <v>469</v>
      </c>
      <c r="B87" s="146">
        <v>46143</v>
      </c>
      <c r="C87" s="146">
        <v>46507</v>
      </c>
      <c r="D87" s="147" t="s">
        <v>8</v>
      </c>
      <c r="E87" s="147" t="s">
        <v>6</v>
      </c>
      <c r="F87" s="147" t="s">
        <v>283</v>
      </c>
      <c r="G87" s="119">
        <v>129.75</v>
      </c>
      <c r="H87" s="120"/>
      <c r="I87" s="148" t="str">
        <f t="shared" si="4"/>
        <v>Monatslohn fehlt</v>
      </c>
      <c r="J87" s="164" t="str">
        <f t="shared" si="5"/>
        <v/>
      </c>
    </row>
    <row r="88" spans="1:10" ht="24" customHeight="1">
      <c r="A88" s="158" t="s">
        <v>469</v>
      </c>
      <c r="B88" s="146">
        <v>46143</v>
      </c>
      <c r="C88" s="146">
        <v>46507</v>
      </c>
      <c r="D88" s="147" t="s">
        <v>8</v>
      </c>
      <c r="E88" s="147" t="s">
        <v>6</v>
      </c>
      <c r="F88" s="147" t="s">
        <v>283</v>
      </c>
      <c r="G88" s="119">
        <v>108.13</v>
      </c>
      <c r="H88" s="120"/>
      <c r="I88" s="148" t="str">
        <f t="shared" si="4"/>
        <v>Monatslohn fehlt</v>
      </c>
      <c r="J88" s="164" t="str">
        <f t="shared" si="5"/>
        <v/>
      </c>
    </row>
    <row r="89" spans="1:10" ht="24" customHeight="1">
      <c r="A89" s="158" t="s">
        <v>469</v>
      </c>
      <c r="B89" s="146">
        <v>46143</v>
      </c>
      <c r="C89" s="146">
        <v>46507</v>
      </c>
      <c r="D89" s="147" t="s">
        <v>8</v>
      </c>
      <c r="E89" s="147" t="s">
        <v>6</v>
      </c>
      <c r="F89" s="147" t="s">
        <v>283</v>
      </c>
      <c r="G89" s="119">
        <v>103.8</v>
      </c>
      <c r="H89" s="120"/>
      <c r="I89" s="148" t="str">
        <f t="shared" si="4"/>
        <v>Monatslohn fehlt</v>
      </c>
      <c r="J89" s="164" t="str">
        <f t="shared" si="5"/>
        <v/>
      </c>
    </row>
    <row r="90" spans="1:10" ht="24" customHeight="1">
      <c r="A90" s="158" t="s">
        <v>469</v>
      </c>
      <c r="B90" s="146">
        <v>46143</v>
      </c>
      <c r="C90" s="146">
        <v>46507</v>
      </c>
      <c r="D90" s="147" t="s">
        <v>8</v>
      </c>
      <c r="E90" s="147" t="s">
        <v>6</v>
      </c>
      <c r="F90" s="147" t="s">
        <v>283</v>
      </c>
      <c r="G90" s="119">
        <v>86.5</v>
      </c>
      <c r="H90" s="120"/>
      <c r="I90" s="148" t="str">
        <f t="shared" si="4"/>
        <v>Monatslohn fehlt</v>
      </c>
      <c r="J90" s="164" t="str">
        <f t="shared" si="5"/>
        <v/>
      </c>
    </row>
    <row r="91" spans="1:10" ht="24" customHeight="1">
      <c r="A91" s="158" t="s">
        <v>469</v>
      </c>
      <c r="B91" s="146">
        <v>46143</v>
      </c>
      <c r="C91" s="146">
        <v>46507</v>
      </c>
      <c r="D91" s="147" t="s">
        <v>8</v>
      </c>
      <c r="E91" s="147" t="s">
        <v>6</v>
      </c>
      <c r="F91" s="147" t="s">
        <v>283</v>
      </c>
      <c r="G91" s="119">
        <v>69.2</v>
      </c>
      <c r="H91" s="120"/>
      <c r="I91" s="148" t="str">
        <f t="shared" si="4"/>
        <v>Monatslohn fehlt</v>
      </c>
      <c r="J91" s="164" t="str">
        <f t="shared" si="5"/>
        <v/>
      </c>
    </row>
    <row r="92" spans="1:10" ht="24" customHeight="1">
      <c r="A92" s="158" t="s">
        <v>469</v>
      </c>
      <c r="B92" s="146">
        <v>46143</v>
      </c>
      <c r="C92" s="146">
        <v>46507</v>
      </c>
      <c r="D92" s="147" t="s">
        <v>8</v>
      </c>
      <c r="E92" s="147" t="s">
        <v>6</v>
      </c>
      <c r="F92" s="147" t="s">
        <v>283</v>
      </c>
      <c r="G92" s="119">
        <v>51.9</v>
      </c>
      <c r="H92" s="120"/>
      <c r="I92" s="148" t="str">
        <f t="shared" si="4"/>
        <v>Monatslohn fehlt</v>
      </c>
      <c r="J92" s="164" t="str">
        <f t="shared" si="5"/>
        <v/>
      </c>
    </row>
    <row r="93" spans="1:10" ht="24" customHeight="1">
      <c r="A93" s="158" t="s">
        <v>469</v>
      </c>
      <c r="B93" s="146">
        <v>46143</v>
      </c>
      <c r="C93" s="146">
        <v>46507</v>
      </c>
      <c r="D93" s="147" t="s">
        <v>8</v>
      </c>
      <c r="E93" s="147" t="s">
        <v>6</v>
      </c>
      <c r="F93" s="147" t="s">
        <v>283</v>
      </c>
      <c r="G93" s="119">
        <v>47.58</v>
      </c>
      <c r="H93" s="120"/>
      <c r="I93" s="148" t="str">
        <f t="shared" si="4"/>
        <v>Monatslohn fehlt</v>
      </c>
      <c r="J93" s="164" t="str">
        <f t="shared" si="5"/>
        <v/>
      </c>
    </row>
    <row r="94" spans="1:10" ht="24" customHeight="1">
      <c r="A94" s="158" t="s">
        <v>469</v>
      </c>
      <c r="B94" s="146">
        <v>46143</v>
      </c>
      <c r="C94" s="146">
        <v>46507</v>
      </c>
      <c r="D94" s="147" t="s">
        <v>8</v>
      </c>
      <c r="E94" s="147" t="s">
        <v>6</v>
      </c>
      <c r="F94" s="147" t="s">
        <v>283</v>
      </c>
      <c r="G94" s="119">
        <v>43.25</v>
      </c>
      <c r="H94" s="120"/>
      <c r="I94" s="148" t="str">
        <f t="shared" si="4"/>
        <v>Monatslohn fehlt</v>
      </c>
      <c r="J94" s="164" t="str">
        <f t="shared" si="5"/>
        <v/>
      </c>
    </row>
    <row r="95" spans="1:10" ht="24" customHeight="1">
      <c r="A95" s="158" t="s">
        <v>469</v>
      </c>
      <c r="B95" s="146">
        <v>46143</v>
      </c>
      <c r="C95" s="146">
        <v>46507</v>
      </c>
      <c r="D95" s="147" t="s">
        <v>8</v>
      </c>
      <c r="E95" s="147" t="s">
        <v>6</v>
      </c>
      <c r="F95" s="147" t="s">
        <v>283</v>
      </c>
      <c r="G95" s="119">
        <v>34.6</v>
      </c>
      <c r="H95" s="120"/>
      <c r="I95" s="148" t="str">
        <f t="shared" si="4"/>
        <v>Monatslohn fehlt</v>
      </c>
      <c r="J95" s="164" t="str">
        <f t="shared" si="5"/>
        <v/>
      </c>
    </row>
    <row r="96" spans="1:10" ht="24" customHeight="1" thickBot="1">
      <c r="A96" s="158" t="s">
        <v>469</v>
      </c>
      <c r="B96" s="146">
        <v>46143</v>
      </c>
      <c r="C96" s="146">
        <v>46507</v>
      </c>
      <c r="D96" s="147" t="s">
        <v>8</v>
      </c>
      <c r="E96" s="147" t="s">
        <v>6</v>
      </c>
      <c r="F96" s="147" t="s">
        <v>283</v>
      </c>
      <c r="G96" s="119">
        <v>32.01</v>
      </c>
      <c r="H96" s="120"/>
      <c r="I96" s="148" t="str">
        <f t="shared" si="4"/>
        <v>Monatslohn fehlt</v>
      </c>
      <c r="J96" s="164" t="str">
        <f t="shared" si="5"/>
        <v/>
      </c>
    </row>
    <row r="97" spans="1:10" ht="24" customHeight="1">
      <c r="A97" s="157" t="s">
        <v>469</v>
      </c>
      <c r="B97" s="143">
        <v>46143</v>
      </c>
      <c r="C97" s="143">
        <v>46507</v>
      </c>
      <c r="D97" s="144" t="s">
        <v>9</v>
      </c>
      <c r="E97" s="144" t="s">
        <v>6</v>
      </c>
      <c r="F97" s="144" t="s">
        <v>284</v>
      </c>
      <c r="G97" s="117">
        <v>173</v>
      </c>
      <c r="H97" s="118"/>
      <c r="I97" s="145" t="str">
        <f t="shared" si="4"/>
        <v>Monatslohn fehlt</v>
      </c>
      <c r="J97" s="163" t="str">
        <f t="shared" si="5"/>
        <v/>
      </c>
    </row>
    <row r="98" spans="1:10" ht="24" customHeight="1">
      <c r="A98" s="158" t="s">
        <v>469</v>
      </c>
      <c r="B98" s="146">
        <v>46143</v>
      </c>
      <c r="C98" s="146">
        <v>46507</v>
      </c>
      <c r="D98" s="147" t="s">
        <v>9</v>
      </c>
      <c r="E98" s="147" t="s">
        <v>6</v>
      </c>
      <c r="F98" s="147" t="s">
        <v>284</v>
      </c>
      <c r="G98" s="119">
        <v>151.38</v>
      </c>
      <c r="H98" s="120"/>
      <c r="I98" s="148" t="str">
        <f t="shared" si="4"/>
        <v>Monatslohn fehlt</v>
      </c>
      <c r="J98" s="164" t="str">
        <f t="shared" si="5"/>
        <v/>
      </c>
    </row>
    <row r="99" spans="1:10" ht="24" customHeight="1">
      <c r="A99" s="158" t="s">
        <v>469</v>
      </c>
      <c r="B99" s="146">
        <v>46143</v>
      </c>
      <c r="C99" s="146">
        <v>46507</v>
      </c>
      <c r="D99" s="147" t="s">
        <v>9</v>
      </c>
      <c r="E99" s="147" t="s">
        <v>6</v>
      </c>
      <c r="F99" s="147" t="s">
        <v>284</v>
      </c>
      <c r="G99" s="119">
        <v>138.4</v>
      </c>
      <c r="H99" s="120"/>
      <c r="I99" s="148" t="str">
        <f t="shared" si="4"/>
        <v>Monatslohn fehlt</v>
      </c>
      <c r="J99" s="164" t="str">
        <f t="shared" si="5"/>
        <v/>
      </c>
    </row>
    <row r="100" spans="1:10" ht="24" customHeight="1">
      <c r="A100" s="158" t="s">
        <v>469</v>
      </c>
      <c r="B100" s="146">
        <v>46143</v>
      </c>
      <c r="C100" s="146">
        <v>46507</v>
      </c>
      <c r="D100" s="147" t="s">
        <v>9</v>
      </c>
      <c r="E100" s="147" t="s">
        <v>6</v>
      </c>
      <c r="F100" s="147" t="s">
        <v>284</v>
      </c>
      <c r="G100" s="119">
        <v>129.75</v>
      </c>
      <c r="H100" s="120"/>
      <c r="I100" s="148" t="str">
        <f t="shared" si="4"/>
        <v>Monatslohn fehlt</v>
      </c>
      <c r="J100" s="164" t="str">
        <f t="shared" si="5"/>
        <v/>
      </c>
    </row>
    <row r="101" spans="1:10" ht="24" customHeight="1">
      <c r="A101" s="158" t="s">
        <v>469</v>
      </c>
      <c r="B101" s="146">
        <v>46143</v>
      </c>
      <c r="C101" s="146">
        <v>46507</v>
      </c>
      <c r="D101" s="147" t="s">
        <v>9</v>
      </c>
      <c r="E101" s="147" t="s">
        <v>6</v>
      </c>
      <c r="F101" s="147" t="s">
        <v>284</v>
      </c>
      <c r="G101" s="119">
        <v>108.13</v>
      </c>
      <c r="H101" s="120"/>
      <c r="I101" s="148" t="str">
        <f t="shared" ref="I101:I132" si="6">IF($A101="","",IF(OR($B101="",$C101="",$D101="",$E101="",$F101=""),"Stammdaten fehlen",IF(AND($G101="",$H101=""),"Werte fehlen",IF($G101="","Monatsstunden fehlen",IF($H101="","Monatslohn fehlt","OK")))))</f>
        <v>Monatslohn fehlt</v>
      </c>
      <c r="J101" s="164" t="str">
        <f t="shared" ref="J101:J132" si="7">IF($G101="","",IF(COUNTIFS($A:$A,$A101,$D:$D,$D101,$G:$G,$G101)&gt;1,"Doppelte Monatsstunden",""))</f>
        <v/>
      </c>
    </row>
    <row r="102" spans="1:10" ht="24" customHeight="1">
      <c r="A102" s="158" t="s">
        <v>469</v>
      </c>
      <c r="B102" s="146">
        <v>46143</v>
      </c>
      <c r="C102" s="146">
        <v>46507</v>
      </c>
      <c r="D102" s="147" t="s">
        <v>9</v>
      </c>
      <c r="E102" s="147" t="s">
        <v>6</v>
      </c>
      <c r="F102" s="147" t="s">
        <v>284</v>
      </c>
      <c r="G102" s="119">
        <v>103.8</v>
      </c>
      <c r="H102" s="120"/>
      <c r="I102" s="148" t="str">
        <f t="shared" si="6"/>
        <v>Monatslohn fehlt</v>
      </c>
      <c r="J102" s="164" t="str">
        <f t="shared" si="7"/>
        <v/>
      </c>
    </row>
    <row r="103" spans="1:10" ht="24" customHeight="1">
      <c r="A103" s="158" t="s">
        <v>469</v>
      </c>
      <c r="B103" s="146">
        <v>46143</v>
      </c>
      <c r="C103" s="146">
        <v>46507</v>
      </c>
      <c r="D103" s="147" t="s">
        <v>9</v>
      </c>
      <c r="E103" s="147" t="s">
        <v>6</v>
      </c>
      <c r="F103" s="147" t="s">
        <v>284</v>
      </c>
      <c r="G103" s="119">
        <v>86.5</v>
      </c>
      <c r="H103" s="120"/>
      <c r="I103" s="148" t="str">
        <f t="shared" si="6"/>
        <v>Monatslohn fehlt</v>
      </c>
      <c r="J103" s="164" t="str">
        <f t="shared" si="7"/>
        <v/>
      </c>
    </row>
    <row r="104" spans="1:10" ht="24" customHeight="1">
      <c r="A104" s="158" t="s">
        <v>469</v>
      </c>
      <c r="B104" s="146">
        <v>46143</v>
      </c>
      <c r="C104" s="146">
        <v>46507</v>
      </c>
      <c r="D104" s="147" t="s">
        <v>9</v>
      </c>
      <c r="E104" s="147" t="s">
        <v>6</v>
      </c>
      <c r="F104" s="147" t="s">
        <v>284</v>
      </c>
      <c r="G104" s="119">
        <v>69.2</v>
      </c>
      <c r="H104" s="120"/>
      <c r="I104" s="148" t="str">
        <f t="shared" si="6"/>
        <v>Monatslohn fehlt</v>
      </c>
      <c r="J104" s="164" t="str">
        <f t="shared" si="7"/>
        <v/>
      </c>
    </row>
    <row r="105" spans="1:10" ht="24" customHeight="1">
      <c r="A105" s="158" t="s">
        <v>469</v>
      </c>
      <c r="B105" s="146">
        <v>46143</v>
      </c>
      <c r="C105" s="146">
        <v>46507</v>
      </c>
      <c r="D105" s="147" t="s">
        <v>9</v>
      </c>
      <c r="E105" s="147" t="s">
        <v>6</v>
      </c>
      <c r="F105" s="147" t="s">
        <v>284</v>
      </c>
      <c r="G105" s="119">
        <v>51.9</v>
      </c>
      <c r="H105" s="120"/>
      <c r="I105" s="148" t="str">
        <f t="shared" si="6"/>
        <v>Monatslohn fehlt</v>
      </c>
      <c r="J105" s="164" t="str">
        <f t="shared" si="7"/>
        <v/>
      </c>
    </row>
    <row r="106" spans="1:10" ht="24" customHeight="1">
      <c r="A106" s="158" t="s">
        <v>469</v>
      </c>
      <c r="B106" s="146">
        <v>46143</v>
      </c>
      <c r="C106" s="146">
        <v>46507</v>
      </c>
      <c r="D106" s="147" t="s">
        <v>9</v>
      </c>
      <c r="E106" s="147" t="s">
        <v>6</v>
      </c>
      <c r="F106" s="147" t="s">
        <v>284</v>
      </c>
      <c r="G106" s="119">
        <v>47.58</v>
      </c>
      <c r="H106" s="120"/>
      <c r="I106" s="148" t="str">
        <f t="shared" si="6"/>
        <v>Monatslohn fehlt</v>
      </c>
      <c r="J106" s="164" t="str">
        <f t="shared" si="7"/>
        <v/>
      </c>
    </row>
    <row r="107" spans="1:10" ht="24" customHeight="1">
      <c r="A107" s="158" t="s">
        <v>469</v>
      </c>
      <c r="B107" s="146">
        <v>46143</v>
      </c>
      <c r="C107" s="146">
        <v>46507</v>
      </c>
      <c r="D107" s="147" t="s">
        <v>9</v>
      </c>
      <c r="E107" s="147" t="s">
        <v>6</v>
      </c>
      <c r="F107" s="147" t="s">
        <v>284</v>
      </c>
      <c r="G107" s="119">
        <v>43.25</v>
      </c>
      <c r="H107" s="120"/>
      <c r="I107" s="148" t="str">
        <f t="shared" si="6"/>
        <v>Monatslohn fehlt</v>
      </c>
      <c r="J107" s="164" t="str">
        <f t="shared" si="7"/>
        <v/>
      </c>
    </row>
    <row r="108" spans="1:10" ht="24" customHeight="1">
      <c r="A108" s="158" t="s">
        <v>469</v>
      </c>
      <c r="B108" s="146">
        <v>46143</v>
      </c>
      <c r="C108" s="146">
        <v>46507</v>
      </c>
      <c r="D108" s="147" t="s">
        <v>9</v>
      </c>
      <c r="E108" s="147" t="s">
        <v>6</v>
      </c>
      <c r="F108" s="147" t="s">
        <v>284</v>
      </c>
      <c r="G108" s="119">
        <v>34.6</v>
      </c>
      <c r="H108" s="120"/>
      <c r="I108" s="148" t="str">
        <f t="shared" si="6"/>
        <v>Monatslohn fehlt</v>
      </c>
      <c r="J108" s="164" t="str">
        <f t="shared" si="7"/>
        <v/>
      </c>
    </row>
    <row r="109" spans="1:10" ht="24" customHeight="1" thickBot="1">
      <c r="A109" s="158" t="s">
        <v>469</v>
      </c>
      <c r="B109" s="146">
        <v>46143</v>
      </c>
      <c r="C109" s="146">
        <v>46507</v>
      </c>
      <c r="D109" s="147" t="s">
        <v>9</v>
      </c>
      <c r="E109" s="147" t="s">
        <v>6</v>
      </c>
      <c r="F109" s="147" t="s">
        <v>284</v>
      </c>
      <c r="G109" s="119">
        <v>32.01</v>
      </c>
      <c r="H109" s="120"/>
      <c r="I109" s="148" t="str">
        <f t="shared" si="6"/>
        <v>Monatslohn fehlt</v>
      </c>
      <c r="J109" s="164" t="str">
        <f t="shared" si="7"/>
        <v/>
      </c>
    </row>
    <row r="110" spans="1:10" ht="24" customHeight="1">
      <c r="A110" s="159" t="s">
        <v>469</v>
      </c>
      <c r="B110" s="149">
        <v>46143</v>
      </c>
      <c r="C110" s="149">
        <v>46507</v>
      </c>
      <c r="D110" s="150" t="s">
        <v>292</v>
      </c>
      <c r="E110" s="150" t="s">
        <v>10</v>
      </c>
      <c r="F110" s="150" t="s">
        <v>281</v>
      </c>
      <c r="G110" s="121">
        <v>173</v>
      </c>
      <c r="H110" s="122"/>
      <c r="I110" s="151" t="str">
        <f t="shared" si="6"/>
        <v>Monatslohn fehlt</v>
      </c>
      <c r="J110" s="165" t="str">
        <f t="shared" si="7"/>
        <v/>
      </c>
    </row>
    <row r="111" spans="1:10" ht="24" customHeight="1">
      <c r="A111" s="160" t="s">
        <v>469</v>
      </c>
      <c r="B111" s="152">
        <v>46143</v>
      </c>
      <c r="C111" s="152">
        <v>46507</v>
      </c>
      <c r="D111" s="153" t="s">
        <v>292</v>
      </c>
      <c r="E111" s="153" t="s">
        <v>10</v>
      </c>
      <c r="F111" s="153" t="s">
        <v>281</v>
      </c>
      <c r="G111" s="123">
        <v>151.38</v>
      </c>
      <c r="H111" s="124"/>
      <c r="I111" s="154" t="str">
        <f t="shared" si="6"/>
        <v>Monatslohn fehlt</v>
      </c>
      <c r="J111" s="166" t="str">
        <f t="shared" si="7"/>
        <v/>
      </c>
    </row>
    <row r="112" spans="1:10" ht="24" customHeight="1">
      <c r="A112" s="160" t="s">
        <v>469</v>
      </c>
      <c r="B112" s="152">
        <v>46143</v>
      </c>
      <c r="C112" s="152">
        <v>46507</v>
      </c>
      <c r="D112" s="153" t="s">
        <v>292</v>
      </c>
      <c r="E112" s="153" t="s">
        <v>10</v>
      </c>
      <c r="F112" s="153" t="s">
        <v>281</v>
      </c>
      <c r="G112" s="123">
        <v>138.4</v>
      </c>
      <c r="H112" s="124"/>
      <c r="I112" s="154" t="str">
        <f t="shared" si="6"/>
        <v>Monatslohn fehlt</v>
      </c>
      <c r="J112" s="166" t="str">
        <f t="shared" si="7"/>
        <v/>
      </c>
    </row>
    <row r="113" spans="1:10" ht="24" customHeight="1">
      <c r="A113" s="160" t="s">
        <v>469</v>
      </c>
      <c r="B113" s="152">
        <v>46143</v>
      </c>
      <c r="C113" s="152">
        <v>46507</v>
      </c>
      <c r="D113" s="153" t="s">
        <v>292</v>
      </c>
      <c r="E113" s="153" t="s">
        <v>10</v>
      </c>
      <c r="F113" s="153" t="s">
        <v>281</v>
      </c>
      <c r="G113" s="123">
        <v>129.75</v>
      </c>
      <c r="H113" s="124"/>
      <c r="I113" s="154" t="str">
        <f t="shared" si="6"/>
        <v>Monatslohn fehlt</v>
      </c>
      <c r="J113" s="166" t="str">
        <f t="shared" si="7"/>
        <v/>
      </c>
    </row>
    <row r="114" spans="1:10" ht="24" customHeight="1">
      <c r="A114" s="160" t="s">
        <v>469</v>
      </c>
      <c r="B114" s="152">
        <v>46143</v>
      </c>
      <c r="C114" s="152">
        <v>46507</v>
      </c>
      <c r="D114" s="153" t="s">
        <v>292</v>
      </c>
      <c r="E114" s="153" t="s">
        <v>10</v>
      </c>
      <c r="F114" s="153" t="s">
        <v>281</v>
      </c>
      <c r="G114" s="123">
        <v>108.13</v>
      </c>
      <c r="H114" s="124"/>
      <c r="I114" s="154" t="str">
        <f t="shared" si="6"/>
        <v>Monatslohn fehlt</v>
      </c>
      <c r="J114" s="166" t="str">
        <f t="shared" si="7"/>
        <v/>
      </c>
    </row>
    <row r="115" spans="1:10" ht="24" customHeight="1">
      <c r="A115" s="160" t="s">
        <v>469</v>
      </c>
      <c r="B115" s="152">
        <v>46143</v>
      </c>
      <c r="C115" s="152">
        <v>46507</v>
      </c>
      <c r="D115" s="153" t="s">
        <v>292</v>
      </c>
      <c r="E115" s="153" t="s">
        <v>10</v>
      </c>
      <c r="F115" s="153" t="s">
        <v>281</v>
      </c>
      <c r="G115" s="123">
        <v>103.8</v>
      </c>
      <c r="H115" s="124"/>
      <c r="I115" s="154" t="str">
        <f t="shared" si="6"/>
        <v>Monatslohn fehlt</v>
      </c>
      <c r="J115" s="166" t="str">
        <f t="shared" si="7"/>
        <v/>
      </c>
    </row>
    <row r="116" spans="1:10" ht="24" customHeight="1">
      <c r="A116" s="160" t="s">
        <v>469</v>
      </c>
      <c r="B116" s="152">
        <v>46143</v>
      </c>
      <c r="C116" s="152">
        <v>46507</v>
      </c>
      <c r="D116" s="153" t="s">
        <v>292</v>
      </c>
      <c r="E116" s="153" t="s">
        <v>10</v>
      </c>
      <c r="F116" s="153" t="s">
        <v>281</v>
      </c>
      <c r="G116" s="123">
        <v>86.5</v>
      </c>
      <c r="H116" s="124"/>
      <c r="I116" s="154" t="str">
        <f t="shared" si="6"/>
        <v>Monatslohn fehlt</v>
      </c>
      <c r="J116" s="166" t="str">
        <f t="shared" si="7"/>
        <v/>
      </c>
    </row>
    <row r="117" spans="1:10" ht="24" customHeight="1">
      <c r="A117" s="160" t="s">
        <v>469</v>
      </c>
      <c r="B117" s="152">
        <v>46143</v>
      </c>
      <c r="C117" s="152">
        <v>46507</v>
      </c>
      <c r="D117" s="153" t="s">
        <v>292</v>
      </c>
      <c r="E117" s="153" t="s">
        <v>10</v>
      </c>
      <c r="F117" s="153" t="s">
        <v>281</v>
      </c>
      <c r="G117" s="123">
        <v>69.2</v>
      </c>
      <c r="H117" s="124"/>
      <c r="I117" s="154" t="str">
        <f t="shared" si="6"/>
        <v>Monatslohn fehlt</v>
      </c>
      <c r="J117" s="166" t="str">
        <f t="shared" si="7"/>
        <v/>
      </c>
    </row>
    <row r="118" spans="1:10" ht="24" customHeight="1">
      <c r="A118" s="160" t="s">
        <v>469</v>
      </c>
      <c r="B118" s="152">
        <v>46143</v>
      </c>
      <c r="C118" s="152">
        <v>46507</v>
      </c>
      <c r="D118" s="153" t="s">
        <v>292</v>
      </c>
      <c r="E118" s="153" t="s">
        <v>10</v>
      </c>
      <c r="F118" s="153" t="s">
        <v>281</v>
      </c>
      <c r="G118" s="123">
        <v>51.9</v>
      </c>
      <c r="H118" s="124"/>
      <c r="I118" s="154" t="str">
        <f t="shared" si="6"/>
        <v>Monatslohn fehlt</v>
      </c>
      <c r="J118" s="166" t="str">
        <f t="shared" si="7"/>
        <v/>
      </c>
    </row>
    <row r="119" spans="1:10" ht="24" customHeight="1">
      <c r="A119" s="160" t="s">
        <v>469</v>
      </c>
      <c r="B119" s="152">
        <v>46143</v>
      </c>
      <c r="C119" s="152">
        <v>46507</v>
      </c>
      <c r="D119" s="153" t="s">
        <v>292</v>
      </c>
      <c r="E119" s="153" t="s">
        <v>10</v>
      </c>
      <c r="F119" s="153" t="s">
        <v>281</v>
      </c>
      <c r="G119" s="123">
        <v>47.58</v>
      </c>
      <c r="H119" s="124"/>
      <c r="I119" s="154" t="str">
        <f t="shared" si="6"/>
        <v>Monatslohn fehlt</v>
      </c>
      <c r="J119" s="166" t="str">
        <f t="shared" si="7"/>
        <v/>
      </c>
    </row>
    <row r="120" spans="1:10" ht="24" customHeight="1">
      <c r="A120" s="160" t="s">
        <v>469</v>
      </c>
      <c r="B120" s="152">
        <v>46143</v>
      </c>
      <c r="C120" s="152">
        <v>46507</v>
      </c>
      <c r="D120" s="153" t="s">
        <v>292</v>
      </c>
      <c r="E120" s="153" t="s">
        <v>10</v>
      </c>
      <c r="F120" s="153" t="s">
        <v>281</v>
      </c>
      <c r="G120" s="123">
        <v>43.25</v>
      </c>
      <c r="H120" s="124"/>
      <c r="I120" s="154" t="str">
        <f t="shared" si="6"/>
        <v>Monatslohn fehlt</v>
      </c>
      <c r="J120" s="166" t="str">
        <f t="shared" si="7"/>
        <v/>
      </c>
    </row>
    <row r="121" spans="1:10" ht="24" customHeight="1">
      <c r="A121" s="160" t="s">
        <v>469</v>
      </c>
      <c r="B121" s="152">
        <v>46143</v>
      </c>
      <c r="C121" s="152">
        <v>46507</v>
      </c>
      <c r="D121" s="153" t="s">
        <v>292</v>
      </c>
      <c r="E121" s="153" t="s">
        <v>10</v>
      </c>
      <c r="F121" s="153" t="s">
        <v>281</v>
      </c>
      <c r="G121" s="123">
        <v>34.6</v>
      </c>
      <c r="H121" s="124"/>
      <c r="I121" s="154" t="str">
        <f t="shared" si="6"/>
        <v>Monatslohn fehlt</v>
      </c>
      <c r="J121" s="166" t="str">
        <f t="shared" si="7"/>
        <v/>
      </c>
    </row>
    <row r="122" spans="1:10" ht="24" customHeight="1" thickBot="1">
      <c r="A122" s="160" t="s">
        <v>469</v>
      </c>
      <c r="B122" s="152">
        <v>46143</v>
      </c>
      <c r="C122" s="152">
        <v>46507</v>
      </c>
      <c r="D122" s="153" t="s">
        <v>292</v>
      </c>
      <c r="E122" s="153" t="s">
        <v>10</v>
      </c>
      <c r="F122" s="153" t="s">
        <v>281</v>
      </c>
      <c r="G122" s="123">
        <v>32.01</v>
      </c>
      <c r="H122" s="124"/>
      <c r="I122" s="154" t="str">
        <f t="shared" si="6"/>
        <v>Monatslohn fehlt</v>
      </c>
      <c r="J122" s="166" t="str">
        <f t="shared" si="7"/>
        <v/>
      </c>
    </row>
    <row r="123" spans="1:10" ht="24" customHeight="1">
      <c r="A123" s="159" t="s">
        <v>469</v>
      </c>
      <c r="B123" s="149">
        <v>46143</v>
      </c>
      <c r="C123" s="149">
        <v>46507</v>
      </c>
      <c r="D123" s="150" t="s">
        <v>11</v>
      </c>
      <c r="E123" s="150" t="s">
        <v>10</v>
      </c>
      <c r="F123" s="150" t="s">
        <v>282</v>
      </c>
      <c r="G123" s="121">
        <v>173</v>
      </c>
      <c r="H123" s="122"/>
      <c r="I123" s="151" t="str">
        <f t="shared" si="6"/>
        <v>Monatslohn fehlt</v>
      </c>
      <c r="J123" s="165" t="str">
        <f t="shared" si="7"/>
        <v/>
      </c>
    </row>
    <row r="124" spans="1:10" ht="24" customHeight="1">
      <c r="A124" s="160" t="s">
        <v>469</v>
      </c>
      <c r="B124" s="152">
        <v>46143</v>
      </c>
      <c r="C124" s="152">
        <v>46507</v>
      </c>
      <c r="D124" s="153" t="s">
        <v>11</v>
      </c>
      <c r="E124" s="153" t="s">
        <v>10</v>
      </c>
      <c r="F124" s="153" t="s">
        <v>282</v>
      </c>
      <c r="G124" s="123">
        <v>151.38</v>
      </c>
      <c r="H124" s="124"/>
      <c r="I124" s="154" t="str">
        <f t="shared" si="6"/>
        <v>Monatslohn fehlt</v>
      </c>
      <c r="J124" s="166" t="str">
        <f t="shared" si="7"/>
        <v/>
      </c>
    </row>
    <row r="125" spans="1:10" ht="24" customHeight="1">
      <c r="A125" s="160" t="s">
        <v>469</v>
      </c>
      <c r="B125" s="152">
        <v>46143</v>
      </c>
      <c r="C125" s="152">
        <v>46507</v>
      </c>
      <c r="D125" s="153" t="s">
        <v>11</v>
      </c>
      <c r="E125" s="153" t="s">
        <v>10</v>
      </c>
      <c r="F125" s="153" t="s">
        <v>282</v>
      </c>
      <c r="G125" s="123">
        <v>138.4</v>
      </c>
      <c r="H125" s="124"/>
      <c r="I125" s="154" t="str">
        <f t="shared" si="6"/>
        <v>Monatslohn fehlt</v>
      </c>
      <c r="J125" s="166" t="str">
        <f t="shared" si="7"/>
        <v/>
      </c>
    </row>
    <row r="126" spans="1:10" ht="24" customHeight="1">
      <c r="A126" s="160" t="s">
        <v>469</v>
      </c>
      <c r="B126" s="152">
        <v>46143</v>
      </c>
      <c r="C126" s="152">
        <v>46507</v>
      </c>
      <c r="D126" s="153" t="s">
        <v>11</v>
      </c>
      <c r="E126" s="153" t="s">
        <v>10</v>
      </c>
      <c r="F126" s="153" t="s">
        <v>282</v>
      </c>
      <c r="G126" s="123">
        <v>129.75</v>
      </c>
      <c r="H126" s="124"/>
      <c r="I126" s="154" t="str">
        <f t="shared" si="6"/>
        <v>Monatslohn fehlt</v>
      </c>
      <c r="J126" s="166" t="str">
        <f t="shared" si="7"/>
        <v/>
      </c>
    </row>
    <row r="127" spans="1:10" ht="24" customHeight="1">
      <c r="A127" s="160" t="s">
        <v>469</v>
      </c>
      <c r="B127" s="152">
        <v>46143</v>
      </c>
      <c r="C127" s="152">
        <v>46507</v>
      </c>
      <c r="D127" s="153" t="s">
        <v>11</v>
      </c>
      <c r="E127" s="153" t="s">
        <v>10</v>
      </c>
      <c r="F127" s="153" t="s">
        <v>282</v>
      </c>
      <c r="G127" s="123">
        <v>108.13</v>
      </c>
      <c r="H127" s="124"/>
      <c r="I127" s="154" t="str">
        <f t="shared" si="6"/>
        <v>Monatslohn fehlt</v>
      </c>
      <c r="J127" s="166" t="str">
        <f t="shared" si="7"/>
        <v/>
      </c>
    </row>
    <row r="128" spans="1:10" ht="24" customHeight="1">
      <c r="A128" s="160" t="s">
        <v>469</v>
      </c>
      <c r="B128" s="152">
        <v>46143</v>
      </c>
      <c r="C128" s="152">
        <v>46507</v>
      </c>
      <c r="D128" s="153" t="s">
        <v>11</v>
      </c>
      <c r="E128" s="153" t="s">
        <v>10</v>
      </c>
      <c r="F128" s="153" t="s">
        <v>282</v>
      </c>
      <c r="G128" s="123">
        <v>103.8</v>
      </c>
      <c r="H128" s="124"/>
      <c r="I128" s="154" t="str">
        <f t="shared" si="6"/>
        <v>Monatslohn fehlt</v>
      </c>
      <c r="J128" s="166" t="str">
        <f t="shared" si="7"/>
        <v/>
      </c>
    </row>
    <row r="129" spans="1:10" ht="24" customHeight="1">
      <c r="A129" s="160" t="s">
        <v>469</v>
      </c>
      <c r="B129" s="152">
        <v>46143</v>
      </c>
      <c r="C129" s="152">
        <v>46507</v>
      </c>
      <c r="D129" s="153" t="s">
        <v>11</v>
      </c>
      <c r="E129" s="153" t="s">
        <v>10</v>
      </c>
      <c r="F129" s="153" t="s">
        <v>282</v>
      </c>
      <c r="G129" s="123">
        <v>86.5</v>
      </c>
      <c r="H129" s="124"/>
      <c r="I129" s="154" t="str">
        <f t="shared" si="6"/>
        <v>Monatslohn fehlt</v>
      </c>
      <c r="J129" s="166" t="str">
        <f t="shared" si="7"/>
        <v/>
      </c>
    </row>
    <row r="130" spans="1:10" ht="24" customHeight="1">
      <c r="A130" s="160" t="s">
        <v>469</v>
      </c>
      <c r="B130" s="152">
        <v>46143</v>
      </c>
      <c r="C130" s="152">
        <v>46507</v>
      </c>
      <c r="D130" s="153" t="s">
        <v>11</v>
      </c>
      <c r="E130" s="153" t="s">
        <v>10</v>
      </c>
      <c r="F130" s="153" t="s">
        <v>282</v>
      </c>
      <c r="G130" s="123">
        <v>69.2</v>
      </c>
      <c r="H130" s="124"/>
      <c r="I130" s="154" t="str">
        <f t="shared" si="6"/>
        <v>Monatslohn fehlt</v>
      </c>
      <c r="J130" s="166" t="str">
        <f t="shared" si="7"/>
        <v/>
      </c>
    </row>
    <row r="131" spans="1:10" ht="24" customHeight="1">
      <c r="A131" s="160" t="s">
        <v>469</v>
      </c>
      <c r="B131" s="152">
        <v>46143</v>
      </c>
      <c r="C131" s="152">
        <v>46507</v>
      </c>
      <c r="D131" s="153" t="s">
        <v>11</v>
      </c>
      <c r="E131" s="153" t="s">
        <v>10</v>
      </c>
      <c r="F131" s="153" t="s">
        <v>282</v>
      </c>
      <c r="G131" s="123">
        <v>51.9</v>
      </c>
      <c r="H131" s="124"/>
      <c r="I131" s="154" t="str">
        <f t="shared" si="6"/>
        <v>Monatslohn fehlt</v>
      </c>
      <c r="J131" s="166" t="str">
        <f t="shared" si="7"/>
        <v/>
      </c>
    </row>
    <row r="132" spans="1:10" ht="24" customHeight="1">
      <c r="A132" s="160" t="s">
        <v>469</v>
      </c>
      <c r="B132" s="152">
        <v>46143</v>
      </c>
      <c r="C132" s="152">
        <v>46507</v>
      </c>
      <c r="D132" s="153" t="s">
        <v>11</v>
      </c>
      <c r="E132" s="153" t="s">
        <v>10</v>
      </c>
      <c r="F132" s="153" t="s">
        <v>282</v>
      </c>
      <c r="G132" s="123">
        <v>47.58</v>
      </c>
      <c r="H132" s="124"/>
      <c r="I132" s="154" t="str">
        <f t="shared" si="6"/>
        <v>Monatslohn fehlt</v>
      </c>
      <c r="J132" s="166" t="str">
        <f t="shared" si="7"/>
        <v/>
      </c>
    </row>
    <row r="133" spans="1:10" ht="24" customHeight="1">
      <c r="A133" s="160" t="s">
        <v>469</v>
      </c>
      <c r="B133" s="152">
        <v>46143</v>
      </c>
      <c r="C133" s="152">
        <v>46507</v>
      </c>
      <c r="D133" s="153" t="s">
        <v>11</v>
      </c>
      <c r="E133" s="153" t="s">
        <v>10</v>
      </c>
      <c r="F133" s="153" t="s">
        <v>282</v>
      </c>
      <c r="G133" s="123">
        <v>43.25</v>
      </c>
      <c r="H133" s="124"/>
      <c r="I133" s="154" t="str">
        <f t="shared" ref="I133:I161" si="8">IF($A133="","",IF(OR($B133="",$C133="",$D133="",$E133="",$F133=""),"Stammdaten fehlen",IF(AND($G133="",$H133=""),"Werte fehlen",IF($G133="","Monatsstunden fehlen",IF($H133="","Monatslohn fehlt","OK")))))</f>
        <v>Monatslohn fehlt</v>
      </c>
      <c r="J133" s="166" t="str">
        <f t="shared" ref="J133:J161" si="9">IF($G133="","",IF(COUNTIFS($A:$A,$A133,$D:$D,$D133,$G:$G,$G133)&gt;1,"Doppelte Monatsstunden",""))</f>
        <v/>
      </c>
    </row>
    <row r="134" spans="1:10" ht="24" customHeight="1">
      <c r="A134" s="160" t="s">
        <v>469</v>
      </c>
      <c r="B134" s="152">
        <v>46143</v>
      </c>
      <c r="C134" s="152">
        <v>46507</v>
      </c>
      <c r="D134" s="153" t="s">
        <v>11</v>
      </c>
      <c r="E134" s="153" t="s">
        <v>10</v>
      </c>
      <c r="F134" s="153" t="s">
        <v>282</v>
      </c>
      <c r="G134" s="123">
        <v>34.6</v>
      </c>
      <c r="H134" s="124"/>
      <c r="I134" s="154" t="str">
        <f t="shared" si="8"/>
        <v>Monatslohn fehlt</v>
      </c>
      <c r="J134" s="166" t="str">
        <f t="shared" si="9"/>
        <v/>
      </c>
    </row>
    <row r="135" spans="1:10" ht="24" customHeight="1" thickBot="1">
      <c r="A135" s="160" t="s">
        <v>469</v>
      </c>
      <c r="B135" s="152">
        <v>46143</v>
      </c>
      <c r="C135" s="152">
        <v>46507</v>
      </c>
      <c r="D135" s="153" t="s">
        <v>11</v>
      </c>
      <c r="E135" s="153" t="s">
        <v>10</v>
      </c>
      <c r="F135" s="153" t="s">
        <v>282</v>
      </c>
      <c r="G135" s="123">
        <v>32.01</v>
      </c>
      <c r="H135" s="124"/>
      <c r="I135" s="154" t="str">
        <f t="shared" si="8"/>
        <v>Monatslohn fehlt</v>
      </c>
      <c r="J135" s="166" t="str">
        <f t="shared" si="9"/>
        <v/>
      </c>
    </row>
    <row r="136" spans="1:10" ht="24" customHeight="1">
      <c r="A136" s="159" t="s">
        <v>469</v>
      </c>
      <c r="B136" s="149">
        <v>46143</v>
      </c>
      <c r="C136" s="149">
        <v>46507</v>
      </c>
      <c r="D136" s="150" t="s">
        <v>12</v>
      </c>
      <c r="E136" s="150" t="s">
        <v>10</v>
      </c>
      <c r="F136" s="150" t="s">
        <v>283</v>
      </c>
      <c r="G136" s="121">
        <v>173</v>
      </c>
      <c r="H136" s="122"/>
      <c r="I136" s="151" t="str">
        <f t="shared" si="8"/>
        <v>Monatslohn fehlt</v>
      </c>
      <c r="J136" s="165" t="str">
        <f t="shared" si="9"/>
        <v/>
      </c>
    </row>
    <row r="137" spans="1:10" ht="24" customHeight="1">
      <c r="A137" s="160" t="s">
        <v>469</v>
      </c>
      <c r="B137" s="152">
        <v>46143</v>
      </c>
      <c r="C137" s="152">
        <v>46507</v>
      </c>
      <c r="D137" s="153" t="s">
        <v>12</v>
      </c>
      <c r="E137" s="153" t="s">
        <v>10</v>
      </c>
      <c r="F137" s="153" t="s">
        <v>283</v>
      </c>
      <c r="G137" s="123">
        <v>151.38</v>
      </c>
      <c r="H137" s="124"/>
      <c r="I137" s="154" t="str">
        <f t="shared" si="8"/>
        <v>Monatslohn fehlt</v>
      </c>
      <c r="J137" s="166" t="str">
        <f t="shared" si="9"/>
        <v/>
      </c>
    </row>
    <row r="138" spans="1:10" ht="24" customHeight="1">
      <c r="A138" s="160" t="s">
        <v>469</v>
      </c>
      <c r="B138" s="152">
        <v>46143</v>
      </c>
      <c r="C138" s="152">
        <v>46507</v>
      </c>
      <c r="D138" s="153" t="s">
        <v>12</v>
      </c>
      <c r="E138" s="153" t="s">
        <v>10</v>
      </c>
      <c r="F138" s="153" t="s">
        <v>283</v>
      </c>
      <c r="G138" s="123">
        <v>138.4</v>
      </c>
      <c r="H138" s="124"/>
      <c r="I138" s="154" t="str">
        <f t="shared" si="8"/>
        <v>Monatslohn fehlt</v>
      </c>
      <c r="J138" s="166" t="str">
        <f t="shared" si="9"/>
        <v/>
      </c>
    </row>
    <row r="139" spans="1:10" ht="24" customHeight="1">
      <c r="A139" s="160" t="s">
        <v>469</v>
      </c>
      <c r="B139" s="152">
        <v>46143</v>
      </c>
      <c r="C139" s="152">
        <v>46507</v>
      </c>
      <c r="D139" s="153" t="s">
        <v>12</v>
      </c>
      <c r="E139" s="153" t="s">
        <v>10</v>
      </c>
      <c r="F139" s="153" t="s">
        <v>283</v>
      </c>
      <c r="G139" s="123">
        <v>129.75</v>
      </c>
      <c r="H139" s="124"/>
      <c r="I139" s="154" t="str">
        <f t="shared" si="8"/>
        <v>Monatslohn fehlt</v>
      </c>
      <c r="J139" s="166" t="str">
        <f t="shared" si="9"/>
        <v/>
      </c>
    </row>
    <row r="140" spans="1:10" ht="24" customHeight="1">
      <c r="A140" s="160" t="s">
        <v>469</v>
      </c>
      <c r="B140" s="152">
        <v>46143</v>
      </c>
      <c r="C140" s="152">
        <v>46507</v>
      </c>
      <c r="D140" s="153" t="s">
        <v>12</v>
      </c>
      <c r="E140" s="153" t="s">
        <v>10</v>
      </c>
      <c r="F140" s="153" t="s">
        <v>283</v>
      </c>
      <c r="G140" s="123">
        <v>108.13</v>
      </c>
      <c r="H140" s="124"/>
      <c r="I140" s="154" t="str">
        <f t="shared" si="8"/>
        <v>Monatslohn fehlt</v>
      </c>
      <c r="J140" s="166" t="str">
        <f t="shared" si="9"/>
        <v/>
      </c>
    </row>
    <row r="141" spans="1:10" ht="24" customHeight="1">
      <c r="A141" s="160" t="s">
        <v>469</v>
      </c>
      <c r="B141" s="152">
        <v>46143</v>
      </c>
      <c r="C141" s="152">
        <v>46507</v>
      </c>
      <c r="D141" s="153" t="s">
        <v>12</v>
      </c>
      <c r="E141" s="153" t="s">
        <v>10</v>
      </c>
      <c r="F141" s="153" t="s">
        <v>283</v>
      </c>
      <c r="G141" s="123">
        <v>103.8</v>
      </c>
      <c r="H141" s="124"/>
      <c r="I141" s="154" t="str">
        <f t="shared" si="8"/>
        <v>Monatslohn fehlt</v>
      </c>
      <c r="J141" s="166" t="str">
        <f t="shared" si="9"/>
        <v/>
      </c>
    </row>
    <row r="142" spans="1:10" ht="24" customHeight="1">
      <c r="A142" s="160" t="s">
        <v>469</v>
      </c>
      <c r="B142" s="152">
        <v>46143</v>
      </c>
      <c r="C142" s="152">
        <v>46507</v>
      </c>
      <c r="D142" s="153" t="s">
        <v>12</v>
      </c>
      <c r="E142" s="153" t="s">
        <v>10</v>
      </c>
      <c r="F142" s="153" t="s">
        <v>283</v>
      </c>
      <c r="G142" s="123">
        <v>86.5</v>
      </c>
      <c r="H142" s="124"/>
      <c r="I142" s="154" t="str">
        <f t="shared" si="8"/>
        <v>Monatslohn fehlt</v>
      </c>
      <c r="J142" s="166" t="str">
        <f t="shared" si="9"/>
        <v/>
      </c>
    </row>
    <row r="143" spans="1:10" ht="24" customHeight="1">
      <c r="A143" s="160" t="s">
        <v>469</v>
      </c>
      <c r="B143" s="152">
        <v>46143</v>
      </c>
      <c r="C143" s="152">
        <v>46507</v>
      </c>
      <c r="D143" s="153" t="s">
        <v>12</v>
      </c>
      <c r="E143" s="153" t="s">
        <v>10</v>
      </c>
      <c r="F143" s="153" t="s">
        <v>283</v>
      </c>
      <c r="G143" s="123">
        <v>69.2</v>
      </c>
      <c r="H143" s="124"/>
      <c r="I143" s="154" t="str">
        <f t="shared" si="8"/>
        <v>Monatslohn fehlt</v>
      </c>
      <c r="J143" s="166" t="str">
        <f t="shared" si="9"/>
        <v/>
      </c>
    </row>
    <row r="144" spans="1:10" ht="24" customHeight="1">
      <c r="A144" s="160" t="s">
        <v>469</v>
      </c>
      <c r="B144" s="152">
        <v>46143</v>
      </c>
      <c r="C144" s="152">
        <v>46507</v>
      </c>
      <c r="D144" s="153" t="s">
        <v>12</v>
      </c>
      <c r="E144" s="153" t="s">
        <v>10</v>
      </c>
      <c r="F144" s="153" t="s">
        <v>283</v>
      </c>
      <c r="G144" s="123">
        <v>51.9</v>
      </c>
      <c r="H144" s="124"/>
      <c r="I144" s="154" t="str">
        <f t="shared" si="8"/>
        <v>Monatslohn fehlt</v>
      </c>
      <c r="J144" s="166" t="str">
        <f t="shared" si="9"/>
        <v/>
      </c>
    </row>
    <row r="145" spans="1:10" ht="24" customHeight="1">
      <c r="A145" s="160" t="s">
        <v>469</v>
      </c>
      <c r="B145" s="152">
        <v>46143</v>
      </c>
      <c r="C145" s="152">
        <v>46507</v>
      </c>
      <c r="D145" s="153" t="s">
        <v>12</v>
      </c>
      <c r="E145" s="153" t="s">
        <v>10</v>
      </c>
      <c r="F145" s="153" t="s">
        <v>283</v>
      </c>
      <c r="G145" s="123">
        <v>47.58</v>
      </c>
      <c r="H145" s="124"/>
      <c r="I145" s="154" t="str">
        <f t="shared" si="8"/>
        <v>Monatslohn fehlt</v>
      </c>
      <c r="J145" s="166" t="str">
        <f t="shared" si="9"/>
        <v/>
      </c>
    </row>
    <row r="146" spans="1:10" ht="24" customHeight="1">
      <c r="A146" s="160" t="s">
        <v>469</v>
      </c>
      <c r="B146" s="152">
        <v>46143</v>
      </c>
      <c r="C146" s="152">
        <v>46507</v>
      </c>
      <c r="D146" s="153" t="s">
        <v>12</v>
      </c>
      <c r="E146" s="153" t="s">
        <v>10</v>
      </c>
      <c r="F146" s="153" t="s">
        <v>283</v>
      </c>
      <c r="G146" s="123">
        <v>43.25</v>
      </c>
      <c r="H146" s="124"/>
      <c r="I146" s="154" t="str">
        <f t="shared" si="8"/>
        <v>Monatslohn fehlt</v>
      </c>
      <c r="J146" s="166" t="str">
        <f t="shared" si="9"/>
        <v/>
      </c>
    </row>
    <row r="147" spans="1:10" ht="24" customHeight="1">
      <c r="A147" s="160" t="s">
        <v>469</v>
      </c>
      <c r="B147" s="152">
        <v>46143</v>
      </c>
      <c r="C147" s="152">
        <v>46507</v>
      </c>
      <c r="D147" s="153" t="s">
        <v>12</v>
      </c>
      <c r="E147" s="153" t="s">
        <v>10</v>
      </c>
      <c r="F147" s="153" t="s">
        <v>283</v>
      </c>
      <c r="G147" s="123">
        <v>34.6</v>
      </c>
      <c r="H147" s="124"/>
      <c r="I147" s="154" t="str">
        <f t="shared" si="8"/>
        <v>Monatslohn fehlt</v>
      </c>
      <c r="J147" s="166" t="str">
        <f t="shared" si="9"/>
        <v/>
      </c>
    </row>
    <row r="148" spans="1:10" ht="24" customHeight="1" thickBot="1">
      <c r="A148" s="160" t="s">
        <v>469</v>
      </c>
      <c r="B148" s="152">
        <v>46143</v>
      </c>
      <c r="C148" s="152">
        <v>46507</v>
      </c>
      <c r="D148" s="153" t="s">
        <v>12</v>
      </c>
      <c r="E148" s="153" t="s">
        <v>10</v>
      </c>
      <c r="F148" s="153" t="s">
        <v>283</v>
      </c>
      <c r="G148" s="123">
        <v>32.01</v>
      </c>
      <c r="H148" s="124"/>
      <c r="I148" s="154" t="str">
        <f t="shared" si="8"/>
        <v>Monatslohn fehlt</v>
      </c>
      <c r="J148" s="166" t="str">
        <f t="shared" si="9"/>
        <v/>
      </c>
    </row>
    <row r="149" spans="1:10" ht="24" customHeight="1">
      <c r="A149" s="159" t="s">
        <v>469</v>
      </c>
      <c r="B149" s="149">
        <v>46143</v>
      </c>
      <c r="C149" s="149">
        <v>46507</v>
      </c>
      <c r="D149" s="150" t="s">
        <v>13</v>
      </c>
      <c r="E149" s="150" t="s">
        <v>10</v>
      </c>
      <c r="F149" s="150" t="s">
        <v>284</v>
      </c>
      <c r="G149" s="121">
        <v>173</v>
      </c>
      <c r="H149" s="122"/>
      <c r="I149" s="151" t="str">
        <f t="shared" si="8"/>
        <v>Monatslohn fehlt</v>
      </c>
      <c r="J149" s="165" t="str">
        <f t="shared" si="9"/>
        <v/>
      </c>
    </row>
    <row r="150" spans="1:10" ht="24" customHeight="1">
      <c r="A150" s="160" t="s">
        <v>469</v>
      </c>
      <c r="B150" s="152">
        <v>46143</v>
      </c>
      <c r="C150" s="152">
        <v>46507</v>
      </c>
      <c r="D150" s="153" t="s">
        <v>13</v>
      </c>
      <c r="E150" s="153" t="s">
        <v>10</v>
      </c>
      <c r="F150" s="153" t="s">
        <v>284</v>
      </c>
      <c r="G150" s="123">
        <v>151.38</v>
      </c>
      <c r="H150" s="124"/>
      <c r="I150" s="154" t="str">
        <f t="shared" si="8"/>
        <v>Monatslohn fehlt</v>
      </c>
      <c r="J150" s="166" t="str">
        <f t="shared" si="9"/>
        <v/>
      </c>
    </row>
    <row r="151" spans="1:10" ht="24" customHeight="1">
      <c r="A151" s="160" t="s">
        <v>469</v>
      </c>
      <c r="B151" s="152">
        <v>46143</v>
      </c>
      <c r="C151" s="152">
        <v>46507</v>
      </c>
      <c r="D151" s="153" t="s">
        <v>13</v>
      </c>
      <c r="E151" s="153" t="s">
        <v>10</v>
      </c>
      <c r="F151" s="153" t="s">
        <v>284</v>
      </c>
      <c r="G151" s="123">
        <v>138.4</v>
      </c>
      <c r="H151" s="124"/>
      <c r="I151" s="154" t="str">
        <f t="shared" si="8"/>
        <v>Monatslohn fehlt</v>
      </c>
      <c r="J151" s="166" t="str">
        <f t="shared" si="9"/>
        <v/>
      </c>
    </row>
    <row r="152" spans="1:10" ht="24" customHeight="1">
      <c r="A152" s="160" t="s">
        <v>469</v>
      </c>
      <c r="B152" s="152">
        <v>46143</v>
      </c>
      <c r="C152" s="152">
        <v>46507</v>
      </c>
      <c r="D152" s="153" t="s">
        <v>13</v>
      </c>
      <c r="E152" s="153" t="s">
        <v>10</v>
      </c>
      <c r="F152" s="153" t="s">
        <v>284</v>
      </c>
      <c r="G152" s="123">
        <v>129.75</v>
      </c>
      <c r="H152" s="124"/>
      <c r="I152" s="154" t="str">
        <f t="shared" si="8"/>
        <v>Monatslohn fehlt</v>
      </c>
      <c r="J152" s="166" t="str">
        <f t="shared" si="9"/>
        <v/>
      </c>
    </row>
    <row r="153" spans="1:10" ht="24" customHeight="1">
      <c r="A153" s="160" t="s">
        <v>469</v>
      </c>
      <c r="B153" s="152">
        <v>46143</v>
      </c>
      <c r="C153" s="152">
        <v>46507</v>
      </c>
      <c r="D153" s="153" t="s">
        <v>13</v>
      </c>
      <c r="E153" s="153" t="s">
        <v>10</v>
      </c>
      <c r="F153" s="153" t="s">
        <v>284</v>
      </c>
      <c r="G153" s="123">
        <v>108.13</v>
      </c>
      <c r="H153" s="124"/>
      <c r="I153" s="154" t="str">
        <f t="shared" si="8"/>
        <v>Monatslohn fehlt</v>
      </c>
      <c r="J153" s="166" t="str">
        <f t="shared" si="9"/>
        <v/>
      </c>
    </row>
    <row r="154" spans="1:10" ht="24" customHeight="1">
      <c r="A154" s="160" t="s">
        <v>469</v>
      </c>
      <c r="B154" s="152">
        <v>46143</v>
      </c>
      <c r="C154" s="152">
        <v>46507</v>
      </c>
      <c r="D154" s="153" t="s">
        <v>13</v>
      </c>
      <c r="E154" s="153" t="s">
        <v>10</v>
      </c>
      <c r="F154" s="153" t="s">
        <v>284</v>
      </c>
      <c r="G154" s="123">
        <v>103.8</v>
      </c>
      <c r="H154" s="124"/>
      <c r="I154" s="154" t="str">
        <f t="shared" si="8"/>
        <v>Monatslohn fehlt</v>
      </c>
      <c r="J154" s="166" t="str">
        <f t="shared" si="9"/>
        <v/>
      </c>
    </row>
    <row r="155" spans="1:10" ht="24" customHeight="1">
      <c r="A155" s="160" t="s">
        <v>469</v>
      </c>
      <c r="B155" s="152">
        <v>46143</v>
      </c>
      <c r="C155" s="152">
        <v>46507</v>
      </c>
      <c r="D155" s="153" t="s">
        <v>13</v>
      </c>
      <c r="E155" s="153" t="s">
        <v>10</v>
      </c>
      <c r="F155" s="153" t="s">
        <v>284</v>
      </c>
      <c r="G155" s="123">
        <v>86.5</v>
      </c>
      <c r="H155" s="124"/>
      <c r="I155" s="154" t="str">
        <f t="shared" si="8"/>
        <v>Monatslohn fehlt</v>
      </c>
      <c r="J155" s="166" t="str">
        <f t="shared" si="9"/>
        <v/>
      </c>
    </row>
    <row r="156" spans="1:10" ht="24" customHeight="1">
      <c r="A156" s="160" t="s">
        <v>469</v>
      </c>
      <c r="B156" s="152">
        <v>46143</v>
      </c>
      <c r="C156" s="152">
        <v>46507</v>
      </c>
      <c r="D156" s="153" t="s">
        <v>13</v>
      </c>
      <c r="E156" s="153" t="s">
        <v>10</v>
      </c>
      <c r="F156" s="153" t="s">
        <v>284</v>
      </c>
      <c r="G156" s="123">
        <v>69.2</v>
      </c>
      <c r="H156" s="124"/>
      <c r="I156" s="154" t="str">
        <f t="shared" si="8"/>
        <v>Monatslohn fehlt</v>
      </c>
      <c r="J156" s="166" t="str">
        <f t="shared" si="9"/>
        <v/>
      </c>
    </row>
    <row r="157" spans="1:10" ht="24" customHeight="1">
      <c r="A157" s="160" t="s">
        <v>469</v>
      </c>
      <c r="B157" s="152">
        <v>46143</v>
      </c>
      <c r="C157" s="152">
        <v>46507</v>
      </c>
      <c r="D157" s="153" t="s">
        <v>13</v>
      </c>
      <c r="E157" s="153" t="s">
        <v>10</v>
      </c>
      <c r="F157" s="153" t="s">
        <v>284</v>
      </c>
      <c r="G157" s="123">
        <v>51.9</v>
      </c>
      <c r="H157" s="124"/>
      <c r="I157" s="154" t="str">
        <f t="shared" si="8"/>
        <v>Monatslohn fehlt</v>
      </c>
      <c r="J157" s="166" t="str">
        <f t="shared" si="9"/>
        <v/>
      </c>
    </row>
    <row r="158" spans="1:10" ht="24" customHeight="1">
      <c r="A158" s="160" t="s">
        <v>469</v>
      </c>
      <c r="B158" s="152">
        <v>46143</v>
      </c>
      <c r="C158" s="152">
        <v>46507</v>
      </c>
      <c r="D158" s="153" t="s">
        <v>13</v>
      </c>
      <c r="E158" s="153" t="s">
        <v>10</v>
      </c>
      <c r="F158" s="153" t="s">
        <v>284</v>
      </c>
      <c r="G158" s="123">
        <v>47.58</v>
      </c>
      <c r="H158" s="124"/>
      <c r="I158" s="154" t="str">
        <f t="shared" si="8"/>
        <v>Monatslohn fehlt</v>
      </c>
      <c r="J158" s="166" t="str">
        <f t="shared" si="9"/>
        <v/>
      </c>
    </row>
    <row r="159" spans="1:10" ht="24" customHeight="1">
      <c r="A159" s="160" t="s">
        <v>469</v>
      </c>
      <c r="B159" s="152">
        <v>46143</v>
      </c>
      <c r="C159" s="152">
        <v>46507</v>
      </c>
      <c r="D159" s="153" t="s">
        <v>13</v>
      </c>
      <c r="E159" s="153" t="s">
        <v>10</v>
      </c>
      <c r="F159" s="153" t="s">
        <v>284</v>
      </c>
      <c r="G159" s="123">
        <v>43.25</v>
      </c>
      <c r="H159" s="124"/>
      <c r="I159" s="154" t="str">
        <f t="shared" si="8"/>
        <v>Monatslohn fehlt</v>
      </c>
      <c r="J159" s="166" t="str">
        <f t="shared" si="9"/>
        <v/>
      </c>
    </row>
    <row r="160" spans="1:10" ht="24" customHeight="1">
      <c r="A160" s="160" t="s">
        <v>469</v>
      </c>
      <c r="B160" s="152">
        <v>46143</v>
      </c>
      <c r="C160" s="152">
        <v>46507</v>
      </c>
      <c r="D160" s="153" t="s">
        <v>13</v>
      </c>
      <c r="E160" s="153" t="s">
        <v>10</v>
      </c>
      <c r="F160" s="153" t="s">
        <v>284</v>
      </c>
      <c r="G160" s="123">
        <v>34.6</v>
      </c>
      <c r="H160" s="124"/>
      <c r="I160" s="154" t="str">
        <f t="shared" si="8"/>
        <v>Monatslohn fehlt</v>
      </c>
      <c r="J160" s="166" t="str">
        <f t="shared" si="9"/>
        <v/>
      </c>
    </row>
    <row r="161" spans="1:11" ht="24" customHeight="1" thickBot="1">
      <c r="A161" s="167" t="s">
        <v>469</v>
      </c>
      <c r="B161" s="168">
        <v>46143</v>
      </c>
      <c r="C161" s="168">
        <v>46507</v>
      </c>
      <c r="D161" s="169" t="s">
        <v>13</v>
      </c>
      <c r="E161" s="169" t="s">
        <v>10</v>
      </c>
      <c r="F161" s="169" t="s">
        <v>284</v>
      </c>
      <c r="G161" s="125">
        <v>32.01</v>
      </c>
      <c r="H161" s="126"/>
      <c r="I161" s="170" t="str">
        <f t="shared" si="8"/>
        <v>Monatslohn fehlt</v>
      </c>
      <c r="J161" s="171" t="str">
        <f t="shared" si="9"/>
        <v/>
      </c>
    </row>
    <row r="162" spans="1:11" ht="24" customHeight="1" thickBot="1">
      <c r="A162" s="180" t="s">
        <v>405</v>
      </c>
      <c r="B162" s="181"/>
      <c r="C162" s="181"/>
      <c r="D162" s="182"/>
      <c r="E162" s="182"/>
      <c r="F162" s="182"/>
      <c r="G162" s="183"/>
      <c r="H162" s="184"/>
      <c r="I162" s="182"/>
      <c r="J162" s="185"/>
    </row>
    <row r="163" spans="1:11" ht="24" customHeight="1">
      <c r="A163" s="155" t="s">
        <v>293</v>
      </c>
      <c r="B163" s="137">
        <v>45778</v>
      </c>
      <c r="C163" s="137">
        <v>46142</v>
      </c>
      <c r="D163" s="138" t="s">
        <v>290</v>
      </c>
      <c r="E163" s="138" t="s">
        <v>2</v>
      </c>
      <c r="F163" s="138" t="s">
        <v>281</v>
      </c>
      <c r="G163" s="113">
        <v>173</v>
      </c>
      <c r="H163" s="114">
        <v>2021</v>
      </c>
      <c r="I163" s="139" t="str">
        <f t="shared" ref="I163:I194" si="10">IF($A163="","",IF(OR($B163="",$C163="",$D163="",$E163="",$F163=""),"Stammdaten fehlen",IF(AND($G163="",$H163=""),"Werte fehlen",IF($G163="","Monatsstunden fehlen",IF($H163="","Monatslohn fehlt","OK")))))</f>
        <v>OK</v>
      </c>
      <c r="J163" s="161" t="str">
        <f t="shared" ref="J163:J194" si="11">IF($G163="","",IF(COUNTIFS($A:$A,$A163,$D:$D,$D163,$G:$G,$G163)&gt;1,"Doppelte Monatsstunden",""))</f>
        <v/>
      </c>
    </row>
    <row r="164" spans="1:11" ht="24" customHeight="1">
      <c r="A164" s="156" t="s">
        <v>293</v>
      </c>
      <c r="B164" s="140">
        <v>45778</v>
      </c>
      <c r="C164" s="140">
        <v>46142</v>
      </c>
      <c r="D164" s="141" t="s">
        <v>290</v>
      </c>
      <c r="E164" s="141" t="s">
        <v>2</v>
      </c>
      <c r="F164" s="141" t="s">
        <v>281</v>
      </c>
      <c r="G164" s="115">
        <v>169</v>
      </c>
      <c r="H164" s="116">
        <v>2000</v>
      </c>
      <c r="I164" s="142" t="str">
        <f t="shared" si="10"/>
        <v>OK</v>
      </c>
      <c r="J164" s="162" t="str">
        <f t="shared" si="11"/>
        <v/>
      </c>
      <c r="K164" t="s">
        <v>468</v>
      </c>
    </row>
    <row r="165" spans="1:11" ht="24" customHeight="1">
      <c r="A165" s="156" t="s">
        <v>293</v>
      </c>
      <c r="B165" s="140">
        <v>45778</v>
      </c>
      <c r="C165" s="140">
        <v>46142</v>
      </c>
      <c r="D165" s="141" t="s">
        <v>290</v>
      </c>
      <c r="E165" s="141" t="s">
        <v>2</v>
      </c>
      <c r="F165" s="141" t="s">
        <v>281</v>
      </c>
      <c r="G165" s="115">
        <v>151.38</v>
      </c>
      <c r="H165" s="116">
        <v>1768.38</v>
      </c>
      <c r="I165" s="142" t="str">
        <f t="shared" si="10"/>
        <v>OK</v>
      </c>
      <c r="J165" s="162" t="str">
        <f t="shared" si="11"/>
        <v/>
      </c>
    </row>
    <row r="166" spans="1:11" ht="24" customHeight="1">
      <c r="A166" s="156" t="s">
        <v>293</v>
      </c>
      <c r="B166" s="140">
        <v>45778</v>
      </c>
      <c r="C166" s="140">
        <v>46142</v>
      </c>
      <c r="D166" s="141" t="s">
        <v>290</v>
      </c>
      <c r="E166" s="141" t="s">
        <v>2</v>
      </c>
      <c r="F166" s="141" t="s">
        <v>281</v>
      </c>
      <c r="G166" s="115">
        <v>138.4</v>
      </c>
      <c r="H166" s="116">
        <v>1616.8</v>
      </c>
      <c r="I166" s="142" t="str">
        <f t="shared" si="10"/>
        <v>OK</v>
      </c>
      <c r="J166" s="162" t="str">
        <f t="shared" si="11"/>
        <v/>
      </c>
    </row>
    <row r="167" spans="1:11" ht="24" customHeight="1">
      <c r="A167" s="156" t="s">
        <v>293</v>
      </c>
      <c r="B167" s="140">
        <v>45778</v>
      </c>
      <c r="C167" s="140">
        <v>46142</v>
      </c>
      <c r="D167" s="141" t="s">
        <v>290</v>
      </c>
      <c r="E167" s="141" t="s">
        <v>2</v>
      </c>
      <c r="F167" s="141" t="s">
        <v>281</v>
      </c>
      <c r="G167" s="115">
        <v>129.75</v>
      </c>
      <c r="H167" s="116">
        <v>1515.75</v>
      </c>
      <c r="I167" s="142" t="str">
        <f t="shared" si="10"/>
        <v>OK</v>
      </c>
      <c r="J167" s="162" t="str">
        <f t="shared" si="11"/>
        <v/>
      </c>
    </row>
    <row r="168" spans="1:11" ht="24" customHeight="1">
      <c r="A168" s="156" t="s">
        <v>293</v>
      </c>
      <c r="B168" s="140">
        <v>45778</v>
      </c>
      <c r="C168" s="140">
        <v>46142</v>
      </c>
      <c r="D168" s="141" t="s">
        <v>290</v>
      </c>
      <c r="E168" s="141" t="s">
        <v>2</v>
      </c>
      <c r="F168" s="141" t="s">
        <v>281</v>
      </c>
      <c r="G168" s="115">
        <v>108.13</v>
      </c>
      <c r="H168" s="116">
        <v>1263.1300000000001</v>
      </c>
      <c r="I168" s="142" t="str">
        <f t="shared" si="10"/>
        <v>OK</v>
      </c>
      <c r="J168" s="162" t="str">
        <f t="shared" si="11"/>
        <v/>
      </c>
    </row>
    <row r="169" spans="1:11" ht="24" customHeight="1">
      <c r="A169" s="156" t="s">
        <v>293</v>
      </c>
      <c r="B169" s="140">
        <v>45778</v>
      </c>
      <c r="C169" s="140">
        <v>46142</v>
      </c>
      <c r="D169" s="141" t="s">
        <v>290</v>
      </c>
      <c r="E169" s="141" t="s">
        <v>2</v>
      </c>
      <c r="F169" s="141" t="s">
        <v>281</v>
      </c>
      <c r="G169" s="115">
        <v>103.8</v>
      </c>
      <c r="H169" s="116">
        <v>1212.5999999999999</v>
      </c>
      <c r="I169" s="142" t="str">
        <f t="shared" si="10"/>
        <v>OK</v>
      </c>
      <c r="J169" s="162" t="str">
        <f t="shared" si="11"/>
        <v/>
      </c>
    </row>
    <row r="170" spans="1:11" ht="24" customHeight="1">
      <c r="A170" s="156" t="s">
        <v>293</v>
      </c>
      <c r="B170" s="140">
        <v>45778</v>
      </c>
      <c r="C170" s="140">
        <v>46142</v>
      </c>
      <c r="D170" s="141" t="s">
        <v>290</v>
      </c>
      <c r="E170" s="141" t="s">
        <v>2</v>
      </c>
      <c r="F170" s="141" t="s">
        <v>281</v>
      </c>
      <c r="G170" s="115">
        <v>86.5</v>
      </c>
      <c r="H170" s="116">
        <v>1010.5</v>
      </c>
      <c r="I170" s="142" t="str">
        <f t="shared" si="10"/>
        <v>OK</v>
      </c>
      <c r="J170" s="162" t="str">
        <f t="shared" si="11"/>
        <v/>
      </c>
    </row>
    <row r="171" spans="1:11" ht="24" customHeight="1">
      <c r="A171" s="156" t="s">
        <v>293</v>
      </c>
      <c r="B171" s="140">
        <v>45778</v>
      </c>
      <c r="C171" s="140">
        <v>46142</v>
      </c>
      <c r="D171" s="141" t="s">
        <v>290</v>
      </c>
      <c r="E171" s="141" t="s">
        <v>2</v>
      </c>
      <c r="F171" s="141" t="s">
        <v>281</v>
      </c>
      <c r="G171" s="115">
        <v>69.2</v>
      </c>
      <c r="H171" s="116">
        <v>808.4</v>
      </c>
      <c r="I171" s="142" t="str">
        <f t="shared" si="10"/>
        <v>OK</v>
      </c>
      <c r="J171" s="162" t="str">
        <f t="shared" si="11"/>
        <v/>
      </c>
    </row>
    <row r="172" spans="1:11" ht="24" customHeight="1">
      <c r="A172" s="156" t="s">
        <v>293</v>
      </c>
      <c r="B172" s="140">
        <v>45778</v>
      </c>
      <c r="C172" s="140">
        <v>46142</v>
      </c>
      <c r="D172" s="141" t="s">
        <v>290</v>
      </c>
      <c r="E172" s="141" t="s">
        <v>2</v>
      </c>
      <c r="F172" s="141" t="s">
        <v>281</v>
      </c>
      <c r="G172" s="115">
        <v>51.9</v>
      </c>
      <c r="H172" s="116">
        <v>606.29999999999995</v>
      </c>
      <c r="I172" s="142" t="str">
        <f t="shared" si="10"/>
        <v>OK</v>
      </c>
      <c r="J172" s="162" t="str">
        <f t="shared" si="11"/>
        <v/>
      </c>
    </row>
    <row r="173" spans="1:11" ht="24" customHeight="1">
      <c r="A173" s="156" t="s">
        <v>293</v>
      </c>
      <c r="B173" s="140">
        <v>45778</v>
      </c>
      <c r="C173" s="140">
        <v>46142</v>
      </c>
      <c r="D173" s="141" t="s">
        <v>290</v>
      </c>
      <c r="E173" s="141" t="s">
        <v>2</v>
      </c>
      <c r="F173" s="141" t="s">
        <v>281</v>
      </c>
      <c r="G173" s="115">
        <v>47.58</v>
      </c>
      <c r="H173" s="116">
        <v>555.78</v>
      </c>
      <c r="I173" s="142" t="str">
        <f t="shared" si="10"/>
        <v>OK</v>
      </c>
      <c r="J173" s="162" t="str">
        <f t="shared" si="11"/>
        <v/>
      </c>
    </row>
    <row r="174" spans="1:11" ht="24" customHeight="1">
      <c r="A174" s="156" t="s">
        <v>293</v>
      </c>
      <c r="B174" s="140">
        <v>45778</v>
      </c>
      <c r="C174" s="140">
        <v>46142</v>
      </c>
      <c r="D174" s="141" t="s">
        <v>290</v>
      </c>
      <c r="E174" s="141" t="s">
        <v>2</v>
      </c>
      <c r="F174" s="141" t="s">
        <v>281</v>
      </c>
      <c r="G174" s="115">
        <v>43.25</v>
      </c>
      <c r="H174" s="116">
        <v>505.25</v>
      </c>
      <c r="I174" s="142" t="str">
        <f t="shared" si="10"/>
        <v>OK</v>
      </c>
      <c r="J174" s="162" t="str">
        <f t="shared" si="11"/>
        <v/>
      </c>
    </row>
    <row r="175" spans="1:11" ht="24" customHeight="1">
      <c r="A175" s="156" t="s">
        <v>293</v>
      </c>
      <c r="B175" s="140">
        <v>45778</v>
      </c>
      <c r="C175" s="140">
        <v>46142</v>
      </c>
      <c r="D175" s="141" t="s">
        <v>290</v>
      </c>
      <c r="E175" s="141" t="s">
        <v>2</v>
      </c>
      <c r="F175" s="141" t="s">
        <v>281</v>
      </c>
      <c r="G175" s="115">
        <v>34.6</v>
      </c>
      <c r="H175" s="116">
        <v>404.2</v>
      </c>
      <c r="I175" s="142" t="str">
        <f t="shared" si="10"/>
        <v>OK</v>
      </c>
      <c r="J175" s="162" t="str">
        <f t="shared" si="11"/>
        <v/>
      </c>
    </row>
    <row r="176" spans="1:11" ht="24" customHeight="1" thickBot="1">
      <c r="A176" s="156" t="s">
        <v>293</v>
      </c>
      <c r="B176" s="140">
        <v>45778</v>
      </c>
      <c r="C176" s="140">
        <v>46142</v>
      </c>
      <c r="D176" s="141" t="s">
        <v>290</v>
      </c>
      <c r="E176" s="141" t="s">
        <v>2</v>
      </c>
      <c r="F176" s="141" t="s">
        <v>281</v>
      </c>
      <c r="G176" s="115">
        <v>32.01</v>
      </c>
      <c r="H176" s="116">
        <v>373.89</v>
      </c>
      <c r="I176" s="142" t="str">
        <f t="shared" si="10"/>
        <v>OK</v>
      </c>
      <c r="J176" s="162" t="str">
        <f t="shared" si="11"/>
        <v/>
      </c>
    </row>
    <row r="177" spans="1:10" ht="24" customHeight="1">
      <c r="A177" s="155" t="s">
        <v>293</v>
      </c>
      <c r="B177" s="137">
        <v>45778</v>
      </c>
      <c r="C177" s="137">
        <v>46142</v>
      </c>
      <c r="D177" s="138" t="s">
        <v>3</v>
      </c>
      <c r="E177" s="138" t="s">
        <v>2</v>
      </c>
      <c r="F177" s="138" t="s">
        <v>282</v>
      </c>
      <c r="G177" s="113">
        <v>173</v>
      </c>
      <c r="H177" s="114">
        <v>2082</v>
      </c>
      <c r="I177" s="139" t="str">
        <f t="shared" si="10"/>
        <v>OK</v>
      </c>
      <c r="J177" s="161" t="str">
        <f t="shared" si="11"/>
        <v/>
      </c>
    </row>
    <row r="178" spans="1:10" ht="24" customHeight="1">
      <c r="A178" s="156" t="s">
        <v>293</v>
      </c>
      <c r="B178" s="140">
        <v>45778</v>
      </c>
      <c r="C178" s="140">
        <v>46142</v>
      </c>
      <c r="D178" s="141" t="s">
        <v>3</v>
      </c>
      <c r="E178" s="141" t="s">
        <v>2</v>
      </c>
      <c r="F178" s="141" t="s">
        <v>282</v>
      </c>
      <c r="G178" s="115">
        <v>151.38</v>
      </c>
      <c r="H178" s="116">
        <v>1821.75</v>
      </c>
      <c r="I178" s="142" t="str">
        <f t="shared" si="10"/>
        <v>OK</v>
      </c>
      <c r="J178" s="162" t="str">
        <f t="shared" si="11"/>
        <v/>
      </c>
    </row>
    <row r="179" spans="1:10" ht="24" customHeight="1">
      <c r="A179" s="156" t="s">
        <v>293</v>
      </c>
      <c r="B179" s="140">
        <v>45778</v>
      </c>
      <c r="C179" s="140">
        <v>46142</v>
      </c>
      <c r="D179" s="141" t="s">
        <v>3</v>
      </c>
      <c r="E179" s="141" t="s">
        <v>2</v>
      </c>
      <c r="F179" s="141" t="s">
        <v>282</v>
      </c>
      <c r="G179" s="115">
        <v>138.4</v>
      </c>
      <c r="H179" s="116">
        <v>1665.6</v>
      </c>
      <c r="I179" s="142" t="str">
        <f t="shared" si="10"/>
        <v>OK</v>
      </c>
      <c r="J179" s="162" t="str">
        <f t="shared" si="11"/>
        <v/>
      </c>
    </row>
    <row r="180" spans="1:10" ht="24" customHeight="1">
      <c r="A180" s="156" t="s">
        <v>293</v>
      </c>
      <c r="B180" s="140">
        <v>45778</v>
      </c>
      <c r="C180" s="140">
        <v>46142</v>
      </c>
      <c r="D180" s="141" t="s">
        <v>3</v>
      </c>
      <c r="E180" s="141" t="s">
        <v>2</v>
      </c>
      <c r="F180" s="141" t="s">
        <v>282</v>
      </c>
      <c r="G180" s="115">
        <v>129.75</v>
      </c>
      <c r="H180" s="116">
        <v>1561.5</v>
      </c>
      <c r="I180" s="142" t="str">
        <f t="shared" si="10"/>
        <v>OK</v>
      </c>
      <c r="J180" s="162" t="str">
        <f t="shared" si="11"/>
        <v/>
      </c>
    </row>
    <row r="181" spans="1:10" ht="24" customHeight="1">
      <c r="A181" s="156" t="s">
        <v>293</v>
      </c>
      <c r="B181" s="140">
        <v>45778</v>
      </c>
      <c r="C181" s="140">
        <v>46142</v>
      </c>
      <c r="D181" s="141" t="s">
        <v>3</v>
      </c>
      <c r="E181" s="141" t="s">
        <v>2</v>
      </c>
      <c r="F181" s="141" t="s">
        <v>282</v>
      </c>
      <c r="G181" s="115">
        <v>108.13</v>
      </c>
      <c r="H181" s="116">
        <v>1301.25</v>
      </c>
      <c r="I181" s="142" t="str">
        <f t="shared" si="10"/>
        <v>OK</v>
      </c>
      <c r="J181" s="162" t="str">
        <f t="shared" si="11"/>
        <v/>
      </c>
    </row>
    <row r="182" spans="1:10" ht="24" customHeight="1">
      <c r="A182" s="156" t="s">
        <v>293</v>
      </c>
      <c r="B182" s="140">
        <v>45778</v>
      </c>
      <c r="C182" s="140">
        <v>46142</v>
      </c>
      <c r="D182" s="141" t="s">
        <v>3</v>
      </c>
      <c r="E182" s="141" t="s">
        <v>2</v>
      </c>
      <c r="F182" s="141" t="s">
        <v>282</v>
      </c>
      <c r="G182" s="115">
        <v>103.8</v>
      </c>
      <c r="H182" s="116">
        <v>1249.2</v>
      </c>
      <c r="I182" s="142" t="str">
        <f t="shared" si="10"/>
        <v>OK</v>
      </c>
      <c r="J182" s="162" t="str">
        <f t="shared" si="11"/>
        <v/>
      </c>
    </row>
    <row r="183" spans="1:10" ht="24" customHeight="1">
      <c r="A183" s="156" t="s">
        <v>293</v>
      </c>
      <c r="B183" s="140">
        <v>45778</v>
      </c>
      <c r="C183" s="140">
        <v>46142</v>
      </c>
      <c r="D183" s="141" t="s">
        <v>3</v>
      </c>
      <c r="E183" s="141" t="s">
        <v>2</v>
      </c>
      <c r="F183" s="141" t="s">
        <v>282</v>
      </c>
      <c r="G183" s="115">
        <v>86.5</v>
      </c>
      <c r="H183" s="116">
        <v>1041.2</v>
      </c>
      <c r="I183" s="142" t="str">
        <f t="shared" si="10"/>
        <v>OK</v>
      </c>
      <c r="J183" s="162" t="str">
        <f t="shared" si="11"/>
        <v/>
      </c>
    </row>
    <row r="184" spans="1:10" ht="24" customHeight="1">
      <c r="A184" s="156" t="s">
        <v>293</v>
      </c>
      <c r="B184" s="140">
        <v>45778</v>
      </c>
      <c r="C184" s="140">
        <v>46142</v>
      </c>
      <c r="D184" s="141" t="s">
        <v>3</v>
      </c>
      <c r="E184" s="141" t="s">
        <v>2</v>
      </c>
      <c r="F184" s="141" t="s">
        <v>282</v>
      </c>
      <c r="G184" s="115">
        <v>69.2</v>
      </c>
      <c r="H184" s="116">
        <v>832.8</v>
      </c>
      <c r="I184" s="142" t="str">
        <f t="shared" si="10"/>
        <v>OK</v>
      </c>
      <c r="J184" s="162" t="str">
        <f t="shared" si="11"/>
        <v/>
      </c>
    </row>
    <row r="185" spans="1:10" ht="24" customHeight="1">
      <c r="A185" s="156" t="s">
        <v>293</v>
      </c>
      <c r="B185" s="140">
        <v>45778</v>
      </c>
      <c r="C185" s="140">
        <v>46142</v>
      </c>
      <c r="D185" s="141" t="s">
        <v>3</v>
      </c>
      <c r="E185" s="141" t="s">
        <v>2</v>
      </c>
      <c r="F185" s="141" t="s">
        <v>282</v>
      </c>
      <c r="G185" s="115">
        <v>51.9</v>
      </c>
      <c r="H185" s="116">
        <v>624.6</v>
      </c>
      <c r="I185" s="142" t="str">
        <f t="shared" si="10"/>
        <v>OK</v>
      </c>
      <c r="J185" s="162" t="str">
        <f t="shared" si="11"/>
        <v/>
      </c>
    </row>
    <row r="186" spans="1:10" ht="24" customHeight="1">
      <c r="A186" s="156" t="s">
        <v>293</v>
      </c>
      <c r="B186" s="140">
        <v>45778</v>
      </c>
      <c r="C186" s="140">
        <v>46142</v>
      </c>
      <c r="D186" s="141" t="s">
        <v>3</v>
      </c>
      <c r="E186" s="141" t="s">
        <v>2</v>
      </c>
      <c r="F186" s="141" t="s">
        <v>282</v>
      </c>
      <c r="G186" s="115">
        <v>47.58</v>
      </c>
      <c r="H186" s="116">
        <v>575.54999999999995</v>
      </c>
      <c r="I186" s="142" t="str">
        <f t="shared" si="10"/>
        <v>OK</v>
      </c>
      <c r="J186" s="162" t="str">
        <f t="shared" si="11"/>
        <v/>
      </c>
    </row>
    <row r="187" spans="1:10" ht="24" customHeight="1">
      <c r="A187" s="156" t="s">
        <v>293</v>
      </c>
      <c r="B187" s="140">
        <v>45778</v>
      </c>
      <c r="C187" s="140">
        <v>46142</v>
      </c>
      <c r="D187" s="141" t="s">
        <v>3</v>
      </c>
      <c r="E187" s="141" t="s">
        <v>2</v>
      </c>
      <c r="F187" s="141" t="s">
        <v>282</v>
      </c>
      <c r="G187" s="115">
        <v>43.25</v>
      </c>
      <c r="H187" s="116">
        <v>520.5</v>
      </c>
      <c r="I187" s="142" t="str">
        <f t="shared" si="10"/>
        <v>OK</v>
      </c>
      <c r="J187" s="162" t="str">
        <f t="shared" si="11"/>
        <v/>
      </c>
    </row>
    <row r="188" spans="1:10" ht="24" customHeight="1">
      <c r="A188" s="156" t="s">
        <v>293</v>
      </c>
      <c r="B188" s="140">
        <v>45778</v>
      </c>
      <c r="C188" s="140">
        <v>46142</v>
      </c>
      <c r="D188" s="141" t="s">
        <v>3</v>
      </c>
      <c r="E188" s="141" t="s">
        <v>2</v>
      </c>
      <c r="F188" s="141" t="s">
        <v>282</v>
      </c>
      <c r="G188" s="115">
        <v>34.6</v>
      </c>
      <c r="H188" s="116">
        <v>416.4</v>
      </c>
      <c r="I188" s="142" t="str">
        <f t="shared" si="10"/>
        <v>OK</v>
      </c>
      <c r="J188" s="162" t="str">
        <f t="shared" si="11"/>
        <v/>
      </c>
    </row>
    <row r="189" spans="1:10" ht="24" customHeight="1" thickBot="1">
      <c r="A189" s="156" t="s">
        <v>293</v>
      </c>
      <c r="B189" s="140">
        <v>45778</v>
      </c>
      <c r="C189" s="140">
        <v>46142</v>
      </c>
      <c r="D189" s="141" t="s">
        <v>3</v>
      </c>
      <c r="E189" s="141" t="s">
        <v>2</v>
      </c>
      <c r="F189" s="141" t="s">
        <v>282</v>
      </c>
      <c r="G189" s="115">
        <v>32.01</v>
      </c>
      <c r="H189" s="116">
        <v>385.17</v>
      </c>
      <c r="I189" s="142" t="str">
        <f t="shared" si="10"/>
        <v>OK</v>
      </c>
      <c r="J189" s="162" t="str">
        <f t="shared" si="11"/>
        <v/>
      </c>
    </row>
    <row r="190" spans="1:10" ht="24" customHeight="1">
      <c r="A190" s="155" t="s">
        <v>293</v>
      </c>
      <c r="B190" s="137">
        <v>45778</v>
      </c>
      <c r="C190" s="137">
        <v>46142</v>
      </c>
      <c r="D190" s="138" t="s">
        <v>4</v>
      </c>
      <c r="E190" s="138" t="s">
        <v>2</v>
      </c>
      <c r="F190" s="138" t="s">
        <v>283</v>
      </c>
      <c r="G190" s="113">
        <v>173</v>
      </c>
      <c r="H190" s="114">
        <v>2123</v>
      </c>
      <c r="I190" s="139" t="str">
        <f t="shared" si="10"/>
        <v>OK</v>
      </c>
      <c r="J190" s="161" t="str">
        <f t="shared" si="11"/>
        <v/>
      </c>
    </row>
    <row r="191" spans="1:10" ht="24" customHeight="1">
      <c r="A191" s="156" t="s">
        <v>293</v>
      </c>
      <c r="B191" s="140">
        <v>45778</v>
      </c>
      <c r="C191" s="140">
        <v>46142</v>
      </c>
      <c r="D191" s="141" t="s">
        <v>4</v>
      </c>
      <c r="E191" s="141" t="s">
        <v>2</v>
      </c>
      <c r="F191" s="141" t="s">
        <v>283</v>
      </c>
      <c r="G191" s="115">
        <v>151.38</v>
      </c>
      <c r="H191" s="116">
        <v>1857.63</v>
      </c>
      <c r="I191" s="142" t="str">
        <f t="shared" si="10"/>
        <v>OK</v>
      </c>
      <c r="J191" s="162" t="str">
        <f t="shared" si="11"/>
        <v/>
      </c>
    </row>
    <row r="192" spans="1:10" ht="24" customHeight="1">
      <c r="A192" s="156" t="s">
        <v>293</v>
      </c>
      <c r="B192" s="140">
        <v>45778</v>
      </c>
      <c r="C192" s="140">
        <v>46142</v>
      </c>
      <c r="D192" s="141" t="s">
        <v>4</v>
      </c>
      <c r="E192" s="141" t="s">
        <v>2</v>
      </c>
      <c r="F192" s="141" t="s">
        <v>283</v>
      </c>
      <c r="G192" s="115">
        <v>138.4</v>
      </c>
      <c r="H192" s="116">
        <v>1698.4</v>
      </c>
      <c r="I192" s="142" t="str">
        <f t="shared" si="10"/>
        <v>OK</v>
      </c>
      <c r="J192" s="162" t="str">
        <f t="shared" si="11"/>
        <v/>
      </c>
    </row>
    <row r="193" spans="1:10" ht="24" customHeight="1">
      <c r="A193" s="156" t="s">
        <v>293</v>
      </c>
      <c r="B193" s="140">
        <v>45778</v>
      </c>
      <c r="C193" s="140">
        <v>46142</v>
      </c>
      <c r="D193" s="141" t="s">
        <v>4</v>
      </c>
      <c r="E193" s="141" t="s">
        <v>2</v>
      </c>
      <c r="F193" s="141" t="s">
        <v>283</v>
      </c>
      <c r="G193" s="115">
        <v>129.75</v>
      </c>
      <c r="H193" s="116">
        <v>1592.25</v>
      </c>
      <c r="I193" s="142" t="str">
        <f t="shared" si="10"/>
        <v>OK</v>
      </c>
      <c r="J193" s="162" t="str">
        <f t="shared" si="11"/>
        <v/>
      </c>
    </row>
    <row r="194" spans="1:10" ht="24" customHeight="1">
      <c r="A194" s="156" t="s">
        <v>293</v>
      </c>
      <c r="B194" s="140">
        <v>45778</v>
      </c>
      <c r="C194" s="140">
        <v>46142</v>
      </c>
      <c r="D194" s="141" t="s">
        <v>4</v>
      </c>
      <c r="E194" s="141" t="s">
        <v>2</v>
      </c>
      <c r="F194" s="141" t="s">
        <v>283</v>
      </c>
      <c r="G194" s="115">
        <v>108.13</v>
      </c>
      <c r="H194" s="116">
        <v>1326.88</v>
      </c>
      <c r="I194" s="142" t="str">
        <f t="shared" si="10"/>
        <v>OK</v>
      </c>
      <c r="J194" s="162" t="str">
        <f t="shared" si="11"/>
        <v/>
      </c>
    </row>
    <row r="195" spans="1:10" ht="24" customHeight="1">
      <c r="A195" s="156" t="s">
        <v>293</v>
      </c>
      <c r="B195" s="140">
        <v>45778</v>
      </c>
      <c r="C195" s="140">
        <v>46142</v>
      </c>
      <c r="D195" s="141" t="s">
        <v>4</v>
      </c>
      <c r="E195" s="141" t="s">
        <v>2</v>
      </c>
      <c r="F195" s="141" t="s">
        <v>283</v>
      </c>
      <c r="G195" s="115">
        <v>103.8</v>
      </c>
      <c r="H195" s="116">
        <v>1273.8</v>
      </c>
      <c r="I195" s="142" t="str">
        <f t="shared" ref="I195:I226" si="12">IF($A195="","",IF(OR($B195="",$C195="",$D195="",$E195="",$F195=""),"Stammdaten fehlen",IF(AND($G195="",$H195=""),"Werte fehlen",IF($G195="","Monatsstunden fehlen",IF($H195="","Monatslohn fehlt","OK")))))</f>
        <v>OK</v>
      </c>
      <c r="J195" s="162" t="str">
        <f t="shared" ref="J195:J226" si="13">IF($G195="","",IF(COUNTIFS($A:$A,$A195,$D:$D,$D195,$G:$G,$G195)&gt;1,"Doppelte Monatsstunden",""))</f>
        <v/>
      </c>
    </row>
    <row r="196" spans="1:10" ht="24" customHeight="1">
      <c r="A196" s="156" t="s">
        <v>293</v>
      </c>
      <c r="B196" s="140">
        <v>45778</v>
      </c>
      <c r="C196" s="140">
        <v>46142</v>
      </c>
      <c r="D196" s="141" t="s">
        <v>4</v>
      </c>
      <c r="E196" s="141" t="s">
        <v>2</v>
      </c>
      <c r="F196" s="141" t="s">
        <v>283</v>
      </c>
      <c r="G196" s="115">
        <v>86.5</v>
      </c>
      <c r="H196" s="116">
        <v>1061.5</v>
      </c>
      <c r="I196" s="142" t="str">
        <f t="shared" si="12"/>
        <v>OK</v>
      </c>
      <c r="J196" s="162" t="str">
        <f t="shared" si="13"/>
        <v/>
      </c>
    </row>
    <row r="197" spans="1:10" ht="24" customHeight="1">
      <c r="A197" s="156" t="s">
        <v>293</v>
      </c>
      <c r="B197" s="140">
        <v>45778</v>
      </c>
      <c r="C197" s="140">
        <v>46142</v>
      </c>
      <c r="D197" s="141" t="s">
        <v>4</v>
      </c>
      <c r="E197" s="141" t="s">
        <v>2</v>
      </c>
      <c r="F197" s="141" t="s">
        <v>283</v>
      </c>
      <c r="G197" s="115">
        <v>69.2</v>
      </c>
      <c r="H197" s="116">
        <v>849.2</v>
      </c>
      <c r="I197" s="142" t="str">
        <f t="shared" si="12"/>
        <v>OK</v>
      </c>
      <c r="J197" s="162" t="str">
        <f t="shared" si="13"/>
        <v/>
      </c>
    </row>
    <row r="198" spans="1:10" ht="24" customHeight="1">
      <c r="A198" s="156" t="s">
        <v>293</v>
      </c>
      <c r="B198" s="140">
        <v>45778</v>
      </c>
      <c r="C198" s="140">
        <v>46142</v>
      </c>
      <c r="D198" s="141" t="s">
        <v>4</v>
      </c>
      <c r="E198" s="141" t="s">
        <v>2</v>
      </c>
      <c r="F198" s="141" t="s">
        <v>283</v>
      </c>
      <c r="G198" s="115">
        <v>51.9</v>
      </c>
      <c r="H198" s="116">
        <v>636.9</v>
      </c>
      <c r="I198" s="142" t="str">
        <f t="shared" si="12"/>
        <v>OK</v>
      </c>
      <c r="J198" s="162" t="str">
        <f t="shared" si="13"/>
        <v/>
      </c>
    </row>
    <row r="199" spans="1:10" ht="24" customHeight="1">
      <c r="A199" s="156" t="s">
        <v>293</v>
      </c>
      <c r="B199" s="140">
        <v>45778</v>
      </c>
      <c r="C199" s="140">
        <v>46142</v>
      </c>
      <c r="D199" s="141" t="s">
        <v>4</v>
      </c>
      <c r="E199" s="141" t="s">
        <v>2</v>
      </c>
      <c r="F199" s="141" t="s">
        <v>283</v>
      </c>
      <c r="G199" s="115">
        <v>47.58</v>
      </c>
      <c r="H199" s="116">
        <v>583.83000000000004</v>
      </c>
      <c r="I199" s="142" t="str">
        <f t="shared" si="12"/>
        <v>OK</v>
      </c>
      <c r="J199" s="162" t="str">
        <f t="shared" si="13"/>
        <v/>
      </c>
    </row>
    <row r="200" spans="1:10" ht="24" customHeight="1">
      <c r="A200" s="156" t="s">
        <v>293</v>
      </c>
      <c r="B200" s="140">
        <v>45778</v>
      </c>
      <c r="C200" s="140">
        <v>46142</v>
      </c>
      <c r="D200" s="141" t="s">
        <v>4</v>
      </c>
      <c r="E200" s="141" t="s">
        <v>2</v>
      </c>
      <c r="F200" s="141" t="s">
        <v>283</v>
      </c>
      <c r="G200" s="115">
        <v>43.25</v>
      </c>
      <c r="H200" s="116">
        <v>530.75</v>
      </c>
      <c r="I200" s="142" t="str">
        <f t="shared" si="12"/>
        <v>OK</v>
      </c>
      <c r="J200" s="162" t="str">
        <f t="shared" si="13"/>
        <v/>
      </c>
    </row>
    <row r="201" spans="1:10" ht="24" customHeight="1">
      <c r="A201" s="156" t="s">
        <v>293</v>
      </c>
      <c r="B201" s="140">
        <v>45778</v>
      </c>
      <c r="C201" s="140">
        <v>46142</v>
      </c>
      <c r="D201" s="141" t="s">
        <v>4</v>
      </c>
      <c r="E201" s="141" t="s">
        <v>2</v>
      </c>
      <c r="F201" s="141" t="s">
        <v>283</v>
      </c>
      <c r="G201" s="115">
        <v>34.6</v>
      </c>
      <c r="H201" s="116">
        <v>424.6</v>
      </c>
      <c r="I201" s="142" t="str">
        <f t="shared" si="12"/>
        <v>OK</v>
      </c>
      <c r="J201" s="162" t="str">
        <f t="shared" si="13"/>
        <v/>
      </c>
    </row>
    <row r="202" spans="1:10" ht="24" customHeight="1" thickBot="1">
      <c r="A202" s="156" t="s">
        <v>293</v>
      </c>
      <c r="B202" s="140">
        <v>45778</v>
      </c>
      <c r="C202" s="140">
        <v>46142</v>
      </c>
      <c r="D202" s="141" t="s">
        <v>4</v>
      </c>
      <c r="E202" s="141" t="s">
        <v>2</v>
      </c>
      <c r="F202" s="141" t="s">
        <v>283</v>
      </c>
      <c r="G202" s="115">
        <v>32.01</v>
      </c>
      <c r="H202" s="116">
        <v>392.76</v>
      </c>
      <c r="I202" s="142" t="str">
        <f t="shared" si="12"/>
        <v>OK</v>
      </c>
      <c r="J202" s="162" t="str">
        <f t="shared" si="13"/>
        <v/>
      </c>
    </row>
    <row r="203" spans="1:10" ht="24" customHeight="1">
      <c r="A203" s="155" t="s">
        <v>293</v>
      </c>
      <c r="B203" s="137">
        <v>45778</v>
      </c>
      <c r="C203" s="137">
        <v>46142</v>
      </c>
      <c r="D203" s="138" t="s">
        <v>5</v>
      </c>
      <c r="E203" s="138" t="s">
        <v>2</v>
      </c>
      <c r="F203" s="138" t="s">
        <v>284</v>
      </c>
      <c r="G203" s="113">
        <v>173</v>
      </c>
      <c r="H203" s="114">
        <v>2183</v>
      </c>
      <c r="I203" s="139" t="str">
        <f t="shared" si="12"/>
        <v>OK</v>
      </c>
      <c r="J203" s="161" t="str">
        <f t="shared" si="13"/>
        <v/>
      </c>
    </row>
    <row r="204" spans="1:10" ht="24" customHeight="1">
      <c r="A204" s="156" t="s">
        <v>293</v>
      </c>
      <c r="B204" s="140">
        <v>45778</v>
      </c>
      <c r="C204" s="140">
        <v>46142</v>
      </c>
      <c r="D204" s="141" t="s">
        <v>5</v>
      </c>
      <c r="E204" s="141" t="s">
        <v>2</v>
      </c>
      <c r="F204" s="141" t="s">
        <v>284</v>
      </c>
      <c r="G204" s="115">
        <v>151.38</v>
      </c>
      <c r="H204" s="116">
        <v>1910.13</v>
      </c>
      <c r="I204" s="142" t="str">
        <f t="shared" si="12"/>
        <v>OK</v>
      </c>
      <c r="J204" s="162" t="str">
        <f t="shared" si="13"/>
        <v/>
      </c>
    </row>
    <row r="205" spans="1:10" ht="24" customHeight="1">
      <c r="A205" s="156" t="s">
        <v>293</v>
      </c>
      <c r="B205" s="140">
        <v>45778</v>
      </c>
      <c r="C205" s="140">
        <v>46142</v>
      </c>
      <c r="D205" s="141" t="s">
        <v>5</v>
      </c>
      <c r="E205" s="141" t="s">
        <v>2</v>
      </c>
      <c r="F205" s="141" t="s">
        <v>284</v>
      </c>
      <c r="G205" s="115">
        <v>138.4</v>
      </c>
      <c r="H205" s="116">
        <v>1746.4</v>
      </c>
      <c r="I205" s="142" t="str">
        <f t="shared" si="12"/>
        <v>OK</v>
      </c>
      <c r="J205" s="162" t="str">
        <f t="shared" si="13"/>
        <v/>
      </c>
    </row>
    <row r="206" spans="1:10" ht="24" customHeight="1">
      <c r="A206" s="156" t="s">
        <v>293</v>
      </c>
      <c r="B206" s="140">
        <v>45778</v>
      </c>
      <c r="C206" s="140">
        <v>46142</v>
      </c>
      <c r="D206" s="141" t="s">
        <v>5</v>
      </c>
      <c r="E206" s="141" t="s">
        <v>2</v>
      </c>
      <c r="F206" s="141" t="s">
        <v>284</v>
      </c>
      <c r="G206" s="115">
        <v>129.75</v>
      </c>
      <c r="H206" s="116">
        <v>1637.25</v>
      </c>
      <c r="I206" s="142" t="str">
        <f t="shared" si="12"/>
        <v>OK</v>
      </c>
      <c r="J206" s="162" t="str">
        <f t="shared" si="13"/>
        <v/>
      </c>
    </row>
    <row r="207" spans="1:10" ht="24" customHeight="1">
      <c r="A207" s="156" t="s">
        <v>293</v>
      </c>
      <c r="B207" s="140">
        <v>45778</v>
      </c>
      <c r="C207" s="140">
        <v>46142</v>
      </c>
      <c r="D207" s="141" t="s">
        <v>5</v>
      </c>
      <c r="E207" s="141" t="s">
        <v>2</v>
      </c>
      <c r="F207" s="141" t="s">
        <v>284</v>
      </c>
      <c r="G207" s="115">
        <v>108.13</v>
      </c>
      <c r="H207" s="116">
        <v>1364.38</v>
      </c>
      <c r="I207" s="142" t="str">
        <f t="shared" si="12"/>
        <v>OK</v>
      </c>
      <c r="J207" s="162" t="str">
        <f t="shared" si="13"/>
        <v/>
      </c>
    </row>
    <row r="208" spans="1:10" ht="24" customHeight="1">
      <c r="A208" s="156" t="s">
        <v>293</v>
      </c>
      <c r="B208" s="140">
        <v>45778</v>
      </c>
      <c r="C208" s="140">
        <v>46142</v>
      </c>
      <c r="D208" s="141" t="s">
        <v>5</v>
      </c>
      <c r="E208" s="141" t="s">
        <v>2</v>
      </c>
      <c r="F208" s="141" t="s">
        <v>284</v>
      </c>
      <c r="G208" s="115">
        <v>103.8</v>
      </c>
      <c r="H208" s="116">
        <v>1309.8</v>
      </c>
      <c r="I208" s="142" t="str">
        <f t="shared" si="12"/>
        <v>OK</v>
      </c>
      <c r="J208" s="162" t="str">
        <f t="shared" si="13"/>
        <v/>
      </c>
    </row>
    <row r="209" spans="1:10" ht="24" customHeight="1">
      <c r="A209" s="156" t="s">
        <v>293</v>
      </c>
      <c r="B209" s="140">
        <v>45778</v>
      </c>
      <c r="C209" s="140">
        <v>46142</v>
      </c>
      <c r="D209" s="141" t="s">
        <v>5</v>
      </c>
      <c r="E209" s="141" t="s">
        <v>2</v>
      </c>
      <c r="F209" s="141" t="s">
        <v>284</v>
      </c>
      <c r="G209" s="115">
        <v>86.5</v>
      </c>
      <c r="H209" s="116">
        <v>1091.5</v>
      </c>
      <c r="I209" s="142" t="str">
        <f t="shared" si="12"/>
        <v>OK</v>
      </c>
      <c r="J209" s="162" t="str">
        <f t="shared" si="13"/>
        <v/>
      </c>
    </row>
    <row r="210" spans="1:10" ht="24" customHeight="1">
      <c r="A210" s="156" t="s">
        <v>293</v>
      </c>
      <c r="B210" s="140">
        <v>45778</v>
      </c>
      <c r="C210" s="140">
        <v>46142</v>
      </c>
      <c r="D210" s="141" t="s">
        <v>5</v>
      </c>
      <c r="E210" s="141" t="s">
        <v>2</v>
      </c>
      <c r="F210" s="141" t="s">
        <v>284</v>
      </c>
      <c r="G210" s="115">
        <v>69.2</v>
      </c>
      <c r="H210" s="116">
        <v>873.2</v>
      </c>
      <c r="I210" s="142" t="str">
        <f t="shared" si="12"/>
        <v>OK</v>
      </c>
      <c r="J210" s="162" t="str">
        <f t="shared" si="13"/>
        <v/>
      </c>
    </row>
    <row r="211" spans="1:10" ht="24" customHeight="1">
      <c r="A211" s="156" t="s">
        <v>293</v>
      </c>
      <c r="B211" s="140">
        <v>45778</v>
      </c>
      <c r="C211" s="140">
        <v>46142</v>
      </c>
      <c r="D211" s="141" t="s">
        <v>5</v>
      </c>
      <c r="E211" s="141" t="s">
        <v>2</v>
      </c>
      <c r="F211" s="141" t="s">
        <v>284</v>
      </c>
      <c r="G211" s="115">
        <v>51.9</v>
      </c>
      <c r="H211" s="116">
        <v>654.9</v>
      </c>
      <c r="I211" s="142" t="str">
        <f t="shared" si="12"/>
        <v>OK</v>
      </c>
      <c r="J211" s="162" t="str">
        <f t="shared" si="13"/>
        <v/>
      </c>
    </row>
    <row r="212" spans="1:10" ht="24" customHeight="1">
      <c r="A212" s="156" t="s">
        <v>293</v>
      </c>
      <c r="B212" s="140">
        <v>45778</v>
      </c>
      <c r="C212" s="140">
        <v>46142</v>
      </c>
      <c r="D212" s="141" t="s">
        <v>5</v>
      </c>
      <c r="E212" s="141" t="s">
        <v>2</v>
      </c>
      <c r="F212" s="141" t="s">
        <v>284</v>
      </c>
      <c r="G212" s="115">
        <v>47.58</v>
      </c>
      <c r="H212" s="116">
        <v>600.33000000000004</v>
      </c>
      <c r="I212" s="142" t="str">
        <f t="shared" si="12"/>
        <v>OK</v>
      </c>
      <c r="J212" s="162" t="str">
        <f t="shared" si="13"/>
        <v/>
      </c>
    </row>
    <row r="213" spans="1:10" ht="24" customHeight="1">
      <c r="A213" s="156" t="s">
        <v>293</v>
      </c>
      <c r="B213" s="140">
        <v>45778</v>
      </c>
      <c r="C213" s="140">
        <v>46142</v>
      </c>
      <c r="D213" s="141" t="s">
        <v>5</v>
      </c>
      <c r="E213" s="141" t="s">
        <v>2</v>
      </c>
      <c r="F213" s="141" t="s">
        <v>284</v>
      </c>
      <c r="G213" s="115">
        <v>43.25</v>
      </c>
      <c r="H213" s="116">
        <v>545.75</v>
      </c>
      <c r="I213" s="142" t="str">
        <f t="shared" si="12"/>
        <v>OK</v>
      </c>
      <c r="J213" s="162" t="str">
        <f t="shared" si="13"/>
        <v/>
      </c>
    </row>
    <row r="214" spans="1:10" ht="24" customHeight="1">
      <c r="A214" s="156" t="s">
        <v>293</v>
      </c>
      <c r="B214" s="140">
        <v>45778</v>
      </c>
      <c r="C214" s="140">
        <v>46142</v>
      </c>
      <c r="D214" s="141" t="s">
        <v>5</v>
      </c>
      <c r="E214" s="141" t="s">
        <v>2</v>
      </c>
      <c r="F214" s="141" t="s">
        <v>284</v>
      </c>
      <c r="G214" s="115">
        <v>34.6</v>
      </c>
      <c r="H214" s="116">
        <v>436.6</v>
      </c>
      <c r="I214" s="142" t="str">
        <f t="shared" si="12"/>
        <v>OK</v>
      </c>
      <c r="J214" s="162" t="str">
        <f t="shared" si="13"/>
        <v/>
      </c>
    </row>
    <row r="215" spans="1:10" ht="24" customHeight="1" thickBot="1">
      <c r="A215" s="156" t="s">
        <v>293</v>
      </c>
      <c r="B215" s="140">
        <v>45778</v>
      </c>
      <c r="C215" s="140">
        <v>46142</v>
      </c>
      <c r="D215" s="141" t="s">
        <v>5</v>
      </c>
      <c r="E215" s="141" t="s">
        <v>2</v>
      </c>
      <c r="F215" s="141" t="s">
        <v>284</v>
      </c>
      <c r="G215" s="115">
        <v>32.01</v>
      </c>
      <c r="H215" s="116">
        <v>403.86</v>
      </c>
      <c r="I215" s="142" t="str">
        <f t="shared" si="12"/>
        <v>OK</v>
      </c>
      <c r="J215" s="162" t="str">
        <f t="shared" si="13"/>
        <v/>
      </c>
    </row>
    <row r="216" spans="1:10" ht="24" customHeight="1">
      <c r="A216" s="157" t="s">
        <v>293</v>
      </c>
      <c r="B216" s="143">
        <v>45778</v>
      </c>
      <c r="C216" s="143">
        <v>46142</v>
      </c>
      <c r="D216" s="144" t="s">
        <v>291</v>
      </c>
      <c r="E216" s="144" t="s">
        <v>6</v>
      </c>
      <c r="F216" s="144" t="s">
        <v>281</v>
      </c>
      <c r="G216" s="117">
        <v>173</v>
      </c>
      <c r="H216" s="118">
        <v>2160</v>
      </c>
      <c r="I216" s="145" t="str">
        <f t="shared" si="12"/>
        <v>OK</v>
      </c>
      <c r="J216" s="163" t="str">
        <f t="shared" si="13"/>
        <v/>
      </c>
    </row>
    <row r="217" spans="1:10" ht="24" customHeight="1">
      <c r="A217" s="158" t="s">
        <v>293</v>
      </c>
      <c r="B217" s="146">
        <v>45778</v>
      </c>
      <c r="C217" s="146">
        <v>46142</v>
      </c>
      <c r="D217" s="147" t="s">
        <v>291</v>
      </c>
      <c r="E217" s="147" t="s">
        <v>6</v>
      </c>
      <c r="F217" s="147" t="s">
        <v>281</v>
      </c>
      <c r="G217" s="119">
        <v>151.38</v>
      </c>
      <c r="H217" s="120">
        <v>1890</v>
      </c>
      <c r="I217" s="148" t="str">
        <f t="shared" si="12"/>
        <v>OK</v>
      </c>
      <c r="J217" s="164" t="str">
        <f t="shared" si="13"/>
        <v/>
      </c>
    </row>
    <row r="218" spans="1:10" ht="24" customHeight="1">
      <c r="A218" s="158" t="s">
        <v>293</v>
      </c>
      <c r="B218" s="146">
        <v>45778</v>
      </c>
      <c r="C218" s="146">
        <v>46142</v>
      </c>
      <c r="D218" s="147" t="s">
        <v>291</v>
      </c>
      <c r="E218" s="147" t="s">
        <v>6</v>
      </c>
      <c r="F218" s="147" t="s">
        <v>281</v>
      </c>
      <c r="G218" s="119">
        <v>138.4</v>
      </c>
      <c r="H218" s="120">
        <v>1728</v>
      </c>
      <c r="I218" s="148" t="str">
        <f t="shared" si="12"/>
        <v>OK</v>
      </c>
      <c r="J218" s="164" t="str">
        <f t="shared" si="13"/>
        <v/>
      </c>
    </row>
    <row r="219" spans="1:10" ht="24" customHeight="1">
      <c r="A219" s="158" t="s">
        <v>293</v>
      </c>
      <c r="B219" s="146">
        <v>45778</v>
      </c>
      <c r="C219" s="146">
        <v>46142</v>
      </c>
      <c r="D219" s="147" t="s">
        <v>291</v>
      </c>
      <c r="E219" s="147" t="s">
        <v>6</v>
      </c>
      <c r="F219" s="147" t="s">
        <v>281</v>
      </c>
      <c r="G219" s="119">
        <v>129.75</v>
      </c>
      <c r="H219" s="120">
        <v>1620</v>
      </c>
      <c r="I219" s="148" t="str">
        <f t="shared" si="12"/>
        <v>OK</v>
      </c>
      <c r="J219" s="164" t="str">
        <f t="shared" si="13"/>
        <v/>
      </c>
    </row>
    <row r="220" spans="1:10" ht="24" customHeight="1">
      <c r="A220" s="158" t="s">
        <v>293</v>
      </c>
      <c r="B220" s="146">
        <v>45778</v>
      </c>
      <c r="C220" s="146">
        <v>46142</v>
      </c>
      <c r="D220" s="147" t="s">
        <v>291</v>
      </c>
      <c r="E220" s="147" t="s">
        <v>6</v>
      </c>
      <c r="F220" s="147" t="s">
        <v>281</v>
      </c>
      <c r="G220" s="119">
        <v>108.13</v>
      </c>
      <c r="H220" s="120">
        <v>1350</v>
      </c>
      <c r="I220" s="148" t="str">
        <f t="shared" si="12"/>
        <v>OK</v>
      </c>
      <c r="J220" s="164" t="str">
        <f t="shared" si="13"/>
        <v/>
      </c>
    </row>
    <row r="221" spans="1:10" ht="24" customHeight="1">
      <c r="A221" s="158" t="s">
        <v>293</v>
      </c>
      <c r="B221" s="146">
        <v>45778</v>
      </c>
      <c r="C221" s="146">
        <v>46142</v>
      </c>
      <c r="D221" s="147" t="s">
        <v>291</v>
      </c>
      <c r="E221" s="147" t="s">
        <v>6</v>
      </c>
      <c r="F221" s="147" t="s">
        <v>281</v>
      </c>
      <c r="G221" s="119">
        <v>103.8</v>
      </c>
      <c r="H221" s="120">
        <v>1296</v>
      </c>
      <c r="I221" s="148" t="str">
        <f t="shared" si="12"/>
        <v>OK</v>
      </c>
      <c r="J221" s="164" t="str">
        <f t="shared" si="13"/>
        <v/>
      </c>
    </row>
    <row r="222" spans="1:10" ht="24" customHeight="1">
      <c r="A222" s="158" t="s">
        <v>293</v>
      </c>
      <c r="B222" s="146">
        <v>45778</v>
      </c>
      <c r="C222" s="146">
        <v>46142</v>
      </c>
      <c r="D222" s="147" t="s">
        <v>291</v>
      </c>
      <c r="E222" s="147" t="s">
        <v>6</v>
      </c>
      <c r="F222" s="147" t="s">
        <v>281</v>
      </c>
      <c r="G222" s="119">
        <v>86.5</v>
      </c>
      <c r="H222" s="120">
        <v>1080</v>
      </c>
      <c r="I222" s="148" t="str">
        <f t="shared" si="12"/>
        <v>OK</v>
      </c>
      <c r="J222" s="164" t="str">
        <f t="shared" si="13"/>
        <v/>
      </c>
    </row>
    <row r="223" spans="1:10" ht="24" customHeight="1">
      <c r="A223" s="158" t="s">
        <v>293</v>
      </c>
      <c r="B223" s="146">
        <v>45778</v>
      </c>
      <c r="C223" s="146">
        <v>46142</v>
      </c>
      <c r="D223" s="147" t="s">
        <v>291</v>
      </c>
      <c r="E223" s="147" t="s">
        <v>6</v>
      </c>
      <c r="F223" s="147" t="s">
        <v>281</v>
      </c>
      <c r="G223" s="119">
        <v>69.2</v>
      </c>
      <c r="H223" s="120">
        <v>864</v>
      </c>
      <c r="I223" s="148" t="str">
        <f t="shared" si="12"/>
        <v>OK</v>
      </c>
      <c r="J223" s="164" t="str">
        <f t="shared" si="13"/>
        <v/>
      </c>
    </row>
    <row r="224" spans="1:10" ht="24" customHeight="1">
      <c r="A224" s="158" t="s">
        <v>293</v>
      </c>
      <c r="B224" s="146">
        <v>45778</v>
      </c>
      <c r="C224" s="146">
        <v>46142</v>
      </c>
      <c r="D224" s="147" t="s">
        <v>291</v>
      </c>
      <c r="E224" s="147" t="s">
        <v>6</v>
      </c>
      <c r="F224" s="147" t="s">
        <v>281</v>
      </c>
      <c r="G224" s="119">
        <v>51.9</v>
      </c>
      <c r="H224" s="120">
        <v>648</v>
      </c>
      <c r="I224" s="148" t="str">
        <f t="shared" si="12"/>
        <v>OK</v>
      </c>
      <c r="J224" s="164" t="str">
        <f t="shared" si="13"/>
        <v/>
      </c>
    </row>
    <row r="225" spans="1:10" ht="24" customHeight="1">
      <c r="A225" s="158" t="s">
        <v>293</v>
      </c>
      <c r="B225" s="146">
        <v>45778</v>
      </c>
      <c r="C225" s="146">
        <v>46142</v>
      </c>
      <c r="D225" s="147" t="s">
        <v>291</v>
      </c>
      <c r="E225" s="147" t="s">
        <v>6</v>
      </c>
      <c r="F225" s="147" t="s">
        <v>281</v>
      </c>
      <c r="G225" s="119">
        <v>47.58</v>
      </c>
      <c r="H225" s="120">
        <v>594</v>
      </c>
      <c r="I225" s="148" t="str">
        <f t="shared" si="12"/>
        <v>OK</v>
      </c>
      <c r="J225" s="164" t="str">
        <f t="shared" si="13"/>
        <v/>
      </c>
    </row>
    <row r="226" spans="1:10" ht="24" customHeight="1">
      <c r="A226" s="158" t="s">
        <v>293</v>
      </c>
      <c r="B226" s="146">
        <v>45778</v>
      </c>
      <c r="C226" s="146">
        <v>46142</v>
      </c>
      <c r="D226" s="147" t="s">
        <v>291</v>
      </c>
      <c r="E226" s="147" t="s">
        <v>6</v>
      </c>
      <c r="F226" s="147" t="s">
        <v>281</v>
      </c>
      <c r="G226" s="119">
        <v>43.25</v>
      </c>
      <c r="H226" s="120">
        <v>540</v>
      </c>
      <c r="I226" s="148" t="str">
        <f t="shared" si="12"/>
        <v>OK</v>
      </c>
      <c r="J226" s="164" t="str">
        <f t="shared" si="13"/>
        <v/>
      </c>
    </row>
    <row r="227" spans="1:10" ht="24" customHeight="1">
      <c r="A227" s="158" t="s">
        <v>293</v>
      </c>
      <c r="B227" s="146">
        <v>45778</v>
      </c>
      <c r="C227" s="146">
        <v>46142</v>
      </c>
      <c r="D227" s="147" t="s">
        <v>291</v>
      </c>
      <c r="E227" s="147" t="s">
        <v>6</v>
      </c>
      <c r="F227" s="147" t="s">
        <v>281</v>
      </c>
      <c r="G227" s="119">
        <v>34.6</v>
      </c>
      <c r="H227" s="120">
        <v>432</v>
      </c>
      <c r="I227" s="148" t="str">
        <f t="shared" ref="I227:I258" si="14">IF($A227="","",IF(OR($B227="",$C227="",$D227="",$E227="",$F227=""),"Stammdaten fehlen",IF(AND($G227="",$H227=""),"Werte fehlen",IF($G227="","Monatsstunden fehlen",IF($H227="","Monatslohn fehlt","OK")))))</f>
        <v>OK</v>
      </c>
      <c r="J227" s="164" t="str">
        <f t="shared" ref="J227:J258" si="15">IF($G227="","",IF(COUNTIFS($A:$A,$A227,$D:$D,$D227,$G:$G,$G227)&gt;1,"Doppelte Monatsstunden",""))</f>
        <v/>
      </c>
    </row>
    <row r="228" spans="1:10" ht="24" customHeight="1" thickBot="1">
      <c r="A228" s="158" t="s">
        <v>293</v>
      </c>
      <c r="B228" s="146">
        <v>45778</v>
      </c>
      <c r="C228" s="146">
        <v>46142</v>
      </c>
      <c r="D228" s="147" t="s">
        <v>291</v>
      </c>
      <c r="E228" s="147" t="s">
        <v>6</v>
      </c>
      <c r="F228" s="147" t="s">
        <v>281</v>
      </c>
      <c r="G228" s="119">
        <v>32.01</v>
      </c>
      <c r="H228" s="120">
        <v>399.6</v>
      </c>
      <c r="I228" s="148" t="str">
        <f t="shared" si="14"/>
        <v>OK</v>
      </c>
      <c r="J228" s="164" t="str">
        <f t="shared" si="15"/>
        <v/>
      </c>
    </row>
    <row r="229" spans="1:10" ht="24" customHeight="1">
      <c r="A229" s="157" t="s">
        <v>293</v>
      </c>
      <c r="B229" s="143">
        <v>45778</v>
      </c>
      <c r="C229" s="143">
        <v>46142</v>
      </c>
      <c r="D229" s="144" t="s">
        <v>7</v>
      </c>
      <c r="E229" s="144" t="s">
        <v>6</v>
      </c>
      <c r="F229" s="144" t="s">
        <v>282</v>
      </c>
      <c r="G229" s="117">
        <v>173</v>
      </c>
      <c r="H229" s="118">
        <v>2160</v>
      </c>
      <c r="I229" s="145" t="str">
        <f t="shared" si="14"/>
        <v>OK</v>
      </c>
      <c r="J229" s="163" t="str">
        <f t="shared" si="15"/>
        <v/>
      </c>
    </row>
    <row r="230" spans="1:10" ht="24" customHeight="1">
      <c r="A230" s="158" t="s">
        <v>293</v>
      </c>
      <c r="B230" s="146">
        <v>45778</v>
      </c>
      <c r="C230" s="146">
        <v>46142</v>
      </c>
      <c r="D230" s="147" t="s">
        <v>7</v>
      </c>
      <c r="E230" s="147" t="s">
        <v>6</v>
      </c>
      <c r="F230" s="147" t="s">
        <v>282</v>
      </c>
      <c r="G230" s="119">
        <v>151.38</v>
      </c>
      <c r="H230" s="120">
        <v>1890</v>
      </c>
      <c r="I230" s="148" t="str">
        <f t="shared" si="14"/>
        <v>OK</v>
      </c>
      <c r="J230" s="164" t="str">
        <f t="shared" si="15"/>
        <v/>
      </c>
    </row>
    <row r="231" spans="1:10" ht="24" customHeight="1">
      <c r="A231" s="158" t="s">
        <v>293</v>
      </c>
      <c r="B231" s="146">
        <v>45778</v>
      </c>
      <c r="C231" s="146">
        <v>46142</v>
      </c>
      <c r="D231" s="147" t="s">
        <v>7</v>
      </c>
      <c r="E231" s="147" t="s">
        <v>6</v>
      </c>
      <c r="F231" s="147" t="s">
        <v>282</v>
      </c>
      <c r="G231" s="119">
        <v>138.4</v>
      </c>
      <c r="H231" s="120">
        <v>1728</v>
      </c>
      <c r="I231" s="148" t="str">
        <f t="shared" si="14"/>
        <v>OK</v>
      </c>
      <c r="J231" s="164" t="str">
        <f t="shared" si="15"/>
        <v/>
      </c>
    </row>
    <row r="232" spans="1:10" ht="24" customHeight="1">
      <c r="A232" s="158" t="s">
        <v>293</v>
      </c>
      <c r="B232" s="146">
        <v>45778</v>
      </c>
      <c r="C232" s="146">
        <v>46142</v>
      </c>
      <c r="D232" s="147" t="s">
        <v>7</v>
      </c>
      <c r="E232" s="147" t="s">
        <v>6</v>
      </c>
      <c r="F232" s="147" t="s">
        <v>282</v>
      </c>
      <c r="G232" s="119">
        <v>129.75</v>
      </c>
      <c r="H232" s="120">
        <v>1620</v>
      </c>
      <c r="I232" s="148" t="str">
        <f t="shared" si="14"/>
        <v>OK</v>
      </c>
      <c r="J232" s="164" t="str">
        <f t="shared" si="15"/>
        <v/>
      </c>
    </row>
    <row r="233" spans="1:10" ht="24" customHeight="1">
      <c r="A233" s="158" t="s">
        <v>293</v>
      </c>
      <c r="B233" s="146">
        <v>45778</v>
      </c>
      <c r="C233" s="146">
        <v>46142</v>
      </c>
      <c r="D233" s="147" t="s">
        <v>7</v>
      </c>
      <c r="E233" s="147" t="s">
        <v>6</v>
      </c>
      <c r="F233" s="147" t="s">
        <v>282</v>
      </c>
      <c r="G233" s="119">
        <v>108.13</v>
      </c>
      <c r="H233" s="120">
        <v>1350</v>
      </c>
      <c r="I233" s="148" t="str">
        <f t="shared" si="14"/>
        <v>OK</v>
      </c>
      <c r="J233" s="164" t="str">
        <f t="shared" si="15"/>
        <v/>
      </c>
    </row>
    <row r="234" spans="1:10" ht="24" customHeight="1">
      <c r="A234" s="158" t="s">
        <v>293</v>
      </c>
      <c r="B234" s="146">
        <v>45778</v>
      </c>
      <c r="C234" s="146">
        <v>46142</v>
      </c>
      <c r="D234" s="147" t="s">
        <v>7</v>
      </c>
      <c r="E234" s="147" t="s">
        <v>6</v>
      </c>
      <c r="F234" s="147" t="s">
        <v>282</v>
      </c>
      <c r="G234" s="119">
        <v>103.8</v>
      </c>
      <c r="H234" s="120">
        <v>1296</v>
      </c>
      <c r="I234" s="148" t="str">
        <f t="shared" si="14"/>
        <v>OK</v>
      </c>
      <c r="J234" s="164" t="str">
        <f t="shared" si="15"/>
        <v/>
      </c>
    </row>
    <row r="235" spans="1:10" ht="24" customHeight="1">
      <c r="A235" s="158" t="s">
        <v>293</v>
      </c>
      <c r="B235" s="146">
        <v>45778</v>
      </c>
      <c r="C235" s="146">
        <v>46142</v>
      </c>
      <c r="D235" s="147" t="s">
        <v>7</v>
      </c>
      <c r="E235" s="147" t="s">
        <v>6</v>
      </c>
      <c r="F235" s="147" t="s">
        <v>282</v>
      </c>
      <c r="G235" s="119">
        <v>86.5</v>
      </c>
      <c r="H235" s="120">
        <v>1080</v>
      </c>
      <c r="I235" s="148" t="str">
        <f t="shared" si="14"/>
        <v>OK</v>
      </c>
      <c r="J235" s="164" t="str">
        <f t="shared" si="15"/>
        <v/>
      </c>
    </row>
    <row r="236" spans="1:10" ht="24" customHeight="1">
      <c r="A236" s="158" t="s">
        <v>293</v>
      </c>
      <c r="B236" s="146">
        <v>45778</v>
      </c>
      <c r="C236" s="146">
        <v>46142</v>
      </c>
      <c r="D236" s="147" t="s">
        <v>7</v>
      </c>
      <c r="E236" s="147" t="s">
        <v>6</v>
      </c>
      <c r="F236" s="147" t="s">
        <v>282</v>
      </c>
      <c r="G236" s="119">
        <v>69.2</v>
      </c>
      <c r="H236" s="120">
        <v>864</v>
      </c>
      <c r="I236" s="148" t="str">
        <f t="shared" si="14"/>
        <v>OK</v>
      </c>
      <c r="J236" s="164" t="str">
        <f t="shared" si="15"/>
        <v/>
      </c>
    </row>
    <row r="237" spans="1:10" ht="24" customHeight="1">
      <c r="A237" s="158" t="s">
        <v>293</v>
      </c>
      <c r="B237" s="146">
        <v>45778</v>
      </c>
      <c r="C237" s="146">
        <v>46142</v>
      </c>
      <c r="D237" s="147" t="s">
        <v>7</v>
      </c>
      <c r="E237" s="147" t="s">
        <v>6</v>
      </c>
      <c r="F237" s="147" t="s">
        <v>282</v>
      </c>
      <c r="G237" s="119">
        <v>51.9</v>
      </c>
      <c r="H237" s="120">
        <v>648</v>
      </c>
      <c r="I237" s="148" t="str">
        <f t="shared" si="14"/>
        <v>OK</v>
      </c>
      <c r="J237" s="164" t="str">
        <f t="shared" si="15"/>
        <v/>
      </c>
    </row>
    <row r="238" spans="1:10" ht="24" customHeight="1">
      <c r="A238" s="158" t="s">
        <v>293</v>
      </c>
      <c r="B238" s="146">
        <v>45778</v>
      </c>
      <c r="C238" s="146">
        <v>46142</v>
      </c>
      <c r="D238" s="147" t="s">
        <v>7</v>
      </c>
      <c r="E238" s="147" t="s">
        <v>6</v>
      </c>
      <c r="F238" s="147" t="s">
        <v>282</v>
      </c>
      <c r="G238" s="119">
        <v>47.58</v>
      </c>
      <c r="H238" s="120">
        <v>594</v>
      </c>
      <c r="I238" s="148" t="str">
        <f t="shared" si="14"/>
        <v>OK</v>
      </c>
      <c r="J238" s="164" t="str">
        <f t="shared" si="15"/>
        <v/>
      </c>
    </row>
    <row r="239" spans="1:10" ht="24" customHeight="1">
      <c r="A239" s="158" t="s">
        <v>293</v>
      </c>
      <c r="B239" s="146">
        <v>45778</v>
      </c>
      <c r="C239" s="146">
        <v>46142</v>
      </c>
      <c r="D239" s="147" t="s">
        <v>7</v>
      </c>
      <c r="E239" s="147" t="s">
        <v>6</v>
      </c>
      <c r="F239" s="147" t="s">
        <v>282</v>
      </c>
      <c r="G239" s="119">
        <v>43.25</v>
      </c>
      <c r="H239" s="120">
        <v>540</v>
      </c>
      <c r="I239" s="148" t="str">
        <f t="shared" si="14"/>
        <v>OK</v>
      </c>
      <c r="J239" s="164" t="str">
        <f t="shared" si="15"/>
        <v/>
      </c>
    </row>
    <row r="240" spans="1:10" ht="24" customHeight="1">
      <c r="A240" s="158" t="s">
        <v>293</v>
      </c>
      <c r="B240" s="146">
        <v>45778</v>
      </c>
      <c r="C240" s="146">
        <v>46142</v>
      </c>
      <c r="D240" s="147" t="s">
        <v>7</v>
      </c>
      <c r="E240" s="147" t="s">
        <v>6</v>
      </c>
      <c r="F240" s="147" t="s">
        <v>282</v>
      </c>
      <c r="G240" s="119">
        <v>34.6</v>
      </c>
      <c r="H240" s="120">
        <v>432</v>
      </c>
      <c r="I240" s="148" t="str">
        <f t="shared" si="14"/>
        <v>OK</v>
      </c>
      <c r="J240" s="164" t="str">
        <f t="shared" si="15"/>
        <v/>
      </c>
    </row>
    <row r="241" spans="1:10" ht="24" customHeight="1" thickBot="1">
      <c r="A241" s="158" t="s">
        <v>293</v>
      </c>
      <c r="B241" s="146">
        <v>45778</v>
      </c>
      <c r="C241" s="146">
        <v>46142</v>
      </c>
      <c r="D241" s="147" t="s">
        <v>7</v>
      </c>
      <c r="E241" s="147" t="s">
        <v>6</v>
      </c>
      <c r="F241" s="147" t="s">
        <v>282</v>
      </c>
      <c r="G241" s="119">
        <v>32.01</v>
      </c>
      <c r="H241" s="120">
        <v>399.6</v>
      </c>
      <c r="I241" s="148" t="str">
        <f t="shared" si="14"/>
        <v>OK</v>
      </c>
      <c r="J241" s="164" t="str">
        <f t="shared" si="15"/>
        <v/>
      </c>
    </row>
    <row r="242" spans="1:10" ht="24" customHeight="1">
      <c r="A242" s="157" t="s">
        <v>293</v>
      </c>
      <c r="B242" s="143">
        <v>45778</v>
      </c>
      <c r="C242" s="143">
        <v>46142</v>
      </c>
      <c r="D242" s="144" t="s">
        <v>8</v>
      </c>
      <c r="E242" s="144" t="s">
        <v>6</v>
      </c>
      <c r="F242" s="144" t="s">
        <v>283</v>
      </c>
      <c r="G242" s="117">
        <v>173</v>
      </c>
      <c r="H242" s="118">
        <v>2163</v>
      </c>
      <c r="I242" s="145" t="str">
        <f t="shared" si="14"/>
        <v>OK</v>
      </c>
      <c r="J242" s="163" t="str">
        <f t="shared" si="15"/>
        <v/>
      </c>
    </row>
    <row r="243" spans="1:10" ht="24" customHeight="1">
      <c r="A243" s="158" t="s">
        <v>293</v>
      </c>
      <c r="B243" s="146">
        <v>45778</v>
      </c>
      <c r="C243" s="146">
        <v>46142</v>
      </c>
      <c r="D243" s="147" t="s">
        <v>8</v>
      </c>
      <c r="E243" s="147" t="s">
        <v>6</v>
      </c>
      <c r="F243" s="147" t="s">
        <v>283</v>
      </c>
      <c r="G243" s="119">
        <v>151.38</v>
      </c>
      <c r="H243" s="120">
        <v>1892.63</v>
      </c>
      <c r="I243" s="148" t="str">
        <f t="shared" si="14"/>
        <v>OK</v>
      </c>
      <c r="J243" s="164" t="str">
        <f t="shared" si="15"/>
        <v/>
      </c>
    </row>
    <row r="244" spans="1:10" ht="24" customHeight="1">
      <c r="A244" s="158" t="s">
        <v>293</v>
      </c>
      <c r="B244" s="146">
        <v>45778</v>
      </c>
      <c r="C244" s="146">
        <v>46142</v>
      </c>
      <c r="D244" s="147" t="s">
        <v>8</v>
      </c>
      <c r="E244" s="147" t="s">
        <v>6</v>
      </c>
      <c r="F244" s="147" t="s">
        <v>283</v>
      </c>
      <c r="G244" s="119">
        <v>138.4</v>
      </c>
      <c r="H244" s="120">
        <v>1730.4</v>
      </c>
      <c r="I244" s="148" t="str">
        <f t="shared" si="14"/>
        <v>OK</v>
      </c>
      <c r="J244" s="164" t="str">
        <f t="shared" si="15"/>
        <v/>
      </c>
    </row>
    <row r="245" spans="1:10" ht="24" customHeight="1">
      <c r="A245" s="158" t="s">
        <v>293</v>
      </c>
      <c r="B245" s="146">
        <v>45778</v>
      </c>
      <c r="C245" s="146">
        <v>46142</v>
      </c>
      <c r="D245" s="147" t="s">
        <v>8</v>
      </c>
      <c r="E245" s="147" t="s">
        <v>6</v>
      </c>
      <c r="F245" s="147" t="s">
        <v>283</v>
      </c>
      <c r="G245" s="119">
        <v>129.75</v>
      </c>
      <c r="H245" s="120">
        <v>1622.25</v>
      </c>
      <c r="I245" s="148" t="str">
        <f t="shared" si="14"/>
        <v>OK</v>
      </c>
      <c r="J245" s="164" t="str">
        <f t="shared" si="15"/>
        <v/>
      </c>
    </row>
    <row r="246" spans="1:10" ht="24" customHeight="1">
      <c r="A246" s="158" t="s">
        <v>293</v>
      </c>
      <c r="B246" s="146">
        <v>45778</v>
      </c>
      <c r="C246" s="146">
        <v>46142</v>
      </c>
      <c r="D246" s="147" t="s">
        <v>8</v>
      </c>
      <c r="E246" s="147" t="s">
        <v>6</v>
      </c>
      <c r="F246" s="147" t="s">
        <v>283</v>
      </c>
      <c r="G246" s="119">
        <v>108.13</v>
      </c>
      <c r="H246" s="120">
        <v>1351.88</v>
      </c>
      <c r="I246" s="148" t="str">
        <f t="shared" si="14"/>
        <v>OK</v>
      </c>
      <c r="J246" s="164" t="str">
        <f t="shared" si="15"/>
        <v/>
      </c>
    </row>
    <row r="247" spans="1:10" ht="24" customHeight="1">
      <c r="A247" s="158" t="s">
        <v>293</v>
      </c>
      <c r="B247" s="146">
        <v>45778</v>
      </c>
      <c r="C247" s="146">
        <v>46142</v>
      </c>
      <c r="D247" s="147" t="s">
        <v>8</v>
      </c>
      <c r="E247" s="147" t="s">
        <v>6</v>
      </c>
      <c r="F247" s="147" t="s">
        <v>283</v>
      </c>
      <c r="G247" s="119">
        <v>103.8</v>
      </c>
      <c r="H247" s="120">
        <v>1297.8</v>
      </c>
      <c r="I247" s="148" t="str">
        <f t="shared" si="14"/>
        <v>OK</v>
      </c>
      <c r="J247" s="164" t="str">
        <f t="shared" si="15"/>
        <v/>
      </c>
    </row>
    <row r="248" spans="1:10" ht="24" customHeight="1">
      <c r="A248" s="158" t="s">
        <v>293</v>
      </c>
      <c r="B248" s="146">
        <v>45778</v>
      </c>
      <c r="C248" s="146">
        <v>46142</v>
      </c>
      <c r="D248" s="147" t="s">
        <v>8</v>
      </c>
      <c r="E248" s="147" t="s">
        <v>6</v>
      </c>
      <c r="F248" s="147" t="s">
        <v>283</v>
      </c>
      <c r="G248" s="119">
        <v>86.5</v>
      </c>
      <c r="H248" s="120">
        <v>1081.5</v>
      </c>
      <c r="I248" s="148" t="str">
        <f t="shared" si="14"/>
        <v>OK</v>
      </c>
      <c r="J248" s="164" t="str">
        <f t="shared" si="15"/>
        <v/>
      </c>
    </row>
    <row r="249" spans="1:10" ht="24" customHeight="1">
      <c r="A249" s="158" t="s">
        <v>293</v>
      </c>
      <c r="B249" s="146">
        <v>45778</v>
      </c>
      <c r="C249" s="146">
        <v>46142</v>
      </c>
      <c r="D249" s="147" t="s">
        <v>8</v>
      </c>
      <c r="E249" s="147" t="s">
        <v>6</v>
      </c>
      <c r="F249" s="147" t="s">
        <v>283</v>
      </c>
      <c r="G249" s="119">
        <v>69.2</v>
      </c>
      <c r="H249" s="120">
        <v>865.2</v>
      </c>
      <c r="I249" s="148" t="str">
        <f t="shared" si="14"/>
        <v>OK</v>
      </c>
      <c r="J249" s="164" t="str">
        <f t="shared" si="15"/>
        <v/>
      </c>
    </row>
    <row r="250" spans="1:10" ht="24" customHeight="1">
      <c r="A250" s="158" t="s">
        <v>293</v>
      </c>
      <c r="B250" s="146">
        <v>45778</v>
      </c>
      <c r="C250" s="146">
        <v>46142</v>
      </c>
      <c r="D250" s="147" t="s">
        <v>8</v>
      </c>
      <c r="E250" s="147" t="s">
        <v>6</v>
      </c>
      <c r="F250" s="147" t="s">
        <v>283</v>
      </c>
      <c r="G250" s="119">
        <v>51.9</v>
      </c>
      <c r="H250" s="120">
        <v>648.9</v>
      </c>
      <c r="I250" s="148" t="str">
        <f t="shared" si="14"/>
        <v>OK</v>
      </c>
      <c r="J250" s="164" t="str">
        <f t="shared" si="15"/>
        <v/>
      </c>
    </row>
    <row r="251" spans="1:10" ht="24" customHeight="1">
      <c r="A251" s="158" t="s">
        <v>293</v>
      </c>
      <c r="B251" s="146">
        <v>45778</v>
      </c>
      <c r="C251" s="146">
        <v>46142</v>
      </c>
      <c r="D251" s="147" t="s">
        <v>8</v>
      </c>
      <c r="E251" s="147" t="s">
        <v>6</v>
      </c>
      <c r="F251" s="147" t="s">
        <v>283</v>
      </c>
      <c r="G251" s="119">
        <v>47.58</v>
      </c>
      <c r="H251" s="120">
        <v>594.83000000000004</v>
      </c>
      <c r="I251" s="148" t="str">
        <f t="shared" si="14"/>
        <v>OK</v>
      </c>
      <c r="J251" s="164" t="str">
        <f t="shared" si="15"/>
        <v/>
      </c>
    </row>
    <row r="252" spans="1:10" ht="24" customHeight="1">
      <c r="A252" s="158" t="s">
        <v>293</v>
      </c>
      <c r="B252" s="146">
        <v>45778</v>
      </c>
      <c r="C252" s="146">
        <v>46142</v>
      </c>
      <c r="D252" s="147" t="s">
        <v>8</v>
      </c>
      <c r="E252" s="147" t="s">
        <v>6</v>
      </c>
      <c r="F252" s="147" t="s">
        <v>283</v>
      </c>
      <c r="G252" s="119">
        <v>43.25</v>
      </c>
      <c r="H252" s="120">
        <v>540.75</v>
      </c>
      <c r="I252" s="148" t="str">
        <f t="shared" si="14"/>
        <v>OK</v>
      </c>
      <c r="J252" s="164" t="str">
        <f t="shared" si="15"/>
        <v/>
      </c>
    </row>
    <row r="253" spans="1:10" ht="24" customHeight="1">
      <c r="A253" s="158" t="s">
        <v>293</v>
      </c>
      <c r="B253" s="146">
        <v>45778</v>
      </c>
      <c r="C253" s="146">
        <v>46142</v>
      </c>
      <c r="D253" s="147" t="s">
        <v>8</v>
      </c>
      <c r="E253" s="147" t="s">
        <v>6</v>
      </c>
      <c r="F253" s="147" t="s">
        <v>283</v>
      </c>
      <c r="G253" s="119">
        <v>34.6</v>
      </c>
      <c r="H253" s="120">
        <v>432.6</v>
      </c>
      <c r="I253" s="148" t="str">
        <f t="shared" si="14"/>
        <v>OK</v>
      </c>
      <c r="J253" s="164" t="str">
        <f t="shared" si="15"/>
        <v/>
      </c>
    </row>
    <row r="254" spans="1:10" ht="24" customHeight="1" thickBot="1">
      <c r="A254" s="158" t="s">
        <v>293</v>
      </c>
      <c r="B254" s="146">
        <v>45778</v>
      </c>
      <c r="C254" s="146">
        <v>46142</v>
      </c>
      <c r="D254" s="147" t="s">
        <v>8</v>
      </c>
      <c r="E254" s="147" t="s">
        <v>6</v>
      </c>
      <c r="F254" s="147" t="s">
        <v>283</v>
      </c>
      <c r="G254" s="119">
        <v>32.01</v>
      </c>
      <c r="H254" s="120">
        <v>400.16</v>
      </c>
      <c r="I254" s="148" t="str">
        <f t="shared" si="14"/>
        <v>OK</v>
      </c>
      <c r="J254" s="164" t="str">
        <f t="shared" si="15"/>
        <v/>
      </c>
    </row>
    <row r="255" spans="1:10" ht="24" customHeight="1">
      <c r="A255" s="157" t="s">
        <v>293</v>
      </c>
      <c r="B255" s="143">
        <v>45778</v>
      </c>
      <c r="C255" s="143">
        <v>46142</v>
      </c>
      <c r="D255" s="144" t="s">
        <v>9</v>
      </c>
      <c r="E255" s="144" t="s">
        <v>6</v>
      </c>
      <c r="F255" s="144" t="s">
        <v>284</v>
      </c>
      <c r="G255" s="117">
        <v>173</v>
      </c>
      <c r="H255" s="118">
        <v>2225</v>
      </c>
      <c r="I255" s="145" t="str">
        <f t="shared" si="14"/>
        <v>OK</v>
      </c>
      <c r="J255" s="163" t="str">
        <f t="shared" si="15"/>
        <v/>
      </c>
    </row>
    <row r="256" spans="1:10" ht="24" customHeight="1">
      <c r="A256" s="158" t="s">
        <v>293</v>
      </c>
      <c r="B256" s="146">
        <v>45778</v>
      </c>
      <c r="C256" s="146">
        <v>46142</v>
      </c>
      <c r="D256" s="147" t="s">
        <v>9</v>
      </c>
      <c r="E256" s="147" t="s">
        <v>6</v>
      </c>
      <c r="F256" s="147" t="s">
        <v>284</v>
      </c>
      <c r="G256" s="119">
        <v>151.38</v>
      </c>
      <c r="H256" s="120">
        <v>1946.88</v>
      </c>
      <c r="I256" s="148" t="str">
        <f t="shared" si="14"/>
        <v>OK</v>
      </c>
      <c r="J256" s="164" t="str">
        <f t="shared" si="15"/>
        <v/>
      </c>
    </row>
    <row r="257" spans="1:10" ht="24" customHeight="1">
      <c r="A257" s="158" t="s">
        <v>293</v>
      </c>
      <c r="B257" s="146">
        <v>45778</v>
      </c>
      <c r="C257" s="146">
        <v>46142</v>
      </c>
      <c r="D257" s="147" t="s">
        <v>9</v>
      </c>
      <c r="E257" s="147" t="s">
        <v>6</v>
      </c>
      <c r="F257" s="147" t="s">
        <v>284</v>
      </c>
      <c r="G257" s="119">
        <v>138.4</v>
      </c>
      <c r="H257" s="120">
        <v>1780</v>
      </c>
      <c r="I257" s="148" t="str">
        <f t="shared" si="14"/>
        <v>OK</v>
      </c>
      <c r="J257" s="164" t="str">
        <f t="shared" si="15"/>
        <v/>
      </c>
    </row>
    <row r="258" spans="1:10" ht="24" customHeight="1">
      <c r="A258" s="158" t="s">
        <v>293</v>
      </c>
      <c r="B258" s="146">
        <v>45778</v>
      </c>
      <c r="C258" s="146">
        <v>46142</v>
      </c>
      <c r="D258" s="147" t="s">
        <v>9</v>
      </c>
      <c r="E258" s="147" t="s">
        <v>6</v>
      </c>
      <c r="F258" s="147" t="s">
        <v>284</v>
      </c>
      <c r="G258" s="119">
        <v>129.75</v>
      </c>
      <c r="H258" s="120">
        <v>1668.75</v>
      </c>
      <c r="I258" s="148" t="str">
        <f t="shared" si="14"/>
        <v>OK</v>
      </c>
      <c r="J258" s="164" t="str">
        <f t="shared" si="15"/>
        <v/>
      </c>
    </row>
    <row r="259" spans="1:10" ht="24" customHeight="1">
      <c r="A259" s="158" t="s">
        <v>293</v>
      </c>
      <c r="B259" s="146">
        <v>45778</v>
      </c>
      <c r="C259" s="146">
        <v>46142</v>
      </c>
      <c r="D259" s="147" t="s">
        <v>9</v>
      </c>
      <c r="E259" s="147" t="s">
        <v>6</v>
      </c>
      <c r="F259" s="147" t="s">
        <v>284</v>
      </c>
      <c r="G259" s="119">
        <v>108.13</v>
      </c>
      <c r="H259" s="120">
        <v>1390.63</v>
      </c>
      <c r="I259" s="148" t="str">
        <f t="shared" ref="I259:I290" si="16">IF($A259="","",IF(OR($B259="",$C259="",$D259="",$E259="",$F259=""),"Stammdaten fehlen",IF(AND($G259="",$H259=""),"Werte fehlen",IF($G259="","Monatsstunden fehlen",IF($H259="","Monatslohn fehlt","OK")))))</f>
        <v>OK</v>
      </c>
      <c r="J259" s="164" t="str">
        <f t="shared" ref="J259:J290" si="17">IF($G259="","",IF(COUNTIFS($A:$A,$A259,$D:$D,$D259,$G:$G,$G259)&gt;1,"Doppelte Monatsstunden",""))</f>
        <v/>
      </c>
    </row>
    <row r="260" spans="1:10" ht="24" customHeight="1">
      <c r="A260" s="158" t="s">
        <v>293</v>
      </c>
      <c r="B260" s="146">
        <v>45778</v>
      </c>
      <c r="C260" s="146">
        <v>46142</v>
      </c>
      <c r="D260" s="147" t="s">
        <v>9</v>
      </c>
      <c r="E260" s="147" t="s">
        <v>6</v>
      </c>
      <c r="F260" s="147" t="s">
        <v>284</v>
      </c>
      <c r="G260" s="119">
        <v>103.8</v>
      </c>
      <c r="H260" s="120">
        <v>1335</v>
      </c>
      <c r="I260" s="148" t="str">
        <f t="shared" si="16"/>
        <v>OK</v>
      </c>
      <c r="J260" s="164" t="str">
        <f t="shared" si="17"/>
        <v/>
      </c>
    </row>
    <row r="261" spans="1:10" ht="24" customHeight="1">
      <c r="A261" s="158" t="s">
        <v>293</v>
      </c>
      <c r="B261" s="146">
        <v>45778</v>
      </c>
      <c r="C261" s="146">
        <v>46142</v>
      </c>
      <c r="D261" s="147" t="s">
        <v>9</v>
      </c>
      <c r="E261" s="147" t="s">
        <v>6</v>
      </c>
      <c r="F261" s="147" t="s">
        <v>284</v>
      </c>
      <c r="G261" s="119">
        <v>86.5</v>
      </c>
      <c r="H261" s="120">
        <v>1112.5</v>
      </c>
      <c r="I261" s="148" t="str">
        <f t="shared" si="16"/>
        <v>OK</v>
      </c>
      <c r="J261" s="164" t="str">
        <f t="shared" si="17"/>
        <v/>
      </c>
    </row>
    <row r="262" spans="1:10" ht="24" customHeight="1">
      <c r="A262" s="158" t="s">
        <v>293</v>
      </c>
      <c r="B262" s="146">
        <v>45778</v>
      </c>
      <c r="C262" s="146">
        <v>46142</v>
      </c>
      <c r="D262" s="147" t="s">
        <v>9</v>
      </c>
      <c r="E262" s="147" t="s">
        <v>6</v>
      </c>
      <c r="F262" s="147" t="s">
        <v>284</v>
      </c>
      <c r="G262" s="119">
        <v>69.2</v>
      </c>
      <c r="H262" s="120">
        <v>890</v>
      </c>
      <c r="I262" s="148" t="str">
        <f t="shared" si="16"/>
        <v>OK</v>
      </c>
      <c r="J262" s="164" t="str">
        <f t="shared" si="17"/>
        <v/>
      </c>
    </row>
    <row r="263" spans="1:10" ht="24" customHeight="1">
      <c r="A263" s="158" t="s">
        <v>293</v>
      </c>
      <c r="B263" s="146">
        <v>45778</v>
      </c>
      <c r="C263" s="146">
        <v>46142</v>
      </c>
      <c r="D263" s="147" t="s">
        <v>9</v>
      </c>
      <c r="E263" s="147" t="s">
        <v>6</v>
      </c>
      <c r="F263" s="147" t="s">
        <v>284</v>
      </c>
      <c r="G263" s="119">
        <v>51.9</v>
      </c>
      <c r="H263" s="120">
        <v>667.5</v>
      </c>
      <c r="I263" s="148" t="str">
        <f t="shared" si="16"/>
        <v>OK</v>
      </c>
      <c r="J263" s="164" t="str">
        <f t="shared" si="17"/>
        <v/>
      </c>
    </row>
    <row r="264" spans="1:10" ht="24" customHeight="1">
      <c r="A264" s="158" t="s">
        <v>293</v>
      </c>
      <c r="B264" s="146">
        <v>45778</v>
      </c>
      <c r="C264" s="146">
        <v>46142</v>
      </c>
      <c r="D264" s="147" t="s">
        <v>9</v>
      </c>
      <c r="E264" s="147" t="s">
        <v>6</v>
      </c>
      <c r="F264" s="147" t="s">
        <v>284</v>
      </c>
      <c r="G264" s="119">
        <v>47.58</v>
      </c>
      <c r="H264" s="120">
        <v>611.88</v>
      </c>
      <c r="I264" s="148" t="str">
        <f t="shared" si="16"/>
        <v>OK</v>
      </c>
      <c r="J264" s="164" t="str">
        <f t="shared" si="17"/>
        <v/>
      </c>
    </row>
    <row r="265" spans="1:10" ht="24" customHeight="1">
      <c r="A265" s="158" t="s">
        <v>293</v>
      </c>
      <c r="B265" s="146">
        <v>45778</v>
      </c>
      <c r="C265" s="146">
        <v>46142</v>
      </c>
      <c r="D265" s="147" t="s">
        <v>9</v>
      </c>
      <c r="E265" s="147" t="s">
        <v>6</v>
      </c>
      <c r="F265" s="147" t="s">
        <v>284</v>
      </c>
      <c r="G265" s="119">
        <v>43.25</v>
      </c>
      <c r="H265" s="120">
        <v>556.25</v>
      </c>
      <c r="I265" s="148" t="str">
        <f t="shared" si="16"/>
        <v>OK</v>
      </c>
      <c r="J265" s="164" t="str">
        <f t="shared" si="17"/>
        <v/>
      </c>
    </row>
    <row r="266" spans="1:10" ht="24" customHeight="1">
      <c r="A266" s="158" t="s">
        <v>293</v>
      </c>
      <c r="B266" s="146">
        <v>45778</v>
      </c>
      <c r="C266" s="146">
        <v>46142</v>
      </c>
      <c r="D266" s="147" t="s">
        <v>9</v>
      </c>
      <c r="E266" s="147" t="s">
        <v>6</v>
      </c>
      <c r="F266" s="147" t="s">
        <v>284</v>
      </c>
      <c r="G266" s="119">
        <v>34.6</v>
      </c>
      <c r="H266" s="120">
        <v>445</v>
      </c>
      <c r="I266" s="148" t="str">
        <f t="shared" si="16"/>
        <v>OK</v>
      </c>
      <c r="J266" s="164" t="str">
        <f t="shared" si="17"/>
        <v/>
      </c>
    </row>
    <row r="267" spans="1:10" ht="24" customHeight="1" thickBot="1">
      <c r="A267" s="158" t="s">
        <v>293</v>
      </c>
      <c r="B267" s="146">
        <v>45778</v>
      </c>
      <c r="C267" s="146">
        <v>46142</v>
      </c>
      <c r="D267" s="147" t="s">
        <v>9</v>
      </c>
      <c r="E267" s="147" t="s">
        <v>6</v>
      </c>
      <c r="F267" s="147" t="s">
        <v>284</v>
      </c>
      <c r="G267" s="119">
        <v>32.01</v>
      </c>
      <c r="H267" s="120">
        <v>411.63</v>
      </c>
      <c r="I267" s="148" t="str">
        <f t="shared" si="16"/>
        <v>OK</v>
      </c>
      <c r="J267" s="164" t="str">
        <f t="shared" si="17"/>
        <v/>
      </c>
    </row>
    <row r="268" spans="1:10" ht="24" customHeight="1">
      <c r="A268" s="159" t="s">
        <v>293</v>
      </c>
      <c r="B268" s="149">
        <v>45778</v>
      </c>
      <c r="C268" s="149">
        <v>46142</v>
      </c>
      <c r="D268" s="150" t="s">
        <v>292</v>
      </c>
      <c r="E268" s="150" t="s">
        <v>10</v>
      </c>
      <c r="F268" s="150" t="s">
        <v>281</v>
      </c>
      <c r="G268" s="121">
        <v>173</v>
      </c>
      <c r="H268" s="122">
        <v>2300</v>
      </c>
      <c r="I268" s="151" t="str">
        <f t="shared" si="16"/>
        <v>OK</v>
      </c>
      <c r="J268" s="165" t="str">
        <f t="shared" si="17"/>
        <v/>
      </c>
    </row>
    <row r="269" spans="1:10" ht="24" customHeight="1">
      <c r="A269" s="160" t="s">
        <v>293</v>
      </c>
      <c r="B269" s="152">
        <v>45778</v>
      </c>
      <c r="C269" s="152">
        <v>46142</v>
      </c>
      <c r="D269" s="153" t="s">
        <v>292</v>
      </c>
      <c r="E269" s="153" t="s">
        <v>10</v>
      </c>
      <c r="F269" s="153" t="s">
        <v>281</v>
      </c>
      <c r="G269" s="123">
        <v>151.38</v>
      </c>
      <c r="H269" s="124">
        <v>2012.5</v>
      </c>
      <c r="I269" s="154" t="str">
        <f t="shared" si="16"/>
        <v>OK</v>
      </c>
      <c r="J269" s="166" t="str">
        <f t="shared" si="17"/>
        <v/>
      </c>
    </row>
    <row r="270" spans="1:10" ht="24" customHeight="1">
      <c r="A270" s="160" t="s">
        <v>293</v>
      </c>
      <c r="B270" s="152">
        <v>45778</v>
      </c>
      <c r="C270" s="152">
        <v>46142</v>
      </c>
      <c r="D270" s="153" t="s">
        <v>292</v>
      </c>
      <c r="E270" s="153" t="s">
        <v>10</v>
      </c>
      <c r="F270" s="153" t="s">
        <v>281</v>
      </c>
      <c r="G270" s="123">
        <v>138.4</v>
      </c>
      <c r="H270" s="124">
        <v>1840</v>
      </c>
      <c r="I270" s="154" t="str">
        <f t="shared" si="16"/>
        <v>OK</v>
      </c>
      <c r="J270" s="166" t="str">
        <f t="shared" si="17"/>
        <v/>
      </c>
    </row>
    <row r="271" spans="1:10" ht="24" customHeight="1">
      <c r="A271" s="160" t="s">
        <v>293</v>
      </c>
      <c r="B271" s="152">
        <v>45778</v>
      </c>
      <c r="C271" s="152">
        <v>46142</v>
      </c>
      <c r="D271" s="153" t="s">
        <v>292</v>
      </c>
      <c r="E271" s="153" t="s">
        <v>10</v>
      </c>
      <c r="F271" s="153" t="s">
        <v>281</v>
      </c>
      <c r="G271" s="123">
        <v>129.75</v>
      </c>
      <c r="H271" s="124">
        <v>1725</v>
      </c>
      <c r="I271" s="154" t="str">
        <f t="shared" si="16"/>
        <v>OK</v>
      </c>
      <c r="J271" s="166" t="str">
        <f t="shared" si="17"/>
        <v/>
      </c>
    </row>
    <row r="272" spans="1:10" ht="24" customHeight="1">
      <c r="A272" s="160" t="s">
        <v>293</v>
      </c>
      <c r="B272" s="152">
        <v>45778</v>
      </c>
      <c r="C272" s="152">
        <v>46142</v>
      </c>
      <c r="D272" s="153" t="s">
        <v>292</v>
      </c>
      <c r="E272" s="153" t="s">
        <v>10</v>
      </c>
      <c r="F272" s="153" t="s">
        <v>281</v>
      </c>
      <c r="G272" s="123">
        <v>108.13</v>
      </c>
      <c r="H272" s="124">
        <v>1437.5</v>
      </c>
      <c r="I272" s="154" t="str">
        <f t="shared" si="16"/>
        <v>OK</v>
      </c>
      <c r="J272" s="166" t="str">
        <f t="shared" si="17"/>
        <v/>
      </c>
    </row>
    <row r="273" spans="1:10" ht="24" customHeight="1">
      <c r="A273" s="160" t="s">
        <v>293</v>
      </c>
      <c r="B273" s="152">
        <v>45778</v>
      </c>
      <c r="C273" s="152">
        <v>46142</v>
      </c>
      <c r="D273" s="153" t="s">
        <v>292</v>
      </c>
      <c r="E273" s="153" t="s">
        <v>10</v>
      </c>
      <c r="F273" s="153" t="s">
        <v>281</v>
      </c>
      <c r="G273" s="123">
        <v>103.8</v>
      </c>
      <c r="H273" s="124">
        <v>1380</v>
      </c>
      <c r="I273" s="154" t="str">
        <f t="shared" si="16"/>
        <v>OK</v>
      </c>
      <c r="J273" s="166" t="str">
        <f t="shared" si="17"/>
        <v/>
      </c>
    </row>
    <row r="274" spans="1:10" ht="24" customHeight="1">
      <c r="A274" s="160" t="s">
        <v>293</v>
      </c>
      <c r="B274" s="152">
        <v>45778</v>
      </c>
      <c r="C274" s="152">
        <v>46142</v>
      </c>
      <c r="D274" s="153" t="s">
        <v>292</v>
      </c>
      <c r="E274" s="153" t="s">
        <v>10</v>
      </c>
      <c r="F274" s="153" t="s">
        <v>281</v>
      </c>
      <c r="G274" s="123">
        <v>86.5</v>
      </c>
      <c r="H274" s="124">
        <v>1150</v>
      </c>
      <c r="I274" s="154" t="str">
        <f t="shared" si="16"/>
        <v>OK</v>
      </c>
      <c r="J274" s="166" t="str">
        <f t="shared" si="17"/>
        <v/>
      </c>
    </row>
    <row r="275" spans="1:10" ht="24" customHeight="1">
      <c r="A275" s="160" t="s">
        <v>293</v>
      </c>
      <c r="B275" s="152">
        <v>45778</v>
      </c>
      <c r="C275" s="152">
        <v>46142</v>
      </c>
      <c r="D275" s="153" t="s">
        <v>292</v>
      </c>
      <c r="E275" s="153" t="s">
        <v>10</v>
      </c>
      <c r="F275" s="153" t="s">
        <v>281</v>
      </c>
      <c r="G275" s="123">
        <v>69.2</v>
      </c>
      <c r="H275" s="124">
        <v>920</v>
      </c>
      <c r="I275" s="154" t="str">
        <f t="shared" si="16"/>
        <v>OK</v>
      </c>
      <c r="J275" s="166" t="str">
        <f t="shared" si="17"/>
        <v/>
      </c>
    </row>
    <row r="276" spans="1:10" ht="24" customHeight="1">
      <c r="A276" s="160" t="s">
        <v>293</v>
      </c>
      <c r="B276" s="152">
        <v>45778</v>
      </c>
      <c r="C276" s="152">
        <v>46142</v>
      </c>
      <c r="D276" s="153" t="s">
        <v>292</v>
      </c>
      <c r="E276" s="153" t="s">
        <v>10</v>
      </c>
      <c r="F276" s="153" t="s">
        <v>281</v>
      </c>
      <c r="G276" s="123">
        <v>51.9</v>
      </c>
      <c r="H276" s="124">
        <v>690</v>
      </c>
      <c r="I276" s="154" t="str">
        <f t="shared" si="16"/>
        <v>OK</v>
      </c>
      <c r="J276" s="166" t="str">
        <f t="shared" si="17"/>
        <v/>
      </c>
    </row>
    <row r="277" spans="1:10" ht="24" customHeight="1">
      <c r="A277" s="160" t="s">
        <v>293</v>
      </c>
      <c r="B277" s="152">
        <v>45778</v>
      </c>
      <c r="C277" s="152">
        <v>46142</v>
      </c>
      <c r="D277" s="153" t="s">
        <v>292</v>
      </c>
      <c r="E277" s="153" t="s">
        <v>10</v>
      </c>
      <c r="F277" s="153" t="s">
        <v>281</v>
      </c>
      <c r="G277" s="123">
        <v>47.58</v>
      </c>
      <c r="H277" s="124">
        <v>632.5</v>
      </c>
      <c r="I277" s="154" t="str">
        <f t="shared" si="16"/>
        <v>OK</v>
      </c>
      <c r="J277" s="166" t="str">
        <f t="shared" si="17"/>
        <v/>
      </c>
    </row>
    <row r="278" spans="1:10" ht="24" customHeight="1">
      <c r="A278" s="160" t="s">
        <v>293</v>
      </c>
      <c r="B278" s="152">
        <v>45778</v>
      </c>
      <c r="C278" s="152">
        <v>46142</v>
      </c>
      <c r="D278" s="153" t="s">
        <v>292</v>
      </c>
      <c r="E278" s="153" t="s">
        <v>10</v>
      </c>
      <c r="F278" s="153" t="s">
        <v>281</v>
      </c>
      <c r="G278" s="123">
        <v>43.25</v>
      </c>
      <c r="H278" s="124">
        <v>575</v>
      </c>
      <c r="I278" s="154" t="str">
        <f t="shared" si="16"/>
        <v>OK</v>
      </c>
      <c r="J278" s="166" t="str">
        <f t="shared" si="17"/>
        <v/>
      </c>
    </row>
    <row r="279" spans="1:10" ht="24" customHeight="1">
      <c r="A279" s="160" t="s">
        <v>293</v>
      </c>
      <c r="B279" s="152">
        <v>45778</v>
      </c>
      <c r="C279" s="152">
        <v>46142</v>
      </c>
      <c r="D279" s="153" t="s">
        <v>292</v>
      </c>
      <c r="E279" s="153" t="s">
        <v>10</v>
      </c>
      <c r="F279" s="153" t="s">
        <v>281</v>
      </c>
      <c r="G279" s="123">
        <v>34.6</v>
      </c>
      <c r="H279" s="124">
        <v>460</v>
      </c>
      <c r="I279" s="154" t="str">
        <f t="shared" si="16"/>
        <v>OK</v>
      </c>
      <c r="J279" s="166" t="str">
        <f t="shared" si="17"/>
        <v/>
      </c>
    </row>
    <row r="280" spans="1:10" ht="24" customHeight="1" thickBot="1">
      <c r="A280" s="160" t="s">
        <v>293</v>
      </c>
      <c r="B280" s="152">
        <v>45778</v>
      </c>
      <c r="C280" s="152">
        <v>46142</v>
      </c>
      <c r="D280" s="153" t="s">
        <v>292</v>
      </c>
      <c r="E280" s="153" t="s">
        <v>10</v>
      </c>
      <c r="F280" s="153" t="s">
        <v>281</v>
      </c>
      <c r="G280" s="123">
        <v>32.01</v>
      </c>
      <c r="H280" s="124">
        <v>425.5</v>
      </c>
      <c r="I280" s="154" t="str">
        <f t="shared" si="16"/>
        <v>OK</v>
      </c>
      <c r="J280" s="166" t="str">
        <f t="shared" si="17"/>
        <v/>
      </c>
    </row>
    <row r="281" spans="1:10" ht="24" customHeight="1">
      <c r="A281" s="159" t="s">
        <v>293</v>
      </c>
      <c r="B281" s="149">
        <v>45778</v>
      </c>
      <c r="C281" s="149">
        <v>46142</v>
      </c>
      <c r="D281" s="150" t="s">
        <v>11</v>
      </c>
      <c r="E281" s="150" t="s">
        <v>10</v>
      </c>
      <c r="F281" s="150" t="s">
        <v>282</v>
      </c>
      <c r="G281" s="121">
        <v>173</v>
      </c>
      <c r="H281" s="122">
        <v>2300</v>
      </c>
      <c r="I281" s="151" t="str">
        <f t="shared" si="16"/>
        <v>OK</v>
      </c>
      <c r="J281" s="165" t="str">
        <f t="shared" si="17"/>
        <v/>
      </c>
    </row>
    <row r="282" spans="1:10" ht="24" customHeight="1">
      <c r="A282" s="160" t="s">
        <v>293</v>
      </c>
      <c r="B282" s="152">
        <v>45778</v>
      </c>
      <c r="C282" s="152">
        <v>46142</v>
      </c>
      <c r="D282" s="153" t="s">
        <v>11</v>
      </c>
      <c r="E282" s="153" t="s">
        <v>10</v>
      </c>
      <c r="F282" s="153" t="s">
        <v>282</v>
      </c>
      <c r="G282" s="123">
        <v>151.38</v>
      </c>
      <c r="H282" s="124">
        <v>2012.5</v>
      </c>
      <c r="I282" s="154" t="str">
        <f t="shared" si="16"/>
        <v>OK</v>
      </c>
      <c r="J282" s="166" t="str">
        <f t="shared" si="17"/>
        <v/>
      </c>
    </row>
    <row r="283" spans="1:10" ht="24" customHeight="1">
      <c r="A283" s="160" t="s">
        <v>293</v>
      </c>
      <c r="B283" s="152">
        <v>45778</v>
      </c>
      <c r="C283" s="152">
        <v>46142</v>
      </c>
      <c r="D283" s="153" t="s">
        <v>11</v>
      </c>
      <c r="E283" s="153" t="s">
        <v>10</v>
      </c>
      <c r="F283" s="153" t="s">
        <v>282</v>
      </c>
      <c r="G283" s="123">
        <v>138.4</v>
      </c>
      <c r="H283" s="124">
        <v>1840</v>
      </c>
      <c r="I283" s="154" t="str">
        <f t="shared" si="16"/>
        <v>OK</v>
      </c>
      <c r="J283" s="166" t="str">
        <f t="shared" si="17"/>
        <v/>
      </c>
    </row>
    <row r="284" spans="1:10" ht="24" customHeight="1">
      <c r="A284" s="160" t="s">
        <v>293</v>
      </c>
      <c r="B284" s="152">
        <v>45778</v>
      </c>
      <c r="C284" s="152">
        <v>46142</v>
      </c>
      <c r="D284" s="153" t="s">
        <v>11</v>
      </c>
      <c r="E284" s="153" t="s">
        <v>10</v>
      </c>
      <c r="F284" s="153" t="s">
        <v>282</v>
      </c>
      <c r="G284" s="123">
        <v>129.75</v>
      </c>
      <c r="H284" s="124">
        <v>1725</v>
      </c>
      <c r="I284" s="154" t="str">
        <f t="shared" si="16"/>
        <v>OK</v>
      </c>
      <c r="J284" s="166" t="str">
        <f t="shared" si="17"/>
        <v/>
      </c>
    </row>
    <row r="285" spans="1:10" ht="24" customHeight="1">
      <c r="A285" s="160" t="s">
        <v>293</v>
      </c>
      <c r="B285" s="152">
        <v>45778</v>
      </c>
      <c r="C285" s="152">
        <v>46142</v>
      </c>
      <c r="D285" s="153" t="s">
        <v>11</v>
      </c>
      <c r="E285" s="153" t="s">
        <v>10</v>
      </c>
      <c r="F285" s="153" t="s">
        <v>282</v>
      </c>
      <c r="G285" s="123">
        <v>108.13</v>
      </c>
      <c r="H285" s="124">
        <v>1437.5</v>
      </c>
      <c r="I285" s="154" t="str">
        <f t="shared" si="16"/>
        <v>OK</v>
      </c>
      <c r="J285" s="166" t="str">
        <f t="shared" si="17"/>
        <v/>
      </c>
    </row>
    <row r="286" spans="1:10" ht="24" customHeight="1">
      <c r="A286" s="160" t="s">
        <v>293</v>
      </c>
      <c r="B286" s="152">
        <v>45778</v>
      </c>
      <c r="C286" s="152">
        <v>46142</v>
      </c>
      <c r="D286" s="153" t="s">
        <v>11</v>
      </c>
      <c r="E286" s="153" t="s">
        <v>10</v>
      </c>
      <c r="F286" s="153" t="s">
        <v>282</v>
      </c>
      <c r="G286" s="123">
        <v>103.8</v>
      </c>
      <c r="H286" s="124">
        <v>1380</v>
      </c>
      <c r="I286" s="154" t="str">
        <f t="shared" si="16"/>
        <v>OK</v>
      </c>
      <c r="J286" s="166" t="str">
        <f t="shared" si="17"/>
        <v/>
      </c>
    </row>
    <row r="287" spans="1:10" ht="24" customHeight="1">
      <c r="A287" s="160" t="s">
        <v>293</v>
      </c>
      <c r="B287" s="152">
        <v>45778</v>
      </c>
      <c r="C287" s="152">
        <v>46142</v>
      </c>
      <c r="D287" s="153" t="s">
        <v>11</v>
      </c>
      <c r="E287" s="153" t="s">
        <v>10</v>
      </c>
      <c r="F287" s="153" t="s">
        <v>282</v>
      </c>
      <c r="G287" s="123">
        <v>86.5</v>
      </c>
      <c r="H287" s="124">
        <v>1150</v>
      </c>
      <c r="I287" s="154" t="str">
        <f t="shared" si="16"/>
        <v>OK</v>
      </c>
      <c r="J287" s="166" t="str">
        <f t="shared" si="17"/>
        <v/>
      </c>
    </row>
    <row r="288" spans="1:10" ht="24" customHeight="1">
      <c r="A288" s="160" t="s">
        <v>293</v>
      </c>
      <c r="B288" s="152">
        <v>45778</v>
      </c>
      <c r="C288" s="152">
        <v>46142</v>
      </c>
      <c r="D288" s="153" t="s">
        <v>11</v>
      </c>
      <c r="E288" s="153" t="s">
        <v>10</v>
      </c>
      <c r="F288" s="153" t="s">
        <v>282</v>
      </c>
      <c r="G288" s="123">
        <v>69.2</v>
      </c>
      <c r="H288" s="124">
        <v>920</v>
      </c>
      <c r="I288" s="154" t="str">
        <f t="shared" si="16"/>
        <v>OK</v>
      </c>
      <c r="J288" s="166" t="str">
        <f t="shared" si="17"/>
        <v/>
      </c>
    </row>
    <row r="289" spans="1:10" ht="24" customHeight="1">
      <c r="A289" s="160" t="s">
        <v>293</v>
      </c>
      <c r="B289" s="152">
        <v>45778</v>
      </c>
      <c r="C289" s="152">
        <v>46142</v>
      </c>
      <c r="D289" s="153" t="s">
        <v>11</v>
      </c>
      <c r="E289" s="153" t="s">
        <v>10</v>
      </c>
      <c r="F289" s="153" t="s">
        <v>282</v>
      </c>
      <c r="G289" s="123">
        <v>51.9</v>
      </c>
      <c r="H289" s="124">
        <v>690</v>
      </c>
      <c r="I289" s="154" t="str">
        <f t="shared" si="16"/>
        <v>OK</v>
      </c>
      <c r="J289" s="166" t="str">
        <f t="shared" si="17"/>
        <v/>
      </c>
    </row>
    <row r="290" spans="1:10" ht="24" customHeight="1">
      <c r="A290" s="160" t="s">
        <v>293</v>
      </c>
      <c r="B290" s="152">
        <v>45778</v>
      </c>
      <c r="C290" s="152">
        <v>46142</v>
      </c>
      <c r="D290" s="153" t="s">
        <v>11</v>
      </c>
      <c r="E290" s="153" t="s">
        <v>10</v>
      </c>
      <c r="F290" s="153" t="s">
        <v>282</v>
      </c>
      <c r="G290" s="123">
        <v>47.58</v>
      </c>
      <c r="H290" s="124">
        <v>632.5</v>
      </c>
      <c r="I290" s="154" t="str">
        <f t="shared" si="16"/>
        <v>OK</v>
      </c>
      <c r="J290" s="166" t="str">
        <f t="shared" si="17"/>
        <v/>
      </c>
    </row>
    <row r="291" spans="1:10" ht="24" customHeight="1">
      <c r="A291" s="160" t="s">
        <v>293</v>
      </c>
      <c r="B291" s="152">
        <v>45778</v>
      </c>
      <c r="C291" s="152">
        <v>46142</v>
      </c>
      <c r="D291" s="153" t="s">
        <v>11</v>
      </c>
      <c r="E291" s="153" t="s">
        <v>10</v>
      </c>
      <c r="F291" s="153" t="s">
        <v>282</v>
      </c>
      <c r="G291" s="123">
        <v>43.25</v>
      </c>
      <c r="H291" s="124">
        <v>575</v>
      </c>
      <c r="I291" s="154" t="str">
        <f t="shared" ref="I291:I319" si="18">IF($A291="","",IF(OR($B291="",$C291="",$D291="",$E291="",$F291=""),"Stammdaten fehlen",IF(AND($G291="",$H291=""),"Werte fehlen",IF($G291="","Monatsstunden fehlen",IF($H291="","Monatslohn fehlt","OK")))))</f>
        <v>OK</v>
      </c>
      <c r="J291" s="166" t="str">
        <f t="shared" ref="J291:J319" si="19">IF($G291="","",IF(COUNTIFS($A:$A,$A291,$D:$D,$D291,$G:$G,$G291)&gt;1,"Doppelte Monatsstunden",""))</f>
        <v/>
      </c>
    </row>
    <row r="292" spans="1:10" ht="24" customHeight="1">
      <c r="A292" s="160" t="s">
        <v>293</v>
      </c>
      <c r="B292" s="152">
        <v>45778</v>
      </c>
      <c r="C292" s="152">
        <v>46142</v>
      </c>
      <c r="D292" s="153" t="s">
        <v>11</v>
      </c>
      <c r="E292" s="153" t="s">
        <v>10</v>
      </c>
      <c r="F292" s="153" t="s">
        <v>282</v>
      </c>
      <c r="G292" s="123">
        <v>34.6</v>
      </c>
      <c r="H292" s="124">
        <v>460</v>
      </c>
      <c r="I292" s="154" t="str">
        <f t="shared" si="18"/>
        <v>OK</v>
      </c>
      <c r="J292" s="166" t="str">
        <f t="shared" si="19"/>
        <v/>
      </c>
    </row>
    <row r="293" spans="1:10" ht="24" customHeight="1" thickBot="1">
      <c r="A293" s="160" t="s">
        <v>293</v>
      </c>
      <c r="B293" s="152">
        <v>45778</v>
      </c>
      <c r="C293" s="152">
        <v>46142</v>
      </c>
      <c r="D293" s="153" t="s">
        <v>11</v>
      </c>
      <c r="E293" s="153" t="s">
        <v>10</v>
      </c>
      <c r="F293" s="153" t="s">
        <v>282</v>
      </c>
      <c r="G293" s="123">
        <v>32.01</v>
      </c>
      <c r="H293" s="124">
        <v>425.5</v>
      </c>
      <c r="I293" s="154" t="str">
        <f t="shared" si="18"/>
        <v>OK</v>
      </c>
      <c r="J293" s="166" t="str">
        <f t="shared" si="19"/>
        <v/>
      </c>
    </row>
    <row r="294" spans="1:10" ht="24" customHeight="1">
      <c r="A294" s="159" t="s">
        <v>293</v>
      </c>
      <c r="B294" s="149">
        <v>45778</v>
      </c>
      <c r="C294" s="149">
        <v>46142</v>
      </c>
      <c r="D294" s="150" t="s">
        <v>12</v>
      </c>
      <c r="E294" s="150" t="s">
        <v>10</v>
      </c>
      <c r="F294" s="150" t="s">
        <v>283</v>
      </c>
      <c r="G294" s="121">
        <v>173</v>
      </c>
      <c r="H294" s="122">
        <v>2300</v>
      </c>
      <c r="I294" s="151" t="str">
        <f t="shared" si="18"/>
        <v>OK</v>
      </c>
      <c r="J294" s="165" t="str">
        <f t="shared" si="19"/>
        <v/>
      </c>
    </row>
    <row r="295" spans="1:10" ht="24" customHeight="1">
      <c r="A295" s="160" t="s">
        <v>293</v>
      </c>
      <c r="B295" s="152">
        <v>45778</v>
      </c>
      <c r="C295" s="152">
        <v>46142</v>
      </c>
      <c r="D295" s="153" t="s">
        <v>12</v>
      </c>
      <c r="E295" s="153" t="s">
        <v>10</v>
      </c>
      <c r="F295" s="153" t="s">
        <v>283</v>
      </c>
      <c r="G295" s="123">
        <v>151.38</v>
      </c>
      <c r="H295" s="124">
        <v>2012.5</v>
      </c>
      <c r="I295" s="154" t="str">
        <f t="shared" si="18"/>
        <v>OK</v>
      </c>
      <c r="J295" s="166" t="str">
        <f t="shared" si="19"/>
        <v/>
      </c>
    </row>
    <row r="296" spans="1:10" ht="24" customHeight="1">
      <c r="A296" s="160" t="s">
        <v>293</v>
      </c>
      <c r="B296" s="152">
        <v>45778</v>
      </c>
      <c r="C296" s="152">
        <v>46142</v>
      </c>
      <c r="D296" s="153" t="s">
        <v>12</v>
      </c>
      <c r="E296" s="153" t="s">
        <v>10</v>
      </c>
      <c r="F296" s="153" t="s">
        <v>283</v>
      </c>
      <c r="G296" s="123">
        <v>138.4</v>
      </c>
      <c r="H296" s="124">
        <v>1840</v>
      </c>
      <c r="I296" s="154" t="str">
        <f t="shared" si="18"/>
        <v>OK</v>
      </c>
      <c r="J296" s="166" t="str">
        <f t="shared" si="19"/>
        <v/>
      </c>
    </row>
    <row r="297" spans="1:10" ht="24" customHeight="1">
      <c r="A297" s="160" t="s">
        <v>293</v>
      </c>
      <c r="B297" s="152">
        <v>45778</v>
      </c>
      <c r="C297" s="152">
        <v>46142</v>
      </c>
      <c r="D297" s="153" t="s">
        <v>12</v>
      </c>
      <c r="E297" s="153" t="s">
        <v>10</v>
      </c>
      <c r="F297" s="153" t="s">
        <v>283</v>
      </c>
      <c r="G297" s="123">
        <v>129.75</v>
      </c>
      <c r="H297" s="124">
        <v>1725</v>
      </c>
      <c r="I297" s="154" t="str">
        <f t="shared" si="18"/>
        <v>OK</v>
      </c>
      <c r="J297" s="166" t="str">
        <f t="shared" si="19"/>
        <v/>
      </c>
    </row>
    <row r="298" spans="1:10" ht="24" customHeight="1">
      <c r="A298" s="160" t="s">
        <v>293</v>
      </c>
      <c r="B298" s="152">
        <v>45778</v>
      </c>
      <c r="C298" s="152">
        <v>46142</v>
      </c>
      <c r="D298" s="153" t="s">
        <v>12</v>
      </c>
      <c r="E298" s="153" t="s">
        <v>10</v>
      </c>
      <c r="F298" s="153" t="s">
        <v>283</v>
      </c>
      <c r="G298" s="123">
        <v>108.13</v>
      </c>
      <c r="H298" s="124">
        <v>1437.5</v>
      </c>
      <c r="I298" s="154" t="str">
        <f t="shared" si="18"/>
        <v>OK</v>
      </c>
      <c r="J298" s="166" t="str">
        <f t="shared" si="19"/>
        <v/>
      </c>
    </row>
    <row r="299" spans="1:10" ht="24" customHeight="1">
      <c r="A299" s="160" t="s">
        <v>293</v>
      </c>
      <c r="B299" s="152">
        <v>45778</v>
      </c>
      <c r="C299" s="152">
        <v>46142</v>
      </c>
      <c r="D299" s="153" t="s">
        <v>12</v>
      </c>
      <c r="E299" s="153" t="s">
        <v>10</v>
      </c>
      <c r="F299" s="153" t="s">
        <v>283</v>
      </c>
      <c r="G299" s="123">
        <v>103.8</v>
      </c>
      <c r="H299" s="124">
        <v>1380</v>
      </c>
      <c r="I299" s="154" t="str">
        <f t="shared" si="18"/>
        <v>OK</v>
      </c>
      <c r="J299" s="166" t="str">
        <f t="shared" si="19"/>
        <v/>
      </c>
    </row>
    <row r="300" spans="1:10" ht="24" customHeight="1">
      <c r="A300" s="160" t="s">
        <v>293</v>
      </c>
      <c r="B300" s="152">
        <v>45778</v>
      </c>
      <c r="C300" s="152">
        <v>46142</v>
      </c>
      <c r="D300" s="153" t="s">
        <v>12</v>
      </c>
      <c r="E300" s="153" t="s">
        <v>10</v>
      </c>
      <c r="F300" s="153" t="s">
        <v>283</v>
      </c>
      <c r="G300" s="123">
        <v>86.5</v>
      </c>
      <c r="H300" s="124">
        <v>1150</v>
      </c>
      <c r="I300" s="154" t="str">
        <f t="shared" si="18"/>
        <v>OK</v>
      </c>
      <c r="J300" s="166" t="str">
        <f t="shared" si="19"/>
        <v/>
      </c>
    </row>
    <row r="301" spans="1:10" ht="24" customHeight="1">
      <c r="A301" s="160" t="s">
        <v>293</v>
      </c>
      <c r="B301" s="152">
        <v>45778</v>
      </c>
      <c r="C301" s="152">
        <v>46142</v>
      </c>
      <c r="D301" s="153" t="s">
        <v>12</v>
      </c>
      <c r="E301" s="153" t="s">
        <v>10</v>
      </c>
      <c r="F301" s="153" t="s">
        <v>283</v>
      </c>
      <c r="G301" s="123">
        <v>69.2</v>
      </c>
      <c r="H301" s="124">
        <v>920</v>
      </c>
      <c r="I301" s="154" t="str">
        <f t="shared" si="18"/>
        <v>OK</v>
      </c>
      <c r="J301" s="166" t="str">
        <f t="shared" si="19"/>
        <v/>
      </c>
    </row>
    <row r="302" spans="1:10" ht="24" customHeight="1">
      <c r="A302" s="160" t="s">
        <v>293</v>
      </c>
      <c r="B302" s="152">
        <v>45778</v>
      </c>
      <c r="C302" s="152">
        <v>46142</v>
      </c>
      <c r="D302" s="153" t="s">
        <v>12</v>
      </c>
      <c r="E302" s="153" t="s">
        <v>10</v>
      </c>
      <c r="F302" s="153" t="s">
        <v>283</v>
      </c>
      <c r="G302" s="123">
        <v>51.9</v>
      </c>
      <c r="H302" s="124">
        <v>690</v>
      </c>
      <c r="I302" s="154" t="str">
        <f t="shared" si="18"/>
        <v>OK</v>
      </c>
      <c r="J302" s="166" t="str">
        <f t="shared" si="19"/>
        <v/>
      </c>
    </row>
    <row r="303" spans="1:10" ht="24" customHeight="1">
      <c r="A303" s="160" t="s">
        <v>293</v>
      </c>
      <c r="B303" s="152">
        <v>45778</v>
      </c>
      <c r="C303" s="152">
        <v>46142</v>
      </c>
      <c r="D303" s="153" t="s">
        <v>12</v>
      </c>
      <c r="E303" s="153" t="s">
        <v>10</v>
      </c>
      <c r="F303" s="153" t="s">
        <v>283</v>
      </c>
      <c r="G303" s="123">
        <v>47.58</v>
      </c>
      <c r="H303" s="124">
        <v>632.5</v>
      </c>
      <c r="I303" s="154" t="str">
        <f t="shared" si="18"/>
        <v>OK</v>
      </c>
      <c r="J303" s="166" t="str">
        <f t="shared" si="19"/>
        <v/>
      </c>
    </row>
    <row r="304" spans="1:10" ht="24" customHeight="1">
      <c r="A304" s="160" t="s">
        <v>293</v>
      </c>
      <c r="B304" s="152">
        <v>45778</v>
      </c>
      <c r="C304" s="152">
        <v>46142</v>
      </c>
      <c r="D304" s="153" t="s">
        <v>12</v>
      </c>
      <c r="E304" s="153" t="s">
        <v>10</v>
      </c>
      <c r="F304" s="153" t="s">
        <v>283</v>
      </c>
      <c r="G304" s="123">
        <v>43.25</v>
      </c>
      <c r="H304" s="124">
        <v>575</v>
      </c>
      <c r="I304" s="154" t="str">
        <f t="shared" si="18"/>
        <v>OK</v>
      </c>
      <c r="J304" s="166" t="str">
        <f t="shared" si="19"/>
        <v/>
      </c>
    </row>
    <row r="305" spans="1:10" ht="24" customHeight="1">
      <c r="A305" s="160" t="s">
        <v>293</v>
      </c>
      <c r="B305" s="152">
        <v>45778</v>
      </c>
      <c r="C305" s="152">
        <v>46142</v>
      </c>
      <c r="D305" s="153" t="s">
        <v>12</v>
      </c>
      <c r="E305" s="153" t="s">
        <v>10</v>
      </c>
      <c r="F305" s="153" t="s">
        <v>283</v>
      </c>
      <c r="G305" s="123">
        <v>34.6</v>
      </c>
      <c r="H305" s="124">
        <v>460</v>
      </c>
      <c r="I305" s="154" t="str">
        <f t="shared" si="18"/>
        <v>OK</v>
      </c>
      <c r="J305" s="166" t="str">
        <f t="shared" si="19"/>
        <v/>
      </c>
    </row>
    <row r="306" spans="1:10" ht="24" customHeight="1" thickBot="1">
      <c r="A306" s="160" t="s">
        <v>293</v>
      </c>
      <c r="B306" s="152">
        <v>45778</v>
      </c>
      <c r="C306" s="152">
        <v>46142</v>
      </c>
      <c r="D306" s="153" t="s">
        <v>12</v>
      </c>
      <c r="E306" s="153" t="s">
        <v>10</v>
      </c>
      <c r="F306" s="153" t="s">
        <v>283</v>
      </c>
      <c r="G306" s="123">
        <v>32.01</v>
      </c>
      <c r="H306" s="124">
        <v>425.5</v>
      </c>
      <c r="I306" s="154" t="str">
        <f t="shared" si="18"/>
        <v>OK</v>
      </c>
      <c r="J306" s="166" t="str">
        <f t="shared" si="19"/>
        <v/>
      </c>
    </row>
    <row r="307" spans="1:10" ht="24" customHeight="1">
      <c r="A307" s="159" t="s">
        <v>293</v>
      </c>
      <c r="B307" s="149">
        <v>45778</v>
      </c>
      <c r="C307" s="149">
        <v>46142</v>
      </c>
      <c r="D307" s="150" t="s">
        <v>13</v>
      </c>
      <c r="E307" s="150" t="s">
        <v>10</v>
      </c>
      <c r="F307" s="150" t="s">
        <v>284</v>
      </c>
      <c r="G307" s="121">
        <v>173</v>
      </c>
      <c r="H307" s="122">
        <v>2328</v>
      </c>
      <c r="I307" s="151" t="str">
        <f t="shared" si="18"/>
        <v>OK</v>
      </c>
      <c r="J307" s="165" t="str">
        <f t="shared" si="19"/>
        <v/>
      </c>
    </row>
    <row r="308" spans="1:10" ht="24" customHeight="1">
      <c r="A308" s="160" t="s">
        <v>293</v>
      </c>
      <c r="B308" s="152">
        <v>45778</v>
      </c>
      <c r="C308" s="152">
        <v>46142</v>
      </c>
      <c r="D308" s="153" t="s">
        <v>13</v>
      </c>
      <c r="E308" s="153" t="s">
        <v>10</v>
      </c>
      <c r="F308" s="153" t="s">
        <v>284</v>
      </c>
      <c r="G308" s="123">
        <v>151.38</v>
      </c>
      <c r="H308" s="124">
        <v>2037</v>
      </c>
      <c r="I308" s="154" t="str">
        <f t="shared" si="18"/>
        <v>OK</v>
      </c>
      <c r="J308" s="166" t="str">
        <f t="shared" si="19"/>
        <v/>
      </c>
    </row>
    <row r="309" spans="1:10" ht="24" customHeight="1">
      <c r="A309" s="160" t="s">
        <v>293</v>
      </c>
      <c r="B309" s="152">
        <v>45778</v>
      </c>
      <c r="C309" s="152">
        <v>46142</v>
      </c>
      <c r="D309" s="153" t="s">
        <v>13</v>
      </c>
      <c r="E309" s="153" t="s">
        <v>10</v>
      </c>
      <c r="F309" s="153" t="s">
        <v>284</v>
      </c>
      <c r="G309" s="123">
        <v>138.4</v>
      </c>
      <c r="H309" s="124">
        <v>1862.4</v>
      </c>
      <c r="I309" s="154" t="str">
        <f t="shared" si="18"/>
        <v>OK</v>
      </c>
      <c r="J309" s="166" t="str">
        <f t="shared" si="19"/>
        <v/>
      </c>
    </row>
    <row r="310" spans="1:10" ht="24" customHeight="1">
      <c r="A310" s="160" t="s">
        <v>293</v>
      </c>
      <c r="B310" s="152">
        <v>45778</v>
      </c>
      <c r="C310" s="152">
        <v>46142</v>
      </c>
      <c r="D310" s="153" t="s">
        <v>13</v>
      </c>
      <c r="E310" s="153" t="s">
        <v>10</v>
      </c>
      <c r="F310" s="153" t="s">
        <v>284</v>
      </c>
      <c r="G310" s="123">
        <v>129.75</v>
      </c>
      <c r="H310" s="124">
        <v>1476</v>
      </c>
      <c r="I310" s="154" t="str">
        <f t="shared" si="18"/>
        <v>OK</v>
      </c>
      <c r="J310" s="166" t="str">
        <f t="shared" si="19"/>
        <v/>
      </c>
    </row>
    <row r="311" spans="1:10" ht="24" customHeight="1">
      <c r="A311" s="160" t="s">
        <v>293</v>
      </c>
      <c r="B311" s="152">
        <v>45778</v>
      </c>
      <c r="C311" s="152">
        <v>46142</v>
      </c>
      <c r="D311" s="153" t="s">
        <v>13</v>
      </c>
      <c r="E311" s="153" t="s">
        <v>10</v>
      </c>
      <c r="F311" s="153" t="s">
        <v>284</v>
      </c>
      <c r="G311" s="123">
        <v>108.13</v>
      </c>
      <c r="H311" s="124">
        <v>1455</v>
      </c>
      <c r="I311" s="154" t="str">
        <f t="shared" si="18"/>
        <v>OK</v>
      </c>
      <c r="J311" s="166" t="str">
        <f t="shared" si="19"/>
        <v/>
      </c>
    </row>
    <row r="312" spans="1:10" ht="24" customHeight="1">
      <c r="A312" s="160" t="s">
        <v>293</v>
      </c>
      <c r="B312" s="152">
        <v>45778</v>
      </c>
      <c r="C312" s="152">
        <v>46142</v>
      </c>
      <c r="D312" s="153" t="s">
        <v>13</v>
      </c>
      <c r="E312" s="153" t="s">
        <v>10</v>
      </c>
      <c r="F312" s="153" t="s">
        <v>284</v>
      </c>
      <c r="G312" s="123">
        <v>103.8</v>
      </c>
      <c r="H312" s="124">
        <v>1396.8</v>
      </c>
      <c r="I312" s="154" t="str">
        <f t="shared" si="18"/>
        <v>OK</v>
      </c>
      <c r="J312" s="166" t="str">
        <f t="shared" si="19"/>
        <v/>
      </c>
    </row>
    <row r="313" spans="1:10" ht="24" customHeight="1">
      <c r="A313" s="160" t="s">
        <v>293</v>
      </c>
      <c r="B313" s="152">
        <v>45778</v>
      </c>
      <c r="C313" s="152">
        <v>46142</v>
      </c>
      <c r="D313" s="153" t="s">
        <v>13</v>
      </c>
      <c r="E313" s="153" t="s">
        <v>10</v>
      </c>
      <c r="F313" s="153" t="s">
        <v>284</v>
      </c>
      <c r="G313" s="123">
        <v>86.5</v>
      </c>
      <c r="H313" s="124">
        <v>1164</v>
      </c>
      <c r="I313" s="154" t="str">
        <f t="shared" si="18"/>
        <v>OK</v>
      </c>
      <c r="J313" s="166" t="str">
        <f t="shared" si="19"/>
        <v/>
      </c>
    </row>
    <row r="314" spans="1:10" ht="24" customHeight="1">
      <c r="A314" s="160" t="s">
        <v>293</v>
      </c>
      <c r="B314" s="152">
        <v>45778</v>
      </c>
      <c r="C314" s="152">
        <v>46142</v>
      </c>
      <c r="D314" s="153" t="s">
        <v>13</v>
      </c>
      <c r="E314" s="153" t="s">
        <v>10</v>
      </c>
      <c r="F314" s="153" t="s">
        <v>284</v>
      </c>
      <c r="G314" s="123">
        <v>69.2</v>
      </c>
      <c r="H314" s="124">
        <v>931.2</v>
      </c>
      <c r="I314" s="154" t="str">
        <f t="shared" si="18"/>
        <v>OK</v>
      </c>
      <c r="J314" s="166" t="str">
        <f t="shared" si="19"/>
        <v/>
      </c>
    </row>
    <row r="315" spans="1:10" ht="24" customHeight="1">
      <c r="A315" s="160" t="s">
        <v>293</v>
      </c>
      <c r="B315" s="152">
        <v>45778</v>
      </c>
      <c r="C315" s="152">
        <v>46142</v>
      </c>
      <c r="D315" s="153" t="s">
        <v>13</v>
      </c>
      <c r="E315" s="153" t="s">
        <v>10</v>
      </c>
      <c r="F315" s="153" t="s">
        <v>284</v>
      </c>
      <c r="G315" s="123">
        <v>51.9</v>
      </c>
      <c r="H315" s="124">
        <v>698.4</v>
      </c>
      <c r="I315" s="154" t="str">
        <f t="shared" si="18"/>
        <v>OK</v>
      </c>
      <c r="J315" s="166" t="str">
        <f t="shared" si="19"/>
        <v/>
      </c>
    </row>
    <row r="316" spans="1:10" ht="24" customHeight="1">
      <c r="A316" s="160" t="s">
        <v>293</v>
      </c>
      <c r="B316" s="152">
        <v>45778</v>
      </c>
      <c r="C316" s="152">
        <v>46142</v>
      </c>
      <c r="D316" s="153" t="s">
        <v>13</v>
      </c>
      <c r="E316" s="153" t="s">
        <v>10</v>
      </c>
      <c r="F316" s="153" t="s">
        <v>284</v>
      </c>
      <c r="G316" s="123">
        <v>47.58</v>
      </c>
      <c r="H316" s="124">
        <v>640</v>
      </c>
      <c r="I316" s="154" t="str">
        <f t="shared" si="18"/>
        <v>OK</v>
      </c>
      <c r="J316" s="166" t="str">
        <f t="shared" si="19"/>
        <v/>
      </c>
    </row>
    <row r="317" spans="1:10" ht="24" customHeight="1">
      <c r="A317" s="160" t="s">
        <v>293</v>
      </c>
      <c r="B317" s="152">
        <v>45778</v>
      </c>
      <c r="C317" s="152">
        <v>46142</v>
      </c>
      <c r="D317" s="153" t="s">
        <v>13</v>
      </c>
      <c r="E317" s="153" t="s">
        <v>10</v>
      </c>
      <c r="F317" s="153" t="s">
        <v>284</v>
      </c>
      <c r="G317" s="123">
        <v>43.25</v>
      </c>
      <c r="H317" s="124">
        <v>582</v>
      </c>
      <c r="I317" s="154" t="str">
        <f t="shared" si="18"/>
        <v>OK</v>
      </c>
      <c r="J317" s="166" t="str">
        <f t="shared" si="19"/>
        <v/>
      </c>
    </row>
    <row r="318" spans="1:10" ht="24" customHeight="1">
      <c r="A318" s="160" t="s">
        <v>293</v>
      </c>
      <c r="B318" s="152">
        <v>45778</v>
      </c>
      <c r="C318" s="152">
        <v>46142</v>
      </c>
      <c r="D318" s="153" t="s">
        <v>13</v>
      </c>
      <c r="E318" s="153" t="s">
        <v>10</v>
      </c>
      <c r="F318" s="153" t="s">
        <v>284</v>
      </c>
      <c r="G318" s="123">
        <v>34.6</v>
      </c>
      <c r="H318" s="124">
        <v>465.6</v>
      </c>
      <c r="I318" s="154" t="str">
        <f t="shared" si="18"/>
        <v>OK</v>
      </c>
      <c r="J318" s="166" t="str">
        <f t="shared" si="19"/>
        <v/>
      </c>
    </row>
    <row r="319" spans="1:10" ht="24" customHeight="1" thickBot="1">
      <c r="A319" s="167" t="s">
        <v>293</v>
      </c>
      <c r="B319" s="168">
        <v>45778</v>
      </c>
      <c r="C319" s="168">
        <v>46142</v>
      </c>
      <c r="D319" s="169" t="s">
        <v>13</v>
      </c>
      <c r="E319" s="169" t="s">
        <v>10</v>
      </c>
      <c r="F319" s="169" t="s">
        <v>284</v>
      </c>
      <c r="G319" s="125">
        <v>32.01</v>
      </c>
      <c r="H319" s="126">
        <v>430.68</v>
      </c>
      <c r="I319" s="170" t="str">
        <f t="shared" si="18"/>
        <v>OK</v>
      </c>
      <c r="J319" s="171" t="str">
        <f t="shared" si="19"/>
        <v/>
      </c>
    </row>
  </sheetData>
  <sheetProtection algorithmName="SHA-512" hashValue="csRXsauK9JyqLeqHnsY2Xd+r2G4bZFe5s53DKAXaZ3XxIDWOP960M8vqEzSP9nrgAAxRGWuIwDPAaVWkwvmA0A==" saltValue="lpqifKIRos9zbkzT+9aGjA==" spinCount="100000" sheet="1" objects="1" scenarios="1" sort="0" autoFilter="0"/>
  <mergeCells count="4">
    <mergeCell ref="A1:J1"/>
    <mergeCell ref="L2:N2"/>
    <mergeCell ref="A162:J16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C35" sqref="C35"/>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192" t="s">
        <v>399</v>
      </c>
      <c r="C1" s="192"/>
      <c r="D1" s="192"/>
      <c r="E1" s="192"/>
      <c r="F1" s="192"/>
      <c r="G1" s="192"/>
      <c r="H1" s="192"/>
      <c r="I1" s="192"/>
      <c r="J1" s="192"/>
      <c r="K1" s="192"/>
      <c r="L1" s="192"/>
      <c r="M1" s="192"/>
      <c r="N1" s="192"/>
      <c r="O1" s="192"/>
      <c r="P1" s="192"/>
      <c r="Q1" s="192"/>
      <c r="R1" s="192"/>
      <c r="S1" s="192"/>
      <c r="T1" s="192"/>
      <c r="U1" s="192"/>
    </row>
    <row r="2" spans="2:21" ht="17.25" customHeight="1">
      <c r="B2" s="21"/>
      <c r="C2" s="21"/>
      <c r="D2" s="21"/>
      <c r="E2" s="21"/>
      <c r="F2" s="21"/>
      <c r="G2" s="21"/>
      <c r="H2" s="21"/>
      <c r="I2" s="21"/>
      <c r="J2" s="21"/>
      <c r="K2" s="21"/>
      <c r="L2" s="21"/>
      <c r="M2" s="21"/>
      <c r="N2" s="21"/>
      <c r="O2" s="21"/>
      <c r="P2" s="22"/>
      <c r="Q2" s="22"/>
      <c r="R2" s="22"/>
      <c r="S2" s="397" t="s">
        <v>460</v>
      </c>
      <c r="T2" s="397"/>
      <c r="U2" s="397"/>
    </row>
    <row r="3" spans="2:21" ht="20" customHeight="1">
      <c r="B3" s="108"/>
      <c r="C3" s="108"/>
      <c r="D3" s="108"/>
      <c r="E3" s="108"/>
      <c r="F3" s="108"/>
      <c r="G3" s="22"/>
      <c r="H3" s="193" t="s">
        <v>14</v>
      </c>
      <c r="I3" s="193"/>
      <c r="J3" s="22"/>
      <c r="K3" s="193" t="s">
        <v>15</v>
      </c>
      <c r="L3" s="193"/>
      <c r="M3" s="22"/>
      <c r="N3" s="193" t="s">
        <v>16</v>
      </c>
      <c r="O3" s="193"/>
      <c r="P3" s="22"/>
      <c r="Q3" s="22"/>
      <c r="R3" s="22"/>
      <c r="S3" s="22"/>
      <c r="T3" s="22"/>
      <c r="U3" s="22"/>
    </row>
    <row r="4" spans="2:21" ht="20" customHeight="1" thickBot="1">
      <c r="B4" s="108"/>
      <c r="C4" s="109"/>
      <c r="D4" s="109"/>
      <c r="E4" s="109"/>
      <c r="F4" s="109"/>
      <c r="G4" s="22"/>
      <c r="H4" s="194"/>
      <c r="I4" s="194"/>
      <c r="J4" s="22"/>
      <c r="K4" s="194"/>
      <c r="L4" s="194"/>
      <c r="M4" s="22"/>
      <c r="N4" s="194"/>
      <c r="O4" s="194"/>
      <c r="P4" s="22"/>
      <c r="Q4" s="22"/>
      <c r="R4" s="22"/>
      <c r="S4" s="22"/>
      <c r="T4" s="22"/>
      <c r="U4" s="22"/>
    </row>
    <row r="5" spans="2:21" ht="18" customHeight="1">
      <c r="B5" s="38"/>
      <c r="C5" s="23" t="s">
        <v>17</v>
      </c>
      <c r="D5" s="24" t="s">
        <v>18</v>
      </c>
      <c r="E5" s="24" t="s">
        <v>19</v>
      </c>
      <c r="F5" s="25" t="s">
        <v>20</v>
      </c>
      <c r="G5" s="22"/>
      <c r="H5" s="195" t="s">
        <v>21</v>
      </c>
      <c r="I5" s="196"/>
      <c r="J5" s="22"/>
      <c r="K5" s="195" t="s">
        <v>21</v>
      </c>
      <c r="L5" s="196"/>
      <c r="M5" s="22"/>
      <c r="N5" s="195" t="s">
        <v>22</v>
      </c>
      <c r="O5" s="196"/>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193" t="s">
        <v>36</v>
      </c>
      <c r="C19" s="193"/>
      <c r="D19" s="193"/>
      <c r="E19" s="193"/>
      <c r="F19" s="193"/>
      <c r="G19" s="22"/>
      <c r="H19" s="193" t="s">
        <v>37</v>
      </c>
      <c r="I19" s="193"/>
      <c r="J19" s="22"/>
      <c r="K19" s="193" t="s">
        <v>38</v>
      </c>
      <c r="L19" s="193"/>
      <c r="M19" s="22"/>
      <c r="N19" s="26"/>
      <c r="O19" s="26"/>
      <c r="P19" s="26"/>
      <c r="Q19" s="26"/>
      <c r="R19" s="26"/>
      <c r="S19" s="26"/>
      <c r="T19" s="26"/>
      <c r="U19" s="26"/>
    </row>
    <row r="20" spans="2:21" ht="20" customHeight="1" thickBot="1">
      <c r="B20" s="193"/>
      <c r="C20" s="194"/>
      <c r="D20" s="194"/>
      <c r="E20" s="194"/>
      <c r="F20" s="194"/>
      <c r="G20" s="22"/>
      <c r="H20" s="194"/>
      <c r="I20" s="194"/>
      <c r="J20" s="22"/>
      <c r="K20" s="194"/>
      <c r="L20" s="194"/>
      <c r="M20" s="22"/>
      <c r="N20" s="26"/>
      <c r="O20" s="26"/>
      <c r="P20" s="26"/>
      <c r="Q20" s="26"/>
      <c r="R20" s="26"/>
      <c r="S20" s="26"/>
      <c r="T20" s="26"/>
      <c r="U20" s="26"/>
    </row>
    <row r="21" spans="2:21" ht="18" customHeight="1">
      <c r="B21" s="38"/>
      <c r="C21" s="23" t="s">
        <v>17</v>
      </c>
      <c r="D21" s="24" t="s">
        <v>18</v>
      </c>
      <c r="E21" s="24" t="s">
        <v>19</v>
      </c>
      <c r="F21" s="25" t="s">
        <v>20</v>
      </c>
      <c r="G21" s="22"/>
      <c r="H21" s="195" t="s">
        <v>21</v>
      </c>
      <c r="I21" s="196"/>
      <c r="J21" s="22"/>
      <c r="K21" s="195" t="s">
        <v>21</v>
      </c>
      <c r="L21" s="196"/>
      <c r="M21" s="22"/>
      <c r="N21" s="26"/>
      <c r="O21" s="26"/>
      <c r="P21" s="26"/>
      <c r="Q21" s="26"/>
      <c r="R21" s="26"/>
      <c r="S21" s="26"/>
      <c r="T21" s="26"/>
      <c r="U21" s="26"/>
    </row>
    <row r="22" spans="2:21" ht="22" customHeight="1">
      <c r="B22" s="36" t="s">
        <v>23</v>
      </c>
      <c r="C22" s="12">
        <v>450000</v>
      </c>
      <c r="D22" s="41">
        <f>UBERSICHT!G7</f>
        <v>94447.220799999996</v>
      </c>
      <c r="E22" s="39">
        <v>0.20988271288888888</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115139.14290000001</v>
      </c>
      <c r="E23" s="39">
        <v>0.27091563035294119</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118358.2261</v>
      </c>
      <c r="E24" s="39">
        <v>0.27525168860465116</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99166.863299999997</v>
      </c>
      <c r="E25" s="39">
        <v>0.33055621099999999</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163981.4558</v>
      </c>
      <c r="E26" s="39">
        <v>0.3904320376190476</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156716.375</v>
      </c>
      <c r="E27" s="39">
        <v>0.36026752873563217</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149980.6323</v>
      </c>
      <c r="E28" s="39">
        <v>0.3447830627586207</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145798.35</v>
      </c>
      <c r="E29" s="39">
        <v>0.33516862068965519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142099.6833</v>
      </c>
      <c r="E30" s="39">
        <v>0.31577707399999999</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140933.8339</v>
      </c>
      <c r="E31" s="39">
        <v>0.35145594488778054</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138548.35</v>
      </c>
      <c r="E32" s="39">
        <v>0.34811143216080404</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137098.35</v>
      </c>
      <c r="E33" s="40">
        <v>0.35153423076923079</v>
      </c>
      <c r="F33" s="19">
        <v>31000</v>
      </c>
      <c r="G33" s="22"/>
      <c r="H33" s="44" t="s">
        <v>35</v>
      </c>
      <c r="I33" s="20">
        <v>400</v>
      </c>
      <c r="J33" s="22"/>
      <c r="K33" s="44" t="s">
        <v>35</v>
      </c>
      <c r="L33" s="20">
        <v>12</v>
      </c>
      <c r="M33" s="22"/>
      <c r="N33" s="26"/>
      <c r="O33" s="26"/>
      <c r="P33" s="26"/>
      <c r="Q33" s="26"/>
      <c r="R33" s="26"/>
      <c r="S33" s="26"/>
      <c r="T33" s="26"/>
      <c r="U33" s="26"/>
    </row>
    <row r="34" spans="2:21" ht="16"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6" hidden="1">
      <c r="B50" s="35"/>
      <c r="C50" s="35"/>
      <c r="D50" s="22"/>
      <c r="E50" s="22"/>
      <c r="F50" s="22"/>
      <c r="G50" s="22"/>
      <c r="H50" s="22"/>
      <c r="I50" s="22"/>
      <c r="J50" s="22"/>
      <c r="K50" s="22"/>
      <c r="L50" s="22"/>
      <c r="M50" s="22"/>
      <c r="N50" s="22"/>
      <c r="O50" s="22"/>
      <c r="P50" s="22"/>
      <c r="Q50" s="22"/>
      <c r="R50" s="22"/>
      <c r="S50" s="22"/>
      <c r="T50" s="22"/>
      <c r="U50" s="22"/>
    </row>
    <row r="51" spans="2:21" ht="16"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EsuyjkNT8q9ncmV8rOY6KdX8j/tXSVCd4tPo8NltHiNbFiImlv36bN9lDAaiNXbmoX+gKuMzqCb6Ws4R3bXK4g==" saltValue="1/BZwZqZL1WBG+tp4OlYOQ=="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1" sqref="E11"/>
    </sheetView>
  </sheetViews>
  <sheetFormatPr baseColWidth="10" defaultColWidth="9.1640625" defaultRowHeight="16" customHeight="1"/>
  <cols>
    <col min="1" max="1" width="3.8320312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1640625" style="223" bestFit="1" customWidth="1"/>
    <col min="29" max="16384" width="9.1640625" style="223"/>
  </cols>
  <sheetData>
    <row r="1" spans="1:28" ht="18" customHeight="1">
      <c r="A1" s="304">
        <v>1</v>
      </c>
      <c r="B1" s="305"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46023</v>
      </c>
    </row>
    <row r="2" spans="1:28" ht="18" customHeight="1" thickBot="1">
      <c r="A2" s="304"/>
      <c r="B2" s="309"/>
      <c r="C2" s="310"/>
      <c r="D2" s="310"/>
      <c r="E2" s="310"/>
      <c r="F2" s="310"/>
      <c r="G2" s="310"/>
      <c r="H2" s="310"/>
      <c r="I2" s="310"/>
      <c r="J2" s="310"/>
      <c r="K2" s="310"/>
      <c r="L2" s="310"/>
      <c r="M2" s="310"/>
      <c r="N2" s="311"/>
      <c r="O2" s="312"/>
      <c r="P2" s="312"/>
      <c r="Q2" s="312"/>
      <c r="S2" s="396" t="s">
        <v>460</v>
      </c>
      <c r="T2" s="396"/>
      <c r="U2" s="396"/>
      <c r="V2" s="396"/>
      <c r="AB2" s="308">
        <f>EOMONTH(DATE(EINSTELLUNG!$C$35,$A$1,1),0)</f>
        <v>46053</v>
      </c>
    </row>
    <row r="3" spans="1:28" ht="18" customHeight="1">
      <c r="A3" s="313">
        <v>1</v>
      </c>
      <c r="B3" s="60">
        <v>400002</v>
      </c>
      <c r="C3" s="61" t="s">
        <v>464</v>
      </c>
      <c r="D3" s="62">
        <v>33359</v>
      </c>
      <c r="E3" s="63" t="s">
        <v>2</v>
      </c>
      <c r="F3" s="64">
        <v>171</v>
      </c>
      <c r="G3" s="314" t="str">
        <f>IF(OR(E3="",F3=""),"",PID_KVLohnLookup($A$1,E3,F3,LOHNTABELLE!$H$4))</f>
        <v>Nicht gefunden</v>
      </c>
      <c r="H3" s="315">
        <f>IF(AND(ISNUMBER(D3),ISNUMBER(F3)),ROUNDDOWN(MIN(IF(OR(ISBLANK(I3),I3=""),EOMONTH(DATE(EINSTELLUNG!$C$35,$A$1,1),0),I3)-MAX(D3,DATE(EINSTELLUNG!$C$35,$A$1,1))+1)/DAY(EOMONTH(DATE(EINSTELLUNG!$C$35,$A$1,1),0))*F3,2),"")</f>
        <v>82.74</v>
      </c>
      <c r="I3" s="65">
        <v>46037</v>
      </c>
      <c r="J3" s="66">
        <v>2</v>
      </c>
      <c r="K3" s="314">
        <f t="shared" ref="K3:K34" si="0">IFERROR(IF(OR(MONTH(D3)=1, MONTH(D3)=3, MONTH(D3)=5, MONTH(D3)=7, MONTH(D3)=8, MONTH(D3)=10, MONTH(D3)=12), (G3/31)*J3, IF(OR(MONTH(D3)=4, MONTH(D3)=6, MONTH(D3)=9, MONTH(D3)=11), (G3/30)*J3, (G3/DAY(EOMONTH(D3,0)))*J3)), 0)</f>
        <v>0</v>
      </c>
      <c r="L3" s="316"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317" t="s">
        <v>47</v>
      </c>
      <c r="P3" s="317" t="s">
        <v>48</v>
      </c>
      <c r="Q3" s="317" t="s">
        <v>49</v>
      </c>
      <c r="R3" s="318" t="s">
        <v>50</v>
      </c>
      <c r="S3" s="319"/>
      <c r="T3" s="319"/>
      <c r="U3" s="319"/>
      <c r="V3" s="319"/>
      <c r="AB3" s="320"/>
    </row>
    <row r="4" spans="1:28" ht="22" customHeight="1">
      <c r="A4" s="313">
        <v>2</v>
      </c>
      <c r="B4" s="68">
        <v>401010</v>
      </c>
      <c r="C4" s="69" t="s">
        <v>224</v>
      </c>
      <c r="D4" s="70">
        <v>39388</v>
      </c>
      <c r="E4" s="71" t="s">
        <v>2</v>
      </c>
      <c r="F4" s="72">
        <v>144</v>
      </c>
      <c r="G4" s="321" t="str">
        <f>IF(OR(E4="",F4=""),"",PID_KVLohnLookup($A$1,E4,F4,LOHNTABELLE!$H$4))</f>
        <v>Nicht gefunden</v>
      </c>
      <c r="H4" s="322">
        <f>IF(AND(ISNUMBER(D4),ISNUMBER(F4)),ROUNDDOWN(MIN(IF(OR(ISBLANK(I4),I4=""),EOMONTH(DATE(EINSTELLUNG!$C$35,$A$1,1),0),I4)-MAX(D4,DATE(EINSTELLUNG!$C$35,$A$1,1))+1)/DAY(EOMONTH(DATE(EINSTELLUNG!$C$35,$A$1,1),0))*F4,2),"")</f>
        <v>144</v>
      </c>
      <c r="I4" s="73"/>
      <c r="J4" s="74"/>
      <c r="K4" s="321">
        <f t="shared" si="0"/>
        <v>0</v>
      </c>
      <c r="L4" s="323"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4"/>
      <c r="P4" s="324"/>
      <c r="Q4" s="324"/>
      <c r="R4" s="325"/>
      <c r="S4" s="319"/>
      <c r="T4" s="319"/>
      <c r="U4" s="319"/>
      <c r="V4" s="319"/>
    </row>
    <row r="5" spans="1:28" ht="22" customHeight="1">
      <c r="A5" s="313">
        <v>3</v>
      </c>
      <c r="B5" s="76">
        <v>401049</v>
      </c>
      <c r="C5" s="77" t="s">
        <v>225</v>
      </c>
      <c r="D5" s="78">
        <v>41130</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748.72526913747924</v>
      </c>
      <c r="P5" s="327">
        <f>EINSTELLUNG!I6</f>
        <v>600</v>
      </c>
      <c r="Q5" s="327">
        <f>P5-O5</f>
        <v>-148.72526913747924</v>
      </c>
      <c r="R5" s="328">
        <f>IFERROR(Q5*Q42, 0)</f>
        <v>-1727.9806097315984</v>
      </c>
      <c r="S5" s="319"/>
      <c r="T5" s="319"/>
      <c r="U5" s="319"/>
      <c r="V5" s="319"/>
    </row>
    <row r="6" spans="1:28" ht="22" customHeight="1">
      <c r="A6" s="313">
        <v>4</v>
      </c>
      <c r="B6" s="68">
        <v>401047</v>
      </c>
      <c r="C6" s="69" t="s">
        <v>226</v>
      </c>
      <c r="D6" s="70">
        <v>41154</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313">
        <v>5</v>
      </c>
      <c r="B7" s="76">
        <v>401051</v>
      </c>
      <c r="C7" s="77" t="s">
        <v>227</v>
      </c>
      <c r="D7" s="78">
        <v>41176</v>
      </c>
      <c r="E7" s="79" t="s">
        <v>2</v>
      </c>
      <c r="F7" s="80">
        <v>173</v>
      </c>
      <c r="G7" s="321">
        <f>IF(OR(E7="",F7=""),"",PID_KVLohnLookup($A$1,E7,F7,LOHNTABELLE!$H$4))</f>
        <v>2021</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319"/>
      <c r="P7" s="319"/>
      <c r="Q7" s="319"/>
      <c r="R7" s="319"/>
      <c r="S7" s="319"/>
      <c r="T7" s="319"/>
      <c r="U7" s="319"/>
      <c r="V7" s="319"/>
    </row>
    <row r="8" spans="1:28" ht="22" customHeight="1">
      <c r="A8" s="313">
        <v>6</v>
      </c>
      <c r="B8" s="6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332" t="s">
        <v>56</v>
      </c>
      <c r="P8" s="333"/>
      <c r="Q8" s="334">
        <f>SUM(H3:H82)</f>
        <v>7549.03</v>
      </c>
      <c r="R8" s="335"/>
      <c r="S8" s="319"/>
      <c r="T8" s="319"/>
      <c r="U8" s="319"/>
      <c r="V8" s="319"/>
    </row>
    <row r="9" spans="1:28" ht="22" customHeight="1">
      <c r="A9" s="313">
        <v>7</v>
      </c>
      <c r="B9" s="76">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336" t="s">
        <v>58</v>
      </c>
      <c r="P9" s="337"/>
      <c r="Q9" s="338">
        <f>EINSTELLUNG!L22</f>
        <v>1</v>
      </c>
      <c r="R9" s="339"/>
      <c r="S9" s="340">
        <f>IFERROR(Q9/Q8, 0)</f>
        <v>1.3246735010988167E-4</v>
      </c>
      <c r="T9" s="319"/>
      <c r="U9" s="319"/>
      <c r="V9" s="319"/>
    </row>
    <row r="10" spans="1:28" ht="22" customHeight="1">
      <c r="A10" s="313">
        <v>8</v>
      </c>
      <c r="B10" s="68">
        <v>401276</v>
      </c>
      <c r="C10" s="69" t="s">
        <v>472</v>
      </c>
      <c r="D10" s="70">
        <v>38899</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100"/>
      <c r="O10" s="336" t="s">
        <v>60</v>
      </c>
      <c r="P10" s="337"/>
      <c r="Q10" s="338">
        <f>EINSTELLUNG!I22</f>
        <v>150</v>
      </c>
      <c r="R10" s="339"/>
      <c r="S10" s="319"/>
      <c r="T10" s="319"/>
      <c r="U10" s="319"/>
      <c r="V10" s="319"/>
    </row>
    <row r="11" spans="1:28" ht="22" customHeight="1">
      <c r="A11" s="313">
        <v>9</v>
      </c>
      <c r="B11" s="76">
        <v>401307</v>
      </c>
      <c r="C11" s="77" t="s">
        <v>231</v>
      </c>
      <c r="D11" s="78">
        <v>43571</v>
      </c>
      <c r="E11" s="79" t="s">
        <v>2</v>
      </c>
      <c r="F11" s="80">
        <v>173</v>
      </c>
      <c r="G11" s="321">
        <f>IF(OR(E11="",F11=""),"",PID_KVLohnLookup($A$1,E11,F11,LOHNTABELLE!$H$4))</f>
        <v>2021</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2021</v>
      </c>
      <c r="M11" s="83"/>
      <c r="N11" s="101"/>
      <c r="O11" s="336" t="s">
        <v>62</v>
      </c>
      <c r="P11" s="337"/>
      <c r="Q11" s="338">
        <f>P5</f>
        <v>600</v>
      </c>
      <c r="R11" s="339"/>
      <c r="S11" s="319"/>
      <c r="T11" s="319"/>
      <c r="U11" s="319"/>
      <c r="V11" s="319"/>
    </row>
    <row r="12" spans="1:28" ht="22" customHeight="1">
      <c r="A12" s="313">
        <v>10</v>
      </c>
      <c r="B12" s="68">
        <v>401308</v>
      </c>
      <c r="C12" s="69" t="s">
        <v>232</v>
      </c>
      <c r="D12" s="70">
        <v>43579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336" t="s">
        <v>64</v>
      </c>
      <c r="P12" s="337"/>
      <c r="Q12" s="177">
        <v>300</v>
      </c>
      <c r="R12" s="178"/>
      <c r="S12" s="319"/>
      <c r="T12" s="319"/>
      <c r="U12" s="319"/>
      <c r="V12" s="319"/>
    </row>
    <row r="13" spans="1:28" ht="22" customHeight="1">
      <c r="A13" s="313">
        <v>11</v>
      </c>
      <c r="B13" s="76">
        <v>401394</v>
      </c>
      <c r="C13" s="77" t="s">
        <v>233</v>
      </c>
      <c r="D13" s="78">
        <v>44379</v>
      </c>
      <c r="E13" s="79" t="s">
        <v>2</v>
      </c>
      <c r="F13" s="80">
        <v>173</v>
      </c>
      <c r="G13" s="321">
        <f>IF(OR(E13="",F13=""),"",PID_KVLohnLookup($A$1,E13,F13,LOHNTABELLE!$H$4))</f>
        <v>2021</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336" t="s">
        <v>66</v>
      </c>
      <c r="P13" s="337"/>
      <c r="Q13" s="338">
        <f>Q8-Q9-Q10-Q11-Q12</f>
        <v>6498.03</v>
      </c>
      <c r="R13" s="339"/>
      <c r="S13" s="319"/>
      <c r="T13" s="319"/>
      <c r="U13" s="319"/>
      <c r="V13" s="319"/>
    </row>
    <row r="14" spans="1:28" ht="22" customHeight="1">
      <c r="A14" s="313">
        <v>12</v>
      </c>
      <c r="B14" s="68">
        <v>401389</v>
      </c>
      <c r="C14" s="69" t="s">
        <v>234</v>
      </c>
      <c r="D14" s="70">
        <v>44384</v>
      </c>
      <c r="E14" s="71" t="s">
        <v>4</v>
      </c>
      <c r="F14" s="72">
        <v>151.38</v>
      </c>
      <c r="G14" s="321">
        <f>IF(OR(E14="",F14=""),"",PID_KVLohnLookup($A$1,E14,F14,LOHNTABELLE!$H$4))</f>
        <v>1857.63</v>
      </c>
      <c r="H14" s="322">
        <f>IF(AND(ISNUMBER(D14),ISNUMBER(F14)),ROUNDDOWN(MIN(IF(OR(ISBLANK(I14),I14=""),EOMONTH(DATE(EINSTELLUNG!$C$35,$A$1,1),0),I14)-MAX(D14,DATE(EINSTELLUNG!$C$35,$A$1,1))+1)/DAY(EOMONTH(DATE(EINSTELLUNG!$C$35,$A$1,1),0))*F14,2),"")</f>
        <v>151.38</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336" t="s">
        <v>68</v>
      </c>
      <c r="P14" s="337"/>
      <c r="Q14" s="338">
        <f>EINSTELLUNG!L6</f>
        <v>9300</v>
      </c>
      <c r="R14" s="339"/>
      <c r="S14" s="319"/>
      <c r="T14" s="319"/>
      <c r="U14" s="319"/>
      <c r="V14" s="319"/>
    </row>
    <row r="15" spans="1:28" ht="22" customHeight="1" thickBot="1">
      <c r="A15" s="313">
        <v>13</v>
      </c>
      <c r="B15" s="76">
        <v>401432</v>
      </c>
      <c r="C15" s="77" t="s">
        <v>235</v>
      </c>
      <c r="D15" s="78">
        <v>44441</v>
      </c>
      <c r="E15" s="79" t="s">
        <v>2</v>
      </c>
      <c r="F15" s="80">
        <v>173</v>
      </c>
      <c r="G15" s="321">
        <f>IF(OR(E15="",F15=""),"",PID_KVLohnLookup($A$1,E15,F15,LOHNTABELLE!$H$4))</f>
        <v>2021</v>
      </c>
      <c r="H15" s="322">
        <f>IF(AND(ISNUMBER(D15),ISNUMBER(F15)),ROUNDDOWN(MIN(IF(OR(ISBLANK(I15),I15=""),EOMONTH(DATE(EINSTELLUNG!$C$35,$A$1,1),0),I15)-MAX(D15,DATE(EINSTELLUNG!$C$35,$A$1,1))+1)/DAY(EOMONTH(DATE(EINSTELLUNG!$C$35,$A$1,1),0))*F15,2),"")</f>
        <v>173</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341" t="s">
        <v>70</v>
      </c>
      <c r="P15" s="342"/>
      <c r="Q15" s="343">
        <f>Q13-Q14</f>
        <v>-2801.9700000000003</v>
      </c>
      <c r="R15" s="344"/>
      <c r="S15" s="345"/>
      <c r="T15" s="345"/>
      <c r="U15" s="345"/>
      <c r="V15" s="319"/>
    </row>
    <row r="16" spans="1:28" ht="22" customHeight="1" thickBot="1">
      <c r="A16" s="313">
        <v>14</v>
      </c>
      <c r="B16" s="68">
        <v>401558</v>
      </c>
      <c r="C16" s="69" t="s">
        <v>236</v>
      </c>
      <c r="D16" s="70">
        <v>44460</v>
      </c>
      <c r="E16" s="71" t="s">
        <v>2</v>
      </c>
      <c r="F16" s="72">
        <v>173</v>
      </c>
      <c r="G16" s="321">
        <f>IF(OR(E16="",F16=""),"",PID_KVLohnLookup($A$1,E16,F16,LOHNTABELLE!$H$4))</f>
        <v>2021</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346"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313">
        <v>15</v>
      </c>
      <c r="B17" s="76">
        <v>401476</v>
      </c>
      <c r="C17" s="77" t="s">
        <v>237</v>
      </c>
      <c r="D17" s="78">
        <v>44504</v>
      </c>
      <c r="E17" s="79" t="s">
        <v>2</v>
      </c>
      <c r="F17" s="80">
        <v>173</v>
      </c>
      <c r="G17" s="321">
        <f>IF(OR(E17="",F17=""),"",PID_KVLohnLookup($A$1,E17,F17,LOHNTABELLE!$H$4))</f>
        <v>2021</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332" t="s">
        <v>73</v>
      </c>
      <c r="P17" s="333"/>
      <c r="Q17" s="351">
        <f>SUM(L3:L82)</f>
        <v>87709.220752688168</v>
      </c>
      <c r="R17" s="352"/>
      <c r="S17" s="319"/>
      <c r="T17" s="319"/>
      <c r="U17" s="319"/>
      <c r="V17" s="319"/>
      <c r="W17" s="350"/>
    </row>
    <row r="18" spans="1:29" ht="22" customHeight="1">
      <c r="A18" s="313">
        <v>16</v>
      </c>
      <c r="B18" s="68">
        <v>401479</v>
      </c>
      <c r="C18" s="69" t="s">
        <v>238</v>
      </c>
      <c r="D18" s="70">
        <v>44511</v>
      </c>
      <c r="E18" s="71" t="s">
        <v>6</v>
      </c>
      <c r="F18" s="72">
        <v>173</v>
      </c>
      <c r="G18" s="321">
        <f>IF(OR(E18="",F18=""),"",PID_KVLohnLookup($A$1,E18,F18,LOHNTABELLE!$H$4))</f>
        <v>2160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353" t="s">
        <v>451</v>
      </c>
      <c r="P18" s="354"/>
      <c r="Q18" s="355">
        <v>20</v>
      </c>
      <c r="R18" s="356"/>
      <c r="S18" s="319"/>
      <c r="T18" s="319"/>
      <c r="U18" s="319"/>
      <c r="V18" s="319"/>
    </row>
    <row r="19" spans="1:29" ht="22" customHeight="1">
      <c r="A19" s="313">
        <v>17</v>
      </c>
      <c r="B19" s="76">
        <v>401481</v>
      </c>
      <c r="C19" s="77" t="s">
        <v>239</v>
      </c>
      <c r="D19" s="78">
        <v>44531</v>
      </c>
      <c r="E19" s="79" t="s">
        <v>3</v>
      </c>
      <c r="F19" s="80">
        <v>173</v>
      </c>
      <c r="G19" s="321">
        <f>IF(OR(E19="",F19=""),"",PID_KVLohnLookup($A$1,E19,F19,LOHNTABELLE!$H$4))</f>
        <v>2082</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353" t="s">
        <v>296</v>
      </c>
      <c r="P19" s="354"/>
      <c r="Q19" s="355">
        <v>333</v>
      </c>
      <c r="R19" s="356"/>
      <c r="S19" s="319"/>
      <c r="T19" s="319"/>
      <c r="U19" s="319"/>
      <c r="V19" s="319"/>
    </row>
    <row r="20" spans="1:29" ht="22" customHeight="1">
      <c r="A20" s="313">
        <v>18</v>
      </c>
      <c r="B20" s="68">
        <v>401564</v>
      </c>
      <c r="C20" s="69" t="s">
        <v>240</v>
      </c>
      <c r="D20" s="70">
        <v>44824</v>
      </c>
      <c r="E20" s="71" t="s">
        <v>2</v>
      </c>
      <c r="F20" s="72">
        <v>151.38</v>
      </c>
      <c r="G20" s="321">
        <f>IF(OR(E20="",F20=""),"",PID_KVLohnLookup($A$1,E20,F20,LOHNTABELLE!$H$4))</f>
        <v>1768.38</v>
      </c>
      <c r="H20" s="322">
        <f>IF(AND(ISNUMBER(D20),ISNUMBER(F20)),ROUNDDOWN(MIN(IF(OR(ISBLANK(I20),I20=""),EOMONTH(DATE(EINSTELLUNG!$C$35,$A$1,1),0),I20)-MAX(D20,DATE(EINSTELLUNG!$C$35,$A$1,1))+1)/DAY(EOMONTH(DATE(EINSTELLUNG!$C$35,$A$1,1),0))*F20,2),"")</f>
        <v>151.38</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353" t="s">
        <v>296</v>
      </c>
      <c r="P20" s="354"/>
      <c r="Q20" s="355">
        <v>35</v>
      </c>
      <c r="R20" s="356"/>
      <c r="S20" s="319"/>
      <c r="T20" s="319"/>
      <c r="U20" s="319"/>
      <c r="V20" s="319"/>
    </row>
    <row r="21" spans="1:29" ht="22" customHeight="1">
      <c r="A21" s="313">
        <v>19</v>
      </c>
      <c r="B21" s="76">
        <v>401089</v>
      </c>
      <c r="C21" s="77" t="s">
        <v>241</v>
      </c>
      <c r="D21" s="78">
        <v>44868</v>
      </c>
      <c r="E21" s="79" t="s">
        <v>3</v>
      </c>
      <c r="F21" s="80">
        <v>173</v>
      </c>
      <c r="G21" s="321">
        <f>IF(OR(E21="",F21=""),"",PID_KVLohnLookup($A$1,E21,F21,LOHNTABELLE!$H$4))</f>
        <v>2082</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353" t="s">
        <v>296</v>
      </c>
      <c r="P21" s="354"/>
      <c r="Q21" s="355">
        <v>100</v>
      </c>
      <c r="R21" s="356"/>
      <c r="S21" s="319"/>
      <c r="T21" s="319"/>
      <c r="U21" s="319"/>
      <c r="V21" s="319"/>
    </row>
    <row r="22" spans="1:29" ht="22" customHeight="1">
      <c r="A22" s="313">
        <v>20</v>
      </c>
      <c r="B22" s="68">
        <v>401583</v>
      </c>
      <c r="C22" s="69" t="s">
        <v>242</v>
      </c>
      <c r="D22" s="70">
        <v>44900</v>
      </c>
      <c r="E22" s="71" t="s">
        <v>13</v>
      </c>
      <c r="F22" s="72">
        <v>173</v>
      </c>
      <c r="G22" s="321">
        <f>IF(OR(E22="",F22=""),"",PID_KVLohnLookup($A$1,E22,F22,LOHNTABELLE!$H$4))</f>
        <v>2328</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353" t="s">
        <v>296</v>
      </c>
      <c r="P22" s="354"/>
      <c r="Q22" s="355"/>
      <c r="R22" s="356"/>
      <c r="S22" s="319"/>
      <c r="T22" s="319"/>
      <c r="U22" s="319"/>
      <c r="V22" s="319"/>
    </row>
    <row r="23" spans="1:29" ht="22" customHeight="1">
      <c r="A23" s="313">
        <v>21</v>
      </c>
      <c r="B23" s="76">
        <v>401589</v>
      </c>
      <c r="C23" s="77" t="s">
        <v>243</v>
      </c>
      <c r="D23" s="78">
        <v>44926</v>
      </c>
      <c r="E23" s="79" t="s">
        <v>10</v>
      </c>
      <c r="F23" s="80">
        <v>173</v>
      </c>
      <c r="G23" s="321">
        <f>IF(OR(E23="",F23=""),"",PID_KVLohnLookup($A$1,E23,F23,LOHNTABELLE!$H$4))</f>
        <v>2300</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353" t="s">
        <v>296</v>
      </c>
      <c r="P23" s="354"/>
      <c r="Q23" s="355">
        <v>5000</v>
      </c>
      <c r="R23" s="356"/>
      <c r="S23" s="319"/>
      <c r="T23" s="319"/>
      <c r="U23" s="319"/>
      <c r="V23" s="319"/>
      <c r="W23" s="350"/>
    </row>
    <row r="24" spans="1:29" ht="22" customHeight="1">
      <c r="A24" s="313">
        <v>22</v>
      </c>
      <c r="B24" s="68">
        <v>401602</v>
      </c>
      <c r="C24" s="69" t="s">
        <v>244</v>
      </c>
      <c r="D24" s="70">
        <v>45975</v>
      </c>
      <c r="E24" s="71" t="s">
        <v>2</v>
      </c>
      <c r="F24" s="72">
        <v>169</v>
      </c>
      <c r="G24" s="321">
        <f>IF(OR(E24="",F24=""),"",PID_KVLohnLookup($A$1,E24,F24,LOHNTABELLE!$H$4))</f>
        <v>2000</v>
      </c>
      <c r="H24" s="322">
        <f>IF(AND(ISNUMBER(D24),ISNUMBER(F24)),ROUNDDOWN(MIN(IF(OR(ISBLANK(I24),I24=""),EOMONTH(DATE(EINSTELLUNG!$C$35,$A$1,1),0),I24)-MAX(D24,DATE(EINSTELLUNG!$C$35,$A$1,1))+1)/DAY(EOMONTH(DATE(EINSTELLUNG!$C$35,$A$1,1),0))*F24,2),"")</f>
        <v>169</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75"/>
      <c r="N24" s="100"/>
      <c r="O24" s="353"/>
      <c r="P24" s="354"/>
      <c r="Q24" s="355"/>
      <c r="R24" s="356"/>
      <c r="S24" s="319"/>
      <c r="T24" s="319"/>
      <c r="U24" s="319"/>
      <c r="V24" s="319"/>
      <c r="W24" s="350"/>
    </row>
    <row r="25" spans="1:29" ht="22" customHeight="1">
      <c r="A25" s="313">
        <v>23</v>
      </c>
      <c r="B25" s="76">
        <v>401406</v>
      </c>
      <c r="C25" s="77" t="s">
        <v>473</v>
      </c>
      <c r="D25" s="78">
        <v>36850</v>
      </c>
      <c r="E25" s="79" t="s">
        <v>10</v>
      </c>
      <c r="F25" s="80">
        <v>151.38</v>
      </c>
      <c r="G25" s="321">
        <f>IF(OR(E25="",F25=""),"",PID_KVLohnLookup($A$1,E25,F25,LOHNTABELLE!$H$4))</f>
        <v>2012.5</v>
      </c>
      <c r="H25" s="322">
        <f>IF(AND(ISNUMBER(D25),ISNUMBER(F25)),ROUNDDOWN(MIN(IF(OR(ISBLANK(I25),I25=""),EOMONTH(DATE(EINSTELLUNG!$C$35,$A$1,1),0),I25)-MAX(D25,DATE(EINSTELLUNG!$C$35,$A$1,1))+1)/DAY(EOMONTH(DATE(EINSTELLUNG!$C$35,$A$1,1),0))*F25,2),"")</f>
        <v>151.38</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353"/>
      <c r="P25" s="354"/>
      <c r="Q25" s="355"/>
      <c r="R25" s="356"/>
      <c r="S25" s="319"/>
      <c r="T25" s="319"/>
      <c r="U25" s="319"/>
      <c r="V25" s="319"/>
    </row>
    <row r="26" spans="1:29" ht="22" customHeight="1">
      <c r="A26" s="313">
        <v>24</v>
      </c>
      <c r="B26" s="68">
        <v>401626</v>
      </c>
      <c r="C26" s="69" t="s">
        <v>246</v>
      </c>
      <c r="D26" s="70">
        <v>45063</v>
      </c>
      <c r="E26" s="71" t="s">
        <v>2</v>
      </c>
      <c r="F26" s="72">
        <v>173</v>
      </c>
      <c r="G26" s="321">
        <f>IF(OR(E26="",F26=""),"",PID_KVLohnLookup($A$1,E26,F26,LOHNTABELLE!$H$4))</f>
        <v>2021</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353"/>
      <c r="P26" s="354"/>
      <c r="Q26" s="355"/>
      <c r="R26" s="356"/>
      <c r="S26" s="319"/>
      <c r="T26" s="319"/>
      <c r="U26" s="319"/>
      <c r="V26" s="319"/>
    </row>
    <row r="27" spans="1:29" ht="22" customHeight="1">
      <c r="A27" s="313">
        <v>25</v>
      </c>
      <c r="B27" s="76">
        <v>401633</v>
      </c>
      <c r="C27" s="77" t="s">
        <v>247</v>
      </c>
      <c r="D27" s="78">
        <v>45089</v>
      </c>
      <c r="E27" s="79" t="s">
        <v>10</v>
      </c>
      <c r="F27" s="80">
        <v>173</v>
      </c>
      <c r="G27" s="321">
        <f>IF(OR(E27="",F27=""),"",PID_KVLohnLookup($A$1,E27,F27,LOHNTABELLE!$H$4))</f>
        <v>2300</v>
      </c>
      <c r="H27" s="322">
        <f>IF(AND(ISNUMBER(D27),ISNUMBER(F27)),ROUNDDOWN(MIN(IF(OR(ISBLANK(I27),I27=""),EOMONTH(DATE(EINSTELLUNG!$C$35,$A$1,1),0),I27)-MAX(D27,DATE(EINSTELLUNG!$C$35,$A$1,1))+1)/DAY(EOMONTH(DATE(EINSTELLUNG!$C$35,$A$1,1),0))*F27,2),"")</f>
        <v>173</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353"/>
      <c r="P27" s="354"/>
      <c r="Q27" s="355"/>
      <c r="R27" s="356"/>
      <c r="S27" s="357" t="s">
        <v>84</v>
      </c>
      <c r="T27" s="357"/>
      <c r="U27" s="357"/>
      <c r="V27" s="357"/>
    </row>
    <row r="28" spans="1:29" ht="22" customHeight="1">
      <c r="A28" s="313">
        <v>26</v>
      </c>
      <c r="B28" s="68">
        <v>401647</v>
      </c>
      <c r="C28" s="69" t="s">
        <v>248</v>
      </c>
      <c r="D28" s="70">
        <v>45182</v>
      </c>
      <c r="E28" s="71" t="s">
        <v>2</v>
      </c>
      <c r="F28" s="72">
        <v>173</v>
      </c>
      <c r="G28" s="321">
        <f>IF(OR(E28="",F28=""),"",PID_KVLohnLookup($A$1,E28,F28,LOHNTABELLE!$H$4))</f>
        <v>2021</v>
      </c>
      <c r="H28" s="322">
        <f>IF(AND(ISNUMBER(D28),ISNUMBER(F28)),ROUNDDOWN(MIN(IF(OR(ISBLANK(I28),I28=""),EOMONTH(DATE(EINSTELLUNG!$C$35,$A$1,1),0),I28)-MAX(D28,DATE(EINSTELLUNG!$C$35,$A$1,1))+1)/DAY(EOMONTH(DATE(EINSTELLUNG!$C$35,$A$1,1),0))*F28,2),"")</f>
        <v>173</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353"/>
      <c r="P28" s="354"/>
      <c r="Q28" s="355"/>
      <c r="R28" s="356"/>
      <c r="S28" s="319"/>
      <c r="T28" s="319"/>
      <c r="U28" s="319"/>
      <c r="V28" s="319"/>
    </row>
    <row r="29" spans="1:29" ht="22" customHeight="1" thickBot="1">
      <c r="A29" s="313">
        <v>27</v>
      </c>
      <c r="B29" s="76">
        <v>401661</v>
      </c>
      <c r="C29" s="77" t="s">
        <v>249</v>
      </c>
      <c r="D29" s="78">
        <v>45261</v>
      </c>
      <c r="E29" s="79" t="s">
        <v>2</v>
      </c>
      <c r="F29" s="80">
        <v>173</v>
      </c>
      <c r="G29" s="321">
        <f>IF(OR(E29="",F29=""),"",PID_KVLohnLookup($A$1,E29,F29,LOHNTABELLE!$H$4))</f>
        <v>2021</v>
      </c>
      <c r="H29" s="322">
        <f>IF(AND(ISNUMBER(D29),ISNUMBER(F29)),ROUNDDOWN(MIN(IF(OR(ISBLANK(I29),I29=""),EOMONTH(DATE(EINSTELLUNG!$C$35,$A$1,1),0),I29)-MAX(D29,DATE(EINSTELLUNG!$C$35,$A$1,1))+1)/DAY(EOMONTH(DATE(EINSTELLUNG!$C$35,$A$1,1),0))*F29,2),"")</f>
        <v>173</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341" t="s">
        <v>87</v>
      </c>
      <c r="P29" s="342"/>
      <c r="Q29" s="358">
        <f>EINSTELLUNG!O6</f>
        <v>1250</v>
      </c>
      <c r="R29" s="359"/>
      <c r="S29" s="319"/>
      <c r="T29" s="319"/>
      <c r="U29" s="319"/>
      <c r="V29" s="319"/>
    </row>
    <row r="30" spans="1:29" ht="22" customHeight="1" thickBot="1">
      <c r="A30" s="313">
        <v>28</v>
      </c>
      <c r="B30" s="68">
        <v>401670</v>
      </c>
      <c r="C30" s="69" t="s">
        <v>250</v>
      </c>
      <c r="D30" s="70">
        <v>45358</v>
      </c>
      <c r="E30" s="71" t="s">
        <v>2</v>
      </c>
      <c r="F30" s="72">
        <v>173</v>
      </c>
      <c r="G30" s="321">
        <f>IF(OR(E30="",F30=""),"",PID_KVLohnLookup($A$1,E30,F30,LOHNTABELLE!$H$4))</f>
        <v>2021</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319"/>
      <c r="P30" s="319"/>
      <c r="Q30" s="319"/>
      <c r="R30" s="319"/>
      <c r="S30" s="319"/>
      <c r="T30" s="319"/>
      <c r="U30" s="319"/>
      <c r="V30" s="319"/>
      <c r="W30" s="360"/>
      <c r="X30" s="360"/>
      <c r="Y30" s="360"/>
      <c r="Z30" s="360"/>
      <c r="AA30" s="360"/>
      <c r="AB30" s="360"/>
      <c r="AC30" s="360"/>
    </row>
    <row r="31" spans="1:29" ht="22" customHeight="1" thickBot="1">
      <c r="A31" s="313">
        <v>29</v>
      </c>
      <c r="B31" s="76">
        <v>401678</v>
      </c>
      <c r="C31" s="77" t="s">
        <v>251</v>
      </c>
      <c r="D31" s="78">
        <v>45414</v>
      </c>
      <c r="E31" s="79" t="s">
        <v>2</v>
      </c>
      <c r="F31" s="80">
        <v>173</v>
      </c>
      <c r="G31" s="321">
        <f>IF(OR(E31="",F31=""),"",PID_KVLohnLookup($A$1,E31,F31,LOHNTABELLE!$H$4))</f>
        <v>2021</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361">
        <v>0</v>
      </c>
      <c r="P31" s="362"/>
      <c r="Q31" s="363">
        <v>3.9215686274509803E-2</v>
      </c>
      <c r="R31" s="364"/>
      <c r="S31" s="319"/>
      <c r="T31" s="319"/>
      <c r="U31" s="319"/>
      <c r="V31" s="319"/>
    </row>
    <row r="32" spans="1:29" ht="18" thickBot="1">
      <c r="A32" s="313">
        <v>30</v>
      </c>
      <c r="B32" s="68">
        <v>401691</v>
      </c>
      <c r="C32" s="69" t="s">
        <v>252</v>
      </c>
      <c r="D32" s="70">
        <v>45539</v>
      </c>
      <c r="E32" s="71" t="s">
        <v>2</v>
      </c>
      <c r="F32" s="72">
        <v>173</v>
      </c>
      <c r="G32" s="321">
        <f>IF(OR(E32="",F32=""),"",PID_KVLohnLookup($A$1,E32,F32,LOHNTABELLE!$H$4))</f>
        <v>2021</v>
      </c>
      <c r="H32" s="322">
        <f>IF(AND(ISNUMBER(D32),ISNUMBER(F32)),ROUNDDOWN(MIN(IF(OR(ISBLANK(I32),I32=""),EOMONTH(DATE(EINSTELLUNG!$C$35,$A$1,1),0),I32)-MAX(D32,DATE(EINSTELLUNG!$C$35,$A$1,1))+1)/DAY(EOMONTH(DATE(EINSTELLUNG!$C$35,$A$1,1),0))*F32,2),"")</f>
        <v>139.51</v>
      </c>
      <c r="I32" s="73">
        <v>46047</v>
      </c>
      <c r="J32" s="74">
        <v>2</v>
      </c>
      <c r="K32" s="321">
        <f t="shared" si="0"/>
        <v>134.73333333333332</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319"/>
      <c r="P32" s="319"/>
      <c r="Q32" s="319"/>
      <c r="R32" s="319"/>
      <c r="S32" s="319"/>
      <c r="T32" s="319"/>
      <c r="U32" s="319"/>
      <c r="V32" s="319"/>
    </row>
    <row r="33" spans="1:22" ht="22" customHeight="1">
      <c r="A33" s="313">
        <v>31</v>
      </c>
      <c r="B33" s="76">
        <v>401690</v>
      </c>
      <c r="C33" s="77" t="s">
        <v>253</v>
      </c>
      <c r="D33" s="78">
        <v>45536</v>
      </c>
      <c r="E33" s="79" t="s">
        <v>2</v>
      </c>
      <c r="F33" s="80">
        <v>151.38</v>
      </c>
      <c r="G33" s="321">
        <f>IF(OR(E33="",F33=""),"",PID_KVLohnLookup($A$1,E33,F33,LOHNTABELLE!$H$4))</f>
        <v>1768.38</v>
      </c>
      <c r="H33" s="322">
        <f>IF(AND(ISNUMBER(D33),ISNUMBER(F33)),ROUNDDOWN(MIN(IF(OR(ISBLANK(I33),I33=""),EOMONTH(DATE(EINSTELLUNG!$C$35,$A$1,1),0),I33)-MAX(D33,DATE(EINSTELLUNG!$C$35,$A$1,1))+1)/DAY(EOMONTH(DATE(EINSTELLUNG!$C$35,$A$1,1),0))*F33,2),"")</f>
        <v>151.38</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365"/>
      <c r="P33" s="366"/>
      <c r="Q33" s="306" t="s">
        <v>93</v>
      </c>
      <c r="R33" s="306"/>
      <c r="S33" s="306" t="s">
        <v>94</v>
      </c>
      <c r="T33" s="306"/>
      <c r="U33" s="306" t="s">
        <v>95</v>
      </c>
      <c r="V33" s="307"/>
    </row>
    <row r="34" spans="1:22" ht="22" customHeight="1">
      <c r="A34" s="313">
        <v>32</v>
      </c>
      <c r="B34" s="68">
        <v>401703</v>
      </c>
      <c r="C34" s="69" t="s">
        <v>254</v>
      </c>
      <c r="D34" s="70">
        <v>45616</v>
      </c>
      <c r="E34" s="71" t="s">
        <v>2</v>
      </c>
      <c r="F34" s="72">
        <v>173</v>
      </c>
      <c r="G34" s="321">
        <f>IF(OR(E34="",F34=""),"",PID_KVLohnLookup($A$1,E34,F34,LOHNTABELLE!$H$4))</f>
        <v>2021</v>
      </c>
      <c r="H34" s="322">
        <f>IF(AND(ISNUMBER(D34),ISNUMBER(F34)),ROUNDDOWN(MIN(IF(OR(ISBLANK(I34),I34=""),EOMONTH(DATE(EINSTELLUNG!$C$35,$A$1,1),0),I34)-MAX(D34,DATE(EINSTELLUNG!$C$35,$A$1,1))+1)/DAY(EOMONTH(DATE(EINSTELLUNG!$C$35,$A$1,1),0))*F34,2),"")</f>
        <v>173</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367"/>
      <c r="P34" s="368"/>
      <c r="Q34" s="369"/>
      <c r="R34" s="369"/>
      <c r="S34" s="369"/>
      <c r="T34" s="369"/>
      <c r="U34" s="369"/>
      <c r="V34" s="370"/>
    </row>
    <row r="35" spans="1:22" ht="22" customHeight="1">
      <c r="A35" s="313">
        <v>33</v>
      </c>
      <c r="B35" s="76">
        <v>401214</v>
      </c>
      <c r="C35" s="77" t="s">
        <v>255</v>
      </c>
      <c r="D35" s="78">
        <v>45636</v>
      </c>
      <c r="E35" s="79" t="s">
        <v>3</v>
      </c>
      <c r="F35" s="80">
        <v>173</v>
      </c>
      <c r="G35" s="321">
        <f>IF(OR(E35="",F35=""),"",PID_KVLohnLookup($A$1,E35,F35,LOHNTABELLE!$H$4))</f>
        <v>2082</v>
      </c>
      <c r="H35" s="322">
        <f>IF(AND(ISNUMBER(D35),ISNUMBER(F35)),ROUNDDOWN(MIN(IF(OR(ISBLANK(I35),I35=""),EOMONTH(DATE(EINSTELLUNG!$C$35,$A$1,1),0),I35)-MAX(D35,DATE(EINSTELLUNG!$C$35,$A$1,1))+1)/DAY(EOMONTH(DATE(EINSTELLUNG!$C$35,$A$1,1),0))*F35,2),"")</f>
        <v>173</v>
      </c>
      <c r="I35" s="81"/>
      <c r="J35" s="82"/>
      <c r="K35" s="321">
        <f t="shared" ref="K35:K82"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336" t="s">
        <v>98</v>
      </c>
      <c r="P35" s="337"/>
      <c r="Q35" s="371">
        <f>EINSTELLUNG!C6</f>
        <v>450000</v>
      </c>
      <c r="R35" s="371"/>
      <c r="S35" s="371">
        <f>EINSTELLUNG!C22</f>
        <v>450000</v>
      </c>
      <c r="T35" s="371"/>
      <c r="U35" s="371">
        <f>S35-Q35</f>
        <v>0</v>
      </c>
      <c r="V35" s="372"/>
    </row>
    <row r="36" spans="1:22" ht="22" customHeight="1">
      <c r="A36" s="313">
        <v>34</v>
      </c>
      <c r="B36" s="68">
        <v>401715</v>
      </c>
      <c r="C36" s="69" t="s">
        <v>256</v>
      </c>
      <c r="D36" s="70">
        <v>45755</v>
      </c>
      <c r="E36" s="71" t="s">
        <v>2</v>
      </c>
      <c r="F36" s="72">
        <v>173</v>
      </c>
      <c r="G36" s="321">
        <f>IF(OR(E36="",F36=""),"",PID_KVLohnLookup($A$1,E36,F36,LOHNTABELLE!$H$4))</f>
        <v>2021</v>
      </c>
      <c r="H36" s="322">
        <f>IF(AND(ISNUMBER(D36),ISNUMBER(F36)),ROUNDDOWN(MIN(IF(OR(ISBLANK(I36),I36=""),EOMONTH(DATE(EINSTELLUNG!$C$35,$A$1,1),0),I36)-MAX(D36,DATE(EINSTELLUNG!$C$35,$A$1,1))+1)/DAY(EOMONTH(DATE(EINSTELLUNG!$C$35,$A$1,1),0))*F36,2),"")</f>
        <v>173</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336" t="s">
        <v>100</v>
      </c>
      <c r="P36" s="337"/>
      <c r="Q36" s="371">
        <f>EINSTELLUNG!D6</f>
        <v>100000</v>
      </c>
      <c r="R36" s="371"/>
      <c r="S36" s="371">
        <f ca="1">SumMergedCells(Q17:R29)</f>
        <v>94447.220799999996</v>
      </c>
      <c r="T36" s="371"/>
      <c r="U36" s="371">
        <f t="shared" ref="U36:U41" ca="1" si="2">S36-Q36</f>
        <v>-5552.7792000000045</v>
      </c>
      <c r="V36" s="372"/>
    </row>
    <row r="37" spans="1:22" ht="22" customHeight="1">
      <c r="A37" s="313">
        <v>35</v>
      </c>
      <c r="B37" s="76">
        <v>401716</v>
      </c>
      <c r="C37" s="77" t="s">
        <v>257</v>
      </c>
      <c r="D37" s="78">
        <v>45800</v>
      </c>
      <c r="E37" s="79" t="s">
        <v>2</v>
      </c>
      <c r="F37" s="80">
        <v>173</v>
      </c>
      <c r="G37" s="321">
        <f>IF(OR(E37="",F37=""),"",PID_KVLohnLookup($A$1,E37,F37,LOHNTABELLE!$H$4))</f>
        <v>2021</v>
      </c>
      <c r="H37" s="322">
        <f>IF(AND(ISNUMBER(D37),ISNUMBER(F37)),ROUNDDOWN(MIN(IF(OR(ISBLANK(I37),I37=""),EOMONTH(DATE(EINSTELLUNG!$C$35,$A$1,1),0),I37)-MAX(D37,DATE(EINSTELLUNG!$C$35,$A$1,1))+1)/DAY(EOMONTH(DATE(EINSTELLUNG!$C$35,$A$1,1),0))*F37,2),"")</f>
        <v>173</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336" t="s">
        <v>102</v>
      </c>
      <c r="P37" s="337"/>
      <c r="Q37" s="373">
        <f>IF(ISERROR(Q36/Q35), 0, Q36/Q35)</f>
        <v>0.22222222222222221</v>
      </c>
      <c r="R37" s="373"/>
      <c r="S37" s="373">
        <f ca="1">IF(ISERROR(S36/S35), 0, S36/S35)</f>
        <v>0.20988271288888888</v>
      </c>
      <c r="T37" s="373"/>
      <c r="U37" s="373">
        <f t="shared" ca="1" si="2"/>
        <v>-1.2339509333333332E-2</v>
      </c>
      <c r="V37" s="374"/>
    </row>
    <row r="38" spans="1:22" ht="22" customHeight="1">
      <c r="A38" s="313">
        <v>36</v>
      </c>
      <c r="B38" s="68">
        <v>401717</v>
      </c>
      <c r="C38" s="69" t="s">
        <v>258</v>
      </c>
      <c r="D38" s="70">
        <v>45814</v>
      </c>
      <c r="E38" s="71" t="s">
        <v>2</v>
      </c>
      <c r="F38" s="72">
        <v>86.5</v>
      </c>
      <c r="G38" s="321">
        <f>IF(OR(E38="",F38=""),"",PID_KVLohnLookup($A$1,E38,F38,LOHNTABELLE!$H$4))</f>
        <v>1010.5</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336" t="s">
        <v>104</v>
      </c>
      <c r="P38" s="337"/>
      <c r="Q38" s="338">
        <f>EINSTELLUNG!F6</f>
        <v>30000</v>
      </c>
      <c r="R38" s="338"/>
      <c r="S38" s="338">
        <f>EINSTELLUNG!F22</f>
        <v>29000</v>
      </c>
      <c r="T38" s="338"/>
      <c r="U38" s="338">
        <f t="shared" si="2"/>
        <v>-1000</v>
      </c>
      <c r="V38" s="339"/>
    </row>
    <row r="39" spans="1:22" ht="22" customHeight="1">
      <c r="A39" s="313">
        <v>37</v>
      </c>
      <c r="B39" s="76">
        <v>401722</v>
      </c>
      <c r="C39" s="77" t="s">
        <v>259</v>
      </c>
      <c r="D39" s="78">
        <v>45848</v>
      </c>
      <c r="E39" s="79" t="s">
        <v>2</v>
      </c>
      <c r="F39" s="80">
        <v>86.5</v>
      </c>
      <c r="G39" s="321">
        <f>IF(OR(E39="",F39=""),"",PID_KVLohnLookup($A$1,E39,F39,LOHNTABELLE!$H$4))</f>
        <v>1010.5</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336" t="s">
        <v>106</v>
      </c>
      <c r="P39" s="337"/>
      <c r="Q39" s="371">
        <f>IF(Q38=0, 0, Q35/Q38)</f>
        <v>15</v>
      </c>
      <c r="R39" s="371"/>
      <c r="S39" s="371">
        <f>IF(S38=0, 0, S35/S38)</f>
        <v>15.517241379310345</v>
      </c>
      <c r="T39" s="371"/>
      <c r="U39" s="371">
        <f t="shared" si="2"/>
        <v>0.5172413793103452</v>
      </c>
      <c r="V39" s="372"/>
    </row>
    <row r="40" spans="1:22" ht="22" customHeight="1">
      <c r="A40" s="313">
        <v>38</v>
      </c>
      <c r="B40" s="68">
        <v>401723</v>
      </c>
      <c r="C40" s="69" t="s">
        <v>260</v>
      </c>
      <c r="D40" s="70">
        <v>45852</v>
      </c>
      <c r="E40" s="71" t="s">
        <v>2</v>
      </c>
      <c r="F40" s="72">
        <v>86.5</v>
      </c>
      <c r="G40" s="321">
        <f>IF(OR(E40="",F40=""),"",PID_KVLohnLookup($A$1,E40,F40,LOHNTABELLE!$H$4))</f>
        <v>1010.5</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336" t="s">
        <v>108</v>
      </c>
      <c r="P40" s="337"/>
      <c r="Q40" s="371">
        <f>IF(Q13=0, 0, Q35/Q13)</f>
        <v>69.25175784045318</v>
      </c>
      <c r="R40" s="371"/>
      <c r="S40" s="371">
        <f>IF(Q13=0, 0, S35/Q13)</f>
        <v>69.25175784045318</v>
      </c>
      <c r="T40" s="371"/>
      <c r="U40" s="371">
        <f t="shared" si="2"/>
        <v>0</v>
      </c>
      <c r="V40" s="372"/>
    </row>
    <row r="41" spans="1:22" ht="22" customHeight="1">
      <c r="A41" s="313">
        <v>39</v>
      </c>
      <c r="B41" s="76">
        <v>401726</v>
      </c>
      <c r="C41" s="77" t="s">
        <v>261</v>
      </c>
      <c r="D41" s="78">
        <v>45870</v>
      </c>
      <c r="E41" s="79" t="s">
        <v>2</v>
      </c>
      <c r="F41" s="80">
        <v>86.5</v>
      </c>
      <c r="G41" s="321">
        <f>IF(OR(E41="",F41=""),"",PID_KVLohnLookup($A$1,E41,F41,LOHNTABELLE!$H$4))</f>
        <v>1010.5</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336" t="s">
        <v>110</v>
      </c>
      <c r="P41" s="337"/>
      <c r="Q41" s="338">
        <f>IF(Q13=0, 0, Q38/Q13)</f>
        <v>4.6167838560302128</v>
      </c>
      <c r="R41" s="338"/>
      <c r="S41" s="338">
        <f>IF(Q13=0, 0, S38/Q13)</f>
        <v>4.4628910608292056</v>
      </c>
      <c r="T41" s="338"/>
      <c r="U41" s="338">
        <f t="shared" si="2"/>
        <v>-0.15389279520100718</v>
      </c>
      <c r="V41" s="339"/>
    </row>
    <row r="42" spans="1:22" ht="22" customHeight="1">
      <c r="A42" s="313">
        <v>40</v>
      </c>
      <c r="B42" s="68">
        <v>401731</v>
      </c>
      <c r="C42" s="69" t="s">
        <v>262</v>
      </c>
      <c r="D42" s="70">
        <v>45899</v>
      </c>
      <c r="E42" s="71" t="s">
        <v>2</v>
      </c>
      <c r="F42" s="72">
        <v>86.5</v>
      </c>
      <c r="G42" s="321">
        <f>IF(OR(E42="",F42=""),"",PID_KVLohnLookup($A$1,E42,F42,LOHNTABELLE!$H$4))</f>
        <v>1010.5</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375" t="s">
        <v>112</v>
      </c>
      <c r="P42" s="376"/>
      <c r="Q42" s="377">
        <f>IFERROR(Q17/Q8, 0)</f>
        <v>11.618608053311243</v>
      </c>
      <c r="R42" s="377"/>
      <c r="S42" s="377"/>
      <c r="T42" s="377"/>
      <c r="U42" s="377"/>
      <c r="V42" s="378"/>
    </row>
    <row r="43" spans="1:22" ht="22" customHeight="1">
      <c r="A43" s="313">
        <v>41</v>
      </c>
      <c r="B43" s="76">
        <v>401730</v>
      </c>
      <c r="C43" s="77" t="s">
        <v>263</v>
      </c>
      <c r="D43" s="78">
        <v>45895</v>
      </c>
      <c r="E43" s="79" t="s">
        <v>2</v>
      </c>
      <c r="F43" s="80">
        <v>86.5</v>
      </c>
      <c r="G43" s="321">
        <f>IF(OR(E43="",F43=""),"",PID_KVLohnLookup($A$1,E43,F43,LOHNTABELLE!$H$4))</f>
        <v>1010.5</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79"/>
      <c r="P43" s="379"/>
      <c r="Q43" s="379"/>
      <c r="R43" s="319"/>
      <c r="S43" s="319"/>
      <c r="T43" s="319"/>
      <c r="U43" s="319"/>
      <c r="V43" s="319"/>
    </row>
    <row r="44" spans="1:22" ht="22" customHeight="1">
      <c r="A44" s="313">
        <v>42</v>
      </c>
      <c r="B44" s="68">
        <v>401734</v>
      </c>
      <c r="C44" s="69" t="s">
        <v>264</v>
      </c>
      <c r="D44" s="70">
        <v>45904</v>
      </c>
      <c r="E44" s="71" t="s">
        <v>2</v>
      </c>
      <c r="F44" s="72">
        <v>86.5</v>
      </c>
      <c r="G44" s="321">
        <f>IF(OR(E44="",F44=""),"",PID_KVLohnLookup($A$1,E44,F44,LOHNTABELLE!$H$4))</f>
        <v>1010.5</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80" t="s">
        <v>115</v>
      </c>
      <c r="P44" s="380"/>
      <c r="Q44" s="380"/>
      <c r="R44" s="380"/>
      <c r="S44" s="380"/>
      <c r="T44" s="380"/>
      <c r="U44" s="380"/>
      <c r="V44" s="380"/>
    </row>
    <row r="45" spans="1:22" ht="22" customHeight="1">
      <c r="A45" s="313">
        <v>43</v>
      </c>
      <c r="B45" s="76">
        <v>401736</v>
      </c>
      <c r="C45" s="77" t="s">
        <v>265</v>
      </c>
      <c r="D45" s="78">
        <v>45906</v>
      </c>
      <c r="E45" s="79" t="s">
        <v>2</v>
      </c>
      <c r="F45" s="80">
        <v>86.5</v>
      </c>
      <c r="G45" s="321">
        <f>IF(OR(E45="",F45=""),"",PID_KVLohnLookup($A$1,E45,F45,LOHNTABELLE!$H$4))</f>
        <v>1010.5</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381"/>
      <c r="P45" s="381"/>
      <c r="Q45" s="381"/>
      <c r="R45" s="382"/>
      <c r="S45" s="382"/>
      <c r="T45" s="382"/>
      <c r="U45" s="382"/>
      <c r="V45" s="319"/>
    </row>
    <row r="46" spans="1:22" ht="22" customHeight="1">
      <c r="A46" s="313">
        <v>44</v>
      </c>
      <c r="B46" s="68">
        <v>401737</v>
      </c>
      <c r="C46" s="69" t="s">
        <v>266</v>
      </c>
      <c r="D46" s="70">
        <v>45906</v>
      </c>
      <c r="E46" s="71" t="s">
        <v>2</v>
      </c>
      <c r="F46" s="72">
        <v>86.5</v>
      </c>
      <c r="G46" s="321">
        <f>IF(OR(E46="",F46=""),"",PID_KVLohnLookup($A$1,E46,F46,LOHNTABELLE!$H$4))</f>
        <v>1010.5</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319"/>
      <c r="P46" s="319"/>
      <c r="Q46" s="319"/>
      <c r="R46" s="319"/>
      <c r="S46" s="319"/>
      <c r="T46" s="319"/>
      <c r="U46" s="319"/>
      <c r="V46" s="319"/>
    </row>
    <row r="47" spans="1:22" ht="22" customHeight="1">
      <c r="A47" s="313">
        <v>45</v>
      </c>
      <c r="B47" s="76">
        <v>401738</v>
      </c>
      <c r="C47" s="77" t="s">
        <v>267</v>
      </c>
      <c r="D47" s="78">
        <v>45909</v>
      </c>
      <c r="E47" s="79" t="s">
        <v>2</v>
      </c>
      <c r="F47" s="80">
        <v>86.5</v>
      </c>
      <c r="G47" s="321">
        <f>IF(OR(E47="",F47=""),"",PID_KVLohnLookup($A$1,E47,F47,LOHNTABELLE!$H$4))</f>
        <v>1010.5</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319"/>
      <c r="P47" s="319"/>
      <c r="Q47" s="319"/>
      <c r="R47" s="319"/>
      <c r="S47" s="319"/>
      <c r="T47" s="319"/>
      <c r="U47" s="319"/>
      <c r="V47" s="319"/>
    </row>
    <row r="48" spans="1:22" ht="22" customHeight="1">
      <c r="A48" s="313">
        <v>46</v>
      </c>
      <c r="B48" s="68">
        <v>401747</v>
      </c>
      <c r="C48" s="69" t="s">
        <v>268</v>
      </c>
      <c r="D48" s="73">
        <v>45941</v>
      </c>
      <c r="E48" s="71" t="s">
        <v>2</v>
      </c>
      <c r="F48" s="72">
        <v>86.5</v>
      </c>
      <c r="G48" s="321">
        <f>IF(OR(E48="",F48=""),"",PID_KVLohnLookup($A$1,E48,F48,LOHNTABELLE!$H$4))</f>
        <v>1010.5</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319"/>
      <c r="P48" s="319"/>
      <c r="Q48" s="319"/>
      <c r="R48" s="319"/>
      <c r="S48" s="319"/>
      <c r="T48" s="319"/>
      <c r="U48" s="319"/>
      <c r="V48" s="319"/>
    </row>
    <row r="49" spans="1:22" ht="22" customHeight="1">
      <c r="A49" s="313">
        <v>47</v>
      </c>
      <c r="B49" s="76">
        <v>401748</v>
      </c>
      <c r="C49" s="77" t="s">
        <v>269</v>
      </c>
      <c r="D49" s="81">
        <v>45941</v>
      </c>
      <c r="E49" s="79" t="s">
        <v>2</v>
      </c>
      <c r="F49" s="80">
        <v>138.4</v>
      </c>
      <c r="G49" s="321">
        <f>IF(OR(E49="",F49=""),"",PID_KVLohnLookup($A$1,E49,F49,LOHNTABELLE!$H$4))</f>
        <v>1616.8</v>
      </c>
      <c r="H49" s="322">
        <f>IF(AND(ISNUMBER(D49),ISNUMBER(F49)),ROUNDDOWN(MIN(IF(OR(ISBLANK(I49),I49=""),EOMONTH(DATE(EINSTELLUNG!$C$35,$A$1,1),0),I49)-MAX(D49,DATE(EINSTELLUNG!$C$35,$A$1,1))+1)/DAY(EOMONTH(DATE(EINSTELLUNG!$C$35,$A$1,1),0))*F49,2),"")</f>
        <v>138.4</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319"/>
      <c r="P49" s="319"/>
      <c r="Q49" s="319"/>
      <c r="R49" s="319"/>
      <c r="S49" s="319"/>
      <c r="T49" s="319"/>
      <c r="U49" s="319"/>
      <c r="V49" s="319"/>
    </row>
    <row r="50" spans="1:22" ht="22" customHeight="1">
      <c r="A50" s="313">
        <v>48</v>
      </c>
      <c r="B50" s="68">
        <v>401746</v>
      </c>
      <c r="C50" s="84" t="s">
        <v>270</v>
      </c>
      <c r="D50" s="73">
        <v>45941</v>
      </c>
      <c r="E50" s="71" t="s">
        <v>2</v>
      </c>
      <c r="F50" s="72">
        <v>86.5</v>
      </c>
      <c r="G50" s="321">
        <f>IF(OR(E50="",F50=""),"",PID_KVLohnLookup($A$1,E50,F50,LOHNTABELLE!$H$4))</f>
        <v>1010.5</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319"/>
      <c r="P50" s="319"/>
      <c r="Q50" s="319"/>
      <c r="R50" s="319"/>
      <c r="S50" s="319"/>
      <c r="T50" s="319"/>
      <c r="U50" s="319"/>
      <c r="V50" s="319"/>
    </row>
    <row r="51" spans="1:22" ht="22" customHeight="1">
      <c r="A51" s="313">
        <v>49</v>
      </c>
      <c r="B51" s="76">
        <v>401745</v>
      </c>
      <c r="C51" s="77" t="s">
        <v>271</v>
      </c>
      <c r="D51" s="81">
        <v>45934</v>
      </c>
      <c r="E51" s="79" t="s">
        <v>2</v>
      </c>
      <c r="F51" s="80">
        <v>86.5</v>
      </c>
      <c r="G51" s="321">
        <f>IF(OR(E51="",F51=""),"",PID_KVLohnLookup($A$1,E51,F51,LOHNTABELLE!$H$4))</f>
        <v>1010.5</v>
      </c>
      <c r="H51" s="322">
        <f>IF(AND(ISNUMBER(D51),ISNUMBER(F51)),ROUNDDOWN(MIN(IF(OR(ISBLANK(I51),I51=""),EOMONTH(DATE(EINSTELLUNG!$C$35,$A$1,1),0),I51)-MAX(D51,DATE(EINSTELLUNG!$C$35,$A$1,1))+1)/DAY(EOMONTH(DATE(EINSTELLUNG!$C$35,$A$1,1),0))*F51,2),"")</f>
        <v>86.5</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13">
        <v>50</v>
      </c>
      <c r="B52" s="68">
        <v>401751</v>
      </c>
      <c r="C52" s="69" t="s">
        <v>272</v>
      </c>
      <c r="D52" s="73">
        <v>45961</v>
      </c>
      <c r="E52" s="71" t="s">
        <v>2</v>
      </c>
      <c r="F52" s="72">
        <v>86.5</v>
      </c>
      <c r="G52" s="321">
        <f>IF(OR(E52="",F52=""),"",PID_KVLohnLookup($A$1,E52,F52,LOHNTABELLE!$H$4))</f>
        <v>1010.5</v>
      </c>
      <c r="H52" s="322">
        <f>IF(AND(ISNUMBER(D52),ISNUMBER(F52)),ROUNDDOWN(MIN(IF(OR(ISBLANK(I52),I52=""),EOMONTH(DATE(EINSTELLUNG!$C$35,$A$1,1),0),I52)-MAX(D52,DATE(EINSTELLUNG!$C$35,$A$1,1))+1)/DAY(EOMONTH(DATE(EINSTELLUNG!$C$35,$A$1,1),0))*F52,2),"")</f>
        <v>86.5</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13">
        <v>51</v>
      </c>
      <c r="B53" s="76">
        <v>401752</v>
      </c>
      <c r="C53" s="77" t="s">
        <v>273</v>
      </c>
      <c r="D53" s="81">
        <v>45986</v>
      </c>
      <c r="E53" s="79" t="s">
        <v>2</v>
      </c>
      <c r="F53" s="80">
        <v>173</v>
      </c>
      <c r="G53" s="321">
        <f>IF(OR(E53="",F53=""),"",PID_KVLohnLookup($A$1,E53,F53,LOHNTABELLE!$H$4))</f>
        <v>2021</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313">
        <v>52</v>
      </c>
      <c r="B54" s="68">
        <v>401754</v>
      </c>
      <c r="C54" s="69" t="s">
        <v>274</v>
      </c>
      <c r="D54" s="73">
        <v>46014</v>
      </c>
      <c r="E54" s="71" t="s">
        <v>2</v>
      </c>
      <c r="F54" s="72">
        <v>151.38</v>
      </c>
      <c r="G54" s="321">
        <f>IF(OR(E54="",F54=""),"",PID_KVLohnLookup($A$1,E54,F54,LOHNTABELLE!$H$4))</f>
        <v>1768.38</v>
      </c>
      <c r="H54" s="322">
        <f>IF(AND(ISNUMBER(D54),ISNUMBER(F54)),ROUNDDOWN(MIN(IF(OR(ISBLANK(I54),I54=""),EOMONTH(DATE(EINSTELLUNG!$C$35,$A$1,1),0),I54)-MAX(D54,DATE(EINSTELLUNG!$C$35,$A$1,1))+1)/DAY(EOMONTH(DATE(EINSTELLUNG!$C$35,$A$1,1),0))*F54,2),"")</f>
        <v>151.38</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313">
        <v>53</v>
      </c>
      <c r="B55" s="76">
        <v>401999</v>
      </c>
      <c r="C55" s="77" t="s">
        <v>423</v>
      </c>
      <c r="D55" s="81">
        <v>46041</v>
      </c>
      <c r="E55" s="79" t="s">
        <v>2</v>
      </c>
      <c r="F55" s="80">
        <v>151.38</v>
      </c>
      <c r="G55" s="321">
        <f>IF(OR(E55="",F55=""),"",PID_KVLohnLookup($A$1,E55,F55,LOHNTABELLE!$H$4))</f>
        <v>1768.38</v>
      </c>
      <c r="H55" s="322">
        <f>IF(AND(ISNUMBER(D55),ISNUMBER(F55)),ROUNDDOWN(MIN(IF(OR(ISBLANK(I55),I55=""),EOMONTH(DATE(EINSTELLUNG!$C$35,$A$1,1),0),I55)-MAX(D55,DATE(EINSTELLUNG!$C$35,$A$1,1))+1)/DAY(EOMONTH(DATE(EINSTELLUNG!$C$35,$A$1,1),0))*F55,2),"")</f>
        <v>63.48</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313">
        <v>54</v>
      </c>
      <c r="B56" s="68"/>
      <c r="C56" s="69"/>
      <c r="D56" s="73"/>
      <c r="E56" s="71"/>
      <c r="F56" s="72"/>
      <c r="G56" s="321" t="str">
        <f>IF(OR(E56="",F56=""),"",PID_KVLohnLookup($A$1,E56,F56,LOHNTABELLE!$H$4))</f>
        <v/>
      </c>
      <c r="H56" s="322" t="str">
        <f>IF(AND(ISNUMBER(D56),ISNUMBER(F56)),ROUNDDOWN(MIN(IF(OR(ISBLANK(I56),I56=""),EOMONTH(DATE(EINSTELLUNG!$C$35,$A$1,1),0),I56)-MAX(D56,DATE(EINSTELLUNG!$C$35,$A$1,1))+1)/DAY(EOMONTH(DATE(EINSTELLUNG!$C$35,$A$1,1),0))*F56,2),"")</f>
        <v/>
      </c>
      <c r="I56" s="73"/>
      <c r="J56" s="74"/>
      <c r="K56" s="321">
        <f t="shared" si="1"/>
        <v>0</v>
      </c>
      <c r="L56" s="32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13">
        <v>55</v>
      </c>
      <c r="B57" s="76"/>
      <c r="C57" s="77"/>
      <c r="D57" s="81"/>
      <c r="E57" s="79"/>
      <c r="F57" s="80"/>
      <c r="G57" s="321" t="str">
        <f>IF(OR(E57="",F57=""),"",PID_KVLohnLookup($A$1,E57,F57,LOHNTABELLE!$H$4))</f>
        <v/>
      </c>
      <c r="H57" s="322" t="str">
        <f>IF(AND(ISNUMBER(D57),ISNUMBER(F57)),ROUNDDOWN(MIN(IF(OR(ISBLANK(I57),I57=""),EOMONTH(DATE(EINSTELLUNG!$C$35,$A$1,1),0),I57)-MAX(D57,DATE(EINSTELLUNG!$C$35,$A$1,1))+1)/DAY(EOMONTH(DATE(EINSTELLUNG!$C$35,$A$1,1),0))*F57,2),"")</f>
        <v/>
      </c>
      <c r="I57" s="81"/>
      <c r="J57" s="82"/>
      <c r="K57" s="321">
        <f t="shared" si="1"/>
        <v>0</v>
      </c>
      <c r="L57" s="32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13">
        <v>56</v>
      </c>
      <c r="B58" s="68"/>
      <c r="C58" s="69"/>
      <c r="D58" s="73"/>
      <c r="E58" s="71"/>
      <c r="F58" s="72"/>
      <c r="G58" s="321" t="str">
        <f>IF(OR(E58="",F58=""),"",PID_KVLohnLookup($A$1,E58,F58,LOHNTABELLE!$H$4))</f>
        <v/>
      </c>
      <c r="H58" s="322" t="str">
        <f>IF(AND(ISNUMBER(D58),ISNUMBER(F58)),ROUNDDOWN(MIN(IF(OR(ISBLANK(I58),I58=""),EOMONTH(DATE(EINSTELLUNG!$C$35,$A$1,1),0),I58)-MAX(D58,DATE(EINSTELLUNG!$C$35,$A$1,1))+1)/DAY(EOMONTH(DATE(EINSTELLUNG!$C$35,$A$1,1),0))*F58,2),"")</f>
        <v/>
      </c>
      <c r="I58" s="73"/>
      <c r="J58" s="74"/>
      <c r="K58" s="321">
        <f t="shared" si="1"/>
        <v>0</v>
      </c>
      <c r="L58" s="32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13">
        <v>57</v>
      </c>
      <c r="B59" s="76"/>
      <c r="C59" s="77"/>
      <c r="D59" s="81"/>
      <c r="E59" s="79"/>
      <c r="F59" s="80"/>
      <c r="G59" s="321" t="str">
        <f>IF(OR(E59="",F59=""),"",PID_KVLohnLookup($A$1,E59,F59,LOHNTABELLE!$H$4))</f>
        <v/>
      </c>
      <c r="H59" s="322" t="str">
        <f>IF(AND(ISNUMBER(D59),ISNUMBER(F59)),ROUNDDOWN(MIN(IF(OR(ISBLANK(I59),I59=""),EOMONTH(DATE(EINSTELLUNG!$C$35,$A$1,1),0),I59)-MAX(D59,DATE(EINSTELLUNG!$C$35,$A$1,1))+1)/DAY(EOMONTH(DATE(EINSTELLUNG!$C$35,$A$1,1),0))*F59,2),"")</f>
        <v/>
      </c>
      <c r="I59" s="81"/>
      <c r="J59" s="82"/>
      <c r="K59" s="321">
        <f t="shared" si="1"/>
        <v>0</v>
      </c>
      <c r="L59" s="32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13">
        <v>58</v>
      </c>
      <c r="B60" s="68"/>
      <c r="C60" s="69"/>
      <c r="D60" s="73"/>
      <c r="E60" s="71"/>
      <c r="F60" s="72"/>
      <c r="G60" s="321" t="str">
        <f>IF(OR(E60="",F60=""),"",PID_KVLohnLookup($A$1,E60,F60,LOHNTABELLE!$H$4))</f>
        <v/>
      </c>
      <c r="H60" s="322" t="str">
        <f>IF(AND(ISNUMBER(D60),ISNUMBER(F60)),ROUNDDOWN(MIN(IF(OR(ISBLANK(I60),I60=""),EOMONTH(DATE(EINSTELLUNG!$C$35,$A$1,1),0),I60)-MAX(D60,DATE(EINSTELLUNG!$C$35,$A$1,1))+1)/DAY(EOMONTH(DATE(EINSTELLUNG!$C$35,$A$1,1),0))*F60,2),"")</f>
        <v/>
      </c>
      <c r="I60" s="73"/>
      <c r="J60" s="74"/>
      <c r="K60" s="321">
        <f t="shared" si="1"/>
        <v>0</v>
      </c>
      <c r="L60" s="32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13">
        <v>59</v>
      </c>
      <c r="B61" s="76"/>
      <c r="C61" s="77"/>
      <c r="D61" s="81"/>
      <c r="E61" s="79"/>
      <c r="F61" s="80"/>
      <c r="G61" s="321" t="str">
        <f>IF(OR(E61="",F61=""),"",PID_KVLohnLookup($A$1,E61,F61,LOHNTABELLE!$H$4))</f>
        <v/>
      </c>
      <c r="H61" s="322" t="str">
        <f>IF(AND(ISNUMBER(D61),ISNUMBER(F61)),ROUNDDOWN(MIN(IF(OR(ISBLANK(I61),I61=""),EOMONTH(DATE(EINSTELLUNG!$C$35,$A$1,1),0),I61)-MAX(D61,DATE(EINSTELLUNG!$C$35,$A$1,1))+1)/DAY(EOMONTH(DATE(EINSTELLUNG!$C$35,$A$1,1),0))*F61,2),"")</f>
        <v/>
      </c>
      <c r="I61" s="81"/>
      <c r="J61" s="82"/>
      <c r="K61" s="321">
        <f t="shared" si="1"/>
        <v>0</v>
      </c>
      <c r="L61" s="32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13">
        <v>60</v>
      </c>
      <c r="B62" s="68"/>
      <c r="C62" s="69"/>
      <c r="D62" s="73"/>
      <c r="E62" s="71"/>
      <c r="F62" s="72"/>
      <c r="G62" s="321" t="str">
        <f>IF(OR(E62="",F62=""),"",PID_KVLohnLookup($A$1,E62,F62,LOHNTABELLE!$H$4))</f>
        <v/>
      </c>
      <c r="H62" s="322" t="str">
        <f>IF(AND(ISNUMBER(D62),ISNUMBER(F62)),ROUNDDOWN(MIN(IF(OR(ISBLANK(I62),I62=""),EOMONTH(DATE(EINSTELLUNG!$C$35,$A$1,1),0),I62)-MAX(D62,DATE(EINSTELLUNG!$C$35,$A$1,1))+1)/DAY(EOMONTH(DATE(EINSTELLUNG!$C$35,$A$1,1),0))*F62,2),"")</f>
        <v/>
      </c>
      <c r="I62" s="73"/>
      <c r="J62" s="74"/>
      <c r="K62" s="321">
        <f t="shared" si="1"/>
        <v>0</v>
      </c>
      <c r="L62" s="32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13">
        <v>61</v>
      </c>
      <c r="B63" s="76"/>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13">
        <v>62</v>
      </c>
      <c r="B64" s="6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13">
        <v>63</v>
      </c>
      <c r="B65" s="76"/>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13">
        <v>64</v>
      </c>
      <c r="B66" s="6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13">
        <v>65</v>
      </c>
      <c r="B67" s="76"/>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si="1"/>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13">
        <v>66</v>
      </c>
      <c r="B68" s="6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1"/>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13">
        <v>67</v>
      </c>
      <c r="B69" s="76"/>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1"/>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13">
        <v>68</v>
      </c>
      <c r="B70" s="6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1"/>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13">
        <v>69</v>
      </c>
      <c r="B71" s="76"/>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1"/>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13">
        <v>70</v>
      </c>
      <c r="B72" s="6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1"/>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13">
        <v>71</v>
      </c>
      <c r="B73" s="76"/>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1"/>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13">
        <v>72</v>
      </c>
      <c r="B74" s="6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1"/>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13">
        <v>73</v>
      </c>
      <c r="B75" s="76"/>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1"/>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13">
        <v>74</v>
      </c>
      <c r="B76" s="6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1"/>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13">
        <v>75</v>
      </c>
      <c r="B77" s="76"/>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1"/>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13">
        <v>76</v>
      </c>
      <c r="B78" s="6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1"/>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13">
        <v>77</v>
      </c>
      <c r="B79" s="76"/>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1"/>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13">
        <v>78</v>
      </c>
      <c r="B80" s="6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1"/>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13">
        <v>79</v>
      </c>
      <c r="B81" s="76"/>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1"/>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13">
        <v>80</v>
      </c>
      <c r="B82" s="85"/>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1"/>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3"/>
    </row>
    <row r="114" spans="11:14" ht="16" customHeight="1">
      <c r="K114" s="387"/>
      <c r="L114" s="387"/>
      <c r="M114" s="387"/>
      <c r="N114" s="388"/>
    </row>
    <row r="115" spans="11:14" ht="16" customHeight="1">
      <c r="K115" s="387"/>
      <c r="L115" s="387"/>
      <c r="M115" s="387"/>
      <c r="N115" s="388"/>
    </row>
    <row r="116" spans="11:14" ht="16" customHeight="1">
      <c r="K116" s="389"/>
      <c r="L116" s="389"/>
      <c r="M116" s="390"/>
      <c r="N116" s="390"/>
    </row>
    <row r="117" spans="11:14" ht="16" customHeight="1">
      <c r="K117" s="389"/>
      <c r="L117" s="389"/>
      <c r="M117" s="390"/>
      <c r="N117" s="390"/>
    </row>
    <row r="118" spans="11:14" ht="16" customHeight="1">
      <c r="K118" s="391"/>
      <c r="L118" s="391"/>
      <c r="M118" s="392"/>
      <c r="N118" s="392"/>
    </row>
    <row r="119" spans="11:14" ht="16" customHeight="1">
      <c r="K119" s="393"/>
      <c r="L119" s="393"/>
      <c r="M119" s="394"/>
      <c r="N119" s="394"/>
    </row>
    <row r="120" spans="11:14" ht="16" customHeight="1">
      <c r="K120" s="389"/>
      <c r="L120" s="389"/>
      <c r="M120" s="390"/>
      <c r="N120" s="390"/>
    </row>
    <row r="121" spans="11:14" ht="16" customHeight="1">
      <c r="K121" s="389"/>
      <c r="L121" s="389"/>
      <c r="M121" s="390"/>
      <c r="N121" s="390"/>
    </row>
    <row r="122" spans="11:14" ht="16" customHeight="1">
      <c r="K122" s="393"/>
      <c r="L122" s="393"/>
      <c r="M122" s="394"/>
      <c r="N122" s="394"/>
    </row>
    <row r="123" spans="11:14" ht="16" customHeight="1">
      <c r="K123" s="395"/>
      <c r="L123" s="395"/>
      <c r="M123" s="395"/>
      <c r="N123" s="395"/>
    </row>
  </sheetData>
  <sheetProtection algorithmName="SHA-512" hashValue="Eaf5NnK2KSr4N5yFwvSK3MYxPi5ibUwjMKpLrd/5MksABXnk8l9dCtMfaIh7glIBXisNts7yFzK6oFh9YmOBSg==" saltValue="4q4WFqJb+bq+vc3iI9AFEw=="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F10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10168610-E389-454E-8079-A17AB2E1E8D2}">
          <x14:formula1>
            <xm:f>KV_DROPDOWN_HELPER!$A$1:$A$14</xm:f>
          </x14:formula1>
          <xm:sqref>F3 F4 F7 F11 F13 F15 F16 F17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1640625" style="223" bestFit="1" customWidth="1"/>
    <col min="29" max="16384" width="9.1640625" style="223"/>
  </cols>
  <sheetData>
    <row r="1" spans="1:28" ht="18" customHeight="1">
      <c r="A1" s="398">
        <v>2</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46054</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46081</v>
      </c>
    </row>
    <row r="3" spans="1:28" ht="22" customHeight="1">
      <c r="A3" s="401" t="s">
        <v>467</v>
      </c>
      <c r="B3" s="127">
        <v>401010</v>
      </c>
      <c r="C3" s="61" t="s">
        <v>224</v>
      </c>
      <c r="D3" s="62">
        <v>39388</v>
      </c>
      <c r="E3" s="63" t="s">
        <v>2</v>
      </c>
      <c r="F3" s="92">
        <v>173</v>
      </c>
      <c r="G3" s="314">
        <f>IF(OR(E3="",F3=""),"",PID_KVLohnLookup($A$1,E3,F3,LOHNTABELLE!$H$4))</f>
        <v>2021</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67"/>
      <c r="N3" s="97"/>
      <c r="O3" s="317" t="s">
        <v>47</v>
      </c>
      <c r="P3" s="317" t="s">
        <v>48</v>
      </c>
      <c r="Q3" s="317" t="s">
        <v>49</v>
      </c>
      <c r="R3" s="318" t="s">
        <v>50</v>
      </c>
      <c r="S3" s="319"/>
      <c r="T3" s="319"/>
      <c r="U3" s="319"/>
      <c r="V3" s="319"/>
      <c r="AB3" s="320"/>
    </row>
    <row r="4" spans="1:28" ht="22" customHeight="1">
      <c r="A4" s="402" t="s">
        <v>51</v>
      </c>
      <c r="B4" s="128">
        <v>401047</v>
      </c>
      <c r="C4" s="69" t="s">
        <v>226</v>
      </c>
      <c r="D4" s="70">
        <v>41154</v>
      </c>
      <c r="E4" s="71" t="s">
        <v>4</v>
      </c>
      <c r="F4" s="93">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401049</v>
      </c>
      <c r="C5" s="77" t="s">
        <v>225</v>
      </c>
      <c r="D5" s="78">
        <v>41130</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887.3295957509589</v>
      </c>
      <c r="P5" s="327">
        <f>EINSTELLUNG!I7</f>
        <v>600</v>
      </c>
      <c r="Q5" s="327">
        <f>P5-O5</f>
        <v>-287.3295957509589</v>
      </c>
      <c r="R5" s="328">
        <f>IFERROR(Q5*Q42, 0)</f>
        <v>-3439.969137224422</v>
      </c>
      <c r="S5" s="319"/>
      <c r="T5" s="319"/>
      <c r="U5" s="319"/>
      <c r="V5" s="319"/>
    </row>
    <row r="6" spans="1:28" ht="22" customHeight="1">
      <c r="A6" s="402" t="s">
        <v>53</v>
      </c>
      <c r="B6" s="128">
        <v>401051</v>
      </c>
      <c r="C6" s="69" t="s">
        <v>227</v>
      </c>
      <c r="D6" s="70">
        <v>41176</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401089</v>
      </c>
      <c r="C7" s="77" t="s">
        <v>241</v>
      </c>
      <c r="D7" s="78">
        <v>44868</v>
      </c>
      <c r="E7" s="79" t="s">
        <v>3</v>
      </c>
      <c r="F7" s="80">
        <v>173</v>
      </c>
      <c r="G7" s="321">
        <f>IF(OR(E7="",F7=""),"",PID_KVLohnLookup($A$1,E7,F7,LOHNTABELLE!$H$4))</f>
        <v>2082</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9"/>
      <c r="P7" s="319"/>
      <c r="Q7" s="319"/>
      <c r="R7" s="319"/>
      <c r="S7" s="319"/>
      <c r="T7" s="319"/>
      <c r="U7" s="319"/>
      <c r="V7" s="319"/>
    </row>
    <row r="8" spans="1:28" ht="22" customHeight="1">
      <c r="A8" s="402" t="s">
        <v>55</v>
      </c>
      <c r="B8" s="12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2" t="s">
        <v>56</v>
      </c>
      <c r="P8" s="333"/>
      <c r="Q8" s="334">
        <f>SUM(H3:H82)</f>
        <v>9054.4</v>
      </c>
      <c r="R8" s="335"/>
      <c r="S8" s="319"/>
      <c r="T8" s="319"/>
      <c r="U8" s="319"/>
      <c r="V8" s="319"/>
    </row>
    <row r="9" spans="1:28" ht="22" customHeight="1">
      <c r="A9" s="402" t="s">
        <v>57</v>
      </c>
      <c r="B9" s="129">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EINSTELLUNG!L23</f>
        <v>2</v>
      </c>
      <c r="R9" s="339"/>
      <c r="S9" s="403">
        <f>IFERROR(Q9/Q8, 0)</f>
        <v>2.2088708252341403E-4</v>
      </c>
      <c r="T9" s="319"/>
      <c r="U9" s="319"/>
      <c r="V9" s="319"/>
    </row>
    <row r="10" spans="1:28" ht="22" customHeight="1">
      <c r="A10" s="402" t="s">
        <v>59</v>
      </c>
      <c r="B10" s="128">
        <v>401214</v>
      </c>
      <c r="C10" s="69" t="s">
        <v>255</v>
      </c>
      <c r="D10" s="70">
        <v>45636</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EINSTELLUNG!I23</f>
        <v>0</v>
      </c>
      <c r="R10" s="339"/>
      <c r="S10" s="319"/>
      <c r="T10" s="319"/>
      <c r="U10" s="319"/>
      <c r="V10" s="319"/>
    </row>
    <row r="11" spans="1:28" ht="22" customHeight="1">
      <c r="A11" s="402" t="s">
        <v>61</v>
      </c>
      <c r="B11" s="129">
        <v>401276</v>
      </c>
      <c r="C11" s="94" t="s">
        <v>230</v>
      </c>
      <c r="D11" s="81">
        <v>43252</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401276</v>
      </c>
      <c r="C12" s="69" t="s">
        <v>472</v>
      </c>
      <c r="D12" s="70">
        <v>38899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6" t="s">
        <v>66</v>
      </c>
      <c r="P12" s="337"/>
      <c r="Q12" s="404">
        <v>7976.6399999999994</v>
      </c>
      <c r="R12" s="405"/>
      <c r="S12" s="319"/>
      <c r="T12" s="319"/>
      <c r="U12" s="319"/>
      <c r="V12" s="319"/>
    </row>
    <row r="13" spans="1:28" ht="22" customHeight="1">
      <c r="A13" s="402" t="s">
        <v>65</v>
      </c>
      <c r="B13" s="129">
        <v>401307</v>
      </c>
      <c r="C13" s="77" t="s">
        <v>231</v>
      </c>
      <c r="D13" s="78">
        <v>43571</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68</v>
      </c>
      <c r="P13" s="337"/>
      <c r="Q13" s="338">
        <f>EINSTELLUNG!L7</f>
        <v>9300</v>
      </c>
      <c r="R13" s="339"/>
      <c r="S13" s="319"/>
      <c r="T13" s="319"/>
      <c r="U13" s="319"/>
      <c r="V13" s="319"/>
    </row>
    <row r="14" spans="1:28" ht="22" customHeight="1" thickBot="1">
      <c r="A14" s="402" t="s">
        <v>67</v>
      </c>
      <c r="B14" s="128">
        <v>401308</v>
      </c>
      <c r="C14" s="69" t="s">
        <v>232</v>
      </c>
      <c r="D14" s="73">
        <v>43579</v>
      </c>
      <c r="E14" s="71" t="s">
        <v>3</v>
      </c>
      <c r="F14" s="72">
        <v>173</v>
      </c>
      <c r="G14" s="321">
        <f>IF(OR(E14="",F14=""),"",PID_KVLohnLookup($A$1,E14,F14,LOHNTABELLE!$H$4))</f>
        <v>2082</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41" t="s">
        <v>70</v>
      </c>
      <c r="P14" s="342"/>
      <c r="Q14" s="343">
        <f>Q12-Q13</f>
        <v>-1323.3600000000006</v>
      </c>
      <c r="R14" s="344"/>
      <c r="S14" s="319"/>
      <c r="T14" s="319"/>
      <c r="U14" s="319"/>
      <c r="V14" s="319"/>
    </row>
    <row r="15" spans="1:28" ht="22" customHeight="1">
      <c r="A15" s="402" t="s">
        <v>69</v>
      </c>
      <c r="B15" s="129">
        <v>401389</v>
      </c>
      <c r="C15" s="77" t="s">
        <v>234</v>
      </c>
      <c r="D15" s="78">
        <v>44384</v>
      </c>
      <c r="E15" s="79" t="s">
        <v>11</v>
      </c>
      <c r="F15" s="80">
        <v>173</v>
      </c>
      <c r="G15" s="321">
        <f>IF(OR(E15="",F15=""),"",PID_KVLohnLookup($A$1,E15,F15,LOHNTABELLE!$H$4))</f>
        <v>2300</v>
      </c>
      <c r="H15" s="322">
        <f>IF(AND(ISNUMBER(D15),ISNUMBER(F15)),ROUNDDOWN(MIN(IF(OR(ISBLANK(I15),I15=""),EOMONTH(DATE(EINSTELLUNG!$C$35,$A$1,1),0),I15)-MAX(D15,DATE(EINSTELLUNG!$C$35,$A$1,1))+1)/DAY(EOMONTH(DATE(EINSTELLUNG!$C$35,$A$1,1),0))*F15,2),"")</f>
        <v>173</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406" t="str">
        <f>IF(Q14&lt;0, "Schlecht! Zu wenig Stunden für Dienstplan.", IF(Q14&gt;0, "Du hast mehr als genug Stunden für Dienstplan.", ""))</f>
        <v>Schlecht! Zu wenig Stunden für Dienstplan.</v>
      </c>
      <c r="P15" s="407"/>
      <c r="Q15" s="407"/>
      <c r="R15" s="407"/>
      <c r="S15" s="345"/>
      <c r="T15" s="345"/>
      <c r="U15" s="345"/>
      <c r="V15" s="319"/>
    </row>
    <row r="16" spans="1:28" ht="22" customHeight="1" thickBot="1">
      <c r="A16" s="402" t="s">
        <v>71</v>
      </c>
      <c r="B16" s="128">
        <v>401394</v>
      </c>
      <c r="C16" s="69" t="s">
        <v>233</v>
      </c>
      <c r="D16" s="70">
        <v>44379</v>
      </c>
      <c r="E16" s="71" t="s">
        <v>2</v>
      </c>
      <c r="F16" s="72">
        <v>173</v>
      </c>
      <c r="G16" s="321">
        <f>IF(OR(E16="",F16=""),"",PID_KVLohnLookup($A$1,E16,F16,LOHNTABELLE!$H$4))</f>
        <v>2021</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08"/>
      <c r="P16" s="409"/>
      <c r="Q16" s="409"/>
      <c r="R16" s="410"/>
      <c r="S16" s="349"/>
      <c r="T16" s="349"/>
      <c r="U16" s="349"/>
      <c r="V16" s="349"/>
      <c r="W16" s="350"/>
    </row>
    <row r="17" spans="1:29" ht="22" customHeight="1">
      <c r="A17" s="402" t="s">
        <v>72</v>
      </c>
      <c r="B17" s="129">
        <v>401406</v>
      </c>
      <c r="C17" s="77" t="s">
        <v>473</v>
      </c>
      <c r="D17" s="78">
        <v>36850</v>
      </c>
      <c r="E17" s="79" t="s">
        <v>10</v>
      </c>
      <c r="F17" s="80">
        <v>151.38</v>
      </c>
      <c r="G17" s="321">
        <f>IF(OR(E17="",F17=""),"",PID_KVLohnLookup($A$1,E17,F17,LOHNTABELLE!$H$4))</f>
        <v>2012.5</v>
      </c>
      <c r="H17" s="322">
        <f>IF(AND(ISNUMBER(D17),ISNUMBER(F17)),ROUNDDOWN(MIN(IF(OR(ISBLANK(I17),I17=""),EOMONTH(DATE(EINSTELLUNG!$C$35,$A$1,1),0),I17)-MAX(D17,DATE(EINSTELLUNG!$C$35,$A$1,1))+1)/DAY(EOMONTH(DATE(EINSTELLUNG!$C$35,$A$1,1),0))*F17,2),"")</f>
        <v>151.38</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11" t="s">
        <v>73</v>
      </c>
      <c r="P17" s="333"/>
      <c r="Q17" s="351">
        <f>SUM(L3:L82)</f>
        <v>108401.14285714287</v>
      </c>
      <c r="R17" s="352"/>
      <c r="S17" s="319"/>
      <c r="T17" s="319"/>
      <c r="U17" s="319"/>
      <c r="V17" s="319"/>
      <c r="W17" s="350"/>
    </row>
    <row r="18" spans="1:29" ht="22" customHeight="1">
      <c r="A18" s="402" t="s">
        <v>74</v>
      </c>
      <c r="B18" s="128">
        <v>401432</v>
      </c>
      <c r="C18" s="69" t="s">
        <v>235</v>
      </c>
      <c r="D18" s="73">
        <v>44441</v>
      </c>
      <c r="E18" s="71" t="s">
        <v>2</v>
      </c>
      <c r="F18" s="72">
        <v>173</v>
      </c>
      <c r="G18" s="321">
        <f>IF(OR(E18="",F18=""),"",PID_KVLohnLookup($A$1,E18,F18,LOHNTABELLE!$H$4))</f>
        <v>2021</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12" t="s">
        <v>451</v>
      </c>
      <c r="P18" s="354"/>
      <c r="Q18" s="355">
        <v>20</v>
      </c>
      <c r="R18" s="356"/>
      <c r="S18" s="319"/>
      <c r="T18" s="319"/>
      <c r="U18" s="319"/>
      <c r="V18" s="319"/>
    </row>
    <row r="19" spans="1:29" ht="22" customHeight="1">
      <c r="A19" s="402" t="s">
        <v>75</v>
      </c>
      <c r="B19" s="129">
        <v>401476</v>
      </c>
      <c r="C19" s="77" t="s">
        <v>237</v>
      </c>
      <c r="D19" s="78">
        <v>44504</v>
      </c>
      <c r="E19" s="79" t="s">
        <v>2</v>
      </c>
      <c r="F19" s="80">
        <v>173</v>
      </c>
      <c r="G19" s="321">
        <f>IF(OR(E19="",F19=""),"",PID_KVLohnLookup($A$1,E19,F19,LOHNTABELLE!$H$4))</f>
        <v>2021</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12" t="s">
        <v>296</v>
      </c>
      <c r="P19" s="354"/>
      <c r="Q19" s="355">
        <v>333</v>
      </c>
      <c r="R19" s="356"/>
      <c r="S19" s="319"/>
      <c r="T19" s="319"/>
      <c r="U19" s="319"/>
      <c r="V19" s="319"/>
    </row>
    <row r="20" spans="1:29" ht="22" customHeight="1">
      <c r="A20" s="402" t="s">
        <v>76</v>
      </c>
      <c r="B20" s="128">
        <v>401479</v>
      </c>
      <c r="C20" s="69" t="s">
        <v>238</v>
      </c>
      <c r="D20" s="70">
        <v>44511</v>
      </c>
      <c r="E20" s="71" t="s">
        <v>6</v>
      </c>
      <c r="F20" s="72">
        <v>173</v>
      </c>
      <c r="G20" s="321">
        <f>IF(OR(E20="",F20=""),"",PID_KVLohnLookup($A$1,E20,F20,LOHNTABELLE!$H$4))</f>
        <v>2160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412" t="s">
        <v>296</v>
      </c>
      <c r="P20" s="354"/>
      <c r="Q20" s="355">
        <v>35</v>
      </c>
      <c r="R20" s="356"/>
      <c r="S20" s="319"/>
      <c r="T20" s="319"/>
      <c r="U20" s="319"/>
      <c r="V20" s="319"/>
    </row>
    <row r="21" spans="1:29" ht="22" customHeight="1">
      <c r="A21" s="402" t="s">
        <v>77</v>
      </c>
      <c r="B21" s="129">
        <v>401481</v>
      </c>
      <c r="C21" s="77" t="s">
        <v>239</v>
      </c>
      <c r="D21" s="78">
        <v>44531</v>
      </c>
      <c r="E21" s="79" t="s">
        <v>2</v>
      </c>
      <c r="F21" s="80">
        <v>173</v>
      </c>
      <c r="G21" s="321">
        <f>IF(OR(E21="",F21=""),"",PID_KVLohnLookup($A$1,E21,F21,LOHNTABELLE!$H$4))</f>
        <v>2021</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412" t="s">
        <v>296</v>
      </c>
      <c r="P21" s="354"/>
      <c r="Q21" s="355">
        <v>100</v>
      </c>
      <c r="R21" s="356"/>
      <c r="S21" s="319"/>
      <c r="T21" s="319"/>
      <c r="U21" s="319"/>
      <c r="V21" s="319"/>
    </row>
    <row r="22" spans="1:29" ht="22" customHeight="1">
      <c r="A22" s="402" t="s">
        <v>78</v>
      </c>
      <c r="B22" s="128">
        <v>401558</v>
      </c>
      <c r="C22" s="69" t="s">
        <v>236</v>
      </c>
      <c r="D22" s="70">
        <v>44460</v>
      </c>
      <c r="E22" s="71" t="s">
        <v>2</v>
      </c>
      <c r="F22" s="72">
        <v>173</v>
      </c>
      <c r="G22" s="321">
        <f>IF(OR(E22="",F22=""),"",PID_KVLohnLookup($A$1,E22,F22,LOHNTABELLE!$H$4))</f>
        <v>2021</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12" t="s">
        <v>296</v>
      </c>
      <c r="P22" s="354"/>
      <c r="Q22" s="355"/>
      <c r="R22" s="356"/>
      <c r="S22" s="319"/>
      <c r="T22" s="319"/>
      <c r="U22" s="319"/>
      <c r="V22" s="319"/>
    </row>
    <row r="23" spans="1:29" ht="22" customHeight="1">
      <c r="A23" s="402" t="s">
        <v>79</v>
      </c>
      <c r="B23" s="129">
        <v>401564</v>
      </c>
      <c r="C23" s="77" t="s">
        <v>240</v>
      </c>
      <c r="D23" s="78">
        <v>44824</v>
      </c>
      <c r="E23" s="79" t="s">
        <v>2</v>
      </c>
      <c r="F23" s="80">
        <v>173</v>
      </c>
      <c r="G23" s="321">
        <f>IF(OR(E23="",F23=""),"",PID_KVLohnLookup($A$1,E23,F23,LOHNTABELLE!$H$4))</f>
        <v>2021</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12" t="s">
        <v>296</v>
      </c>
      <c r="P23" s="354"/>
      <c r="Q23" s="355">
        <v>5000</v>
      </c>
      <c r="R23" s="356"/>
      <c r="S23" s="319"/>
      <c r="T23" s="319"/>
      <c r="U23" s="319"/>
      <c r="V23" s="319"/>
      <c r="W23" s="350"/>
    </row>
    <row r="24" spans="1:29" ht="22" customHeight="1">
      <c r="A24" s="402" t="s">
        <v>80</v>
      </c>
      <c r="B24" s="128">
        <v>401583</v>
      </c>
      <c r="C24" s="69" t="s">
        <v>242</v>
      </c>
      <c r="D24" s="70">
        <v>44900</v>
      </c>
      <c r="E24" s="71" t="s">
        <v>10</v>
      </c>
      <c r="F24" s="72">
        <v>173</v>
      </c>
      <c r="G24" s="321">
        <f>IF(OR(E24="",F24=""),"",PID_KVLohnLookup($A$1,E24,F24,LOHNTABELLE!$H$4))</f>
        <v>2300</v>
      </c>
      <c r="H24" s="322">
        <f>IF(AND(ISNUMBER(D24),ISNUMBER(F24)),ROUNDDOWN(MIN(IF(OR(ISBLANK(I24),I24=""),EOMONTH(DATE(EINSTELLUNG!$C$35,$A$1,1),0),I24)-MAX(D24,DATE(EINSTELLUNG!$C$35,$A$1,1))+1)/DAY(EOMONTH(DATE(EINSTELLUNG!$C$35,$A$1,1),0))*F24,2),"")</f>
        <v>173</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12"/>
      <c r="P24" s="354"/>
      <c r="Q24" s="355"/>
      <c r="R24" s="356"/>
      <c r="S24" s="319"/>
      <c r="T24" s="319"/>
      <c r="U24" s="319"/>
      <c r="V24" s="319"/>
      <c r="W24" s="350"/>
    </row>
    <row r="25" spans="1:29" ht="22" customHeight="1">
      <c r="A25" s="402" t="s">
        <v>81</v>
      </c>
      <c r="B25" s="129">
        <v>401589</v>
      </c>
      <c r="C25" s="77" t="s">
        <v>243</v>
      </c>
      <c r="D25" s="78">
        <v>44926</v>
      </c>
      <c r="E25" s="79" t="s">
        <v>10</v>
      </c>
      <c r="F25" s="80">
        <v>173</v>
      </c>
      <c r="G25" s="321">
        <f>IF(OR(E25="",F25=""),"",PID_KVLohnLookup($A$1,E25,F25,LOHNTABELLE!$H$4))</f>
        <v>2300</v>
      </c>
      <c r="H25" s="322">
        <f>IF(AND(ISNUMBER(D25),ISNUMBER(F25)),ROUNDDOWN(MIN(IF(OR(ISBLANK(I25),I25=""),EOMONTH(DATE(EINSTELLUNG!$C$35,$A$1,1),0),I25)-MAX(D25,DATE(EINSTELLUNG!$C$35,$A$1,1))+1)/DAY(EOMONTH(DATE(EINSTELLUNG!$C$35,$A$1,1),0))*F25,2),"")</f>
        <v>173</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412"/>
      <c r="P25" s="354"/>
      <c r="Q25" s="355"/>
      <c r="R25" s="356"/>
      <c r="S25" s="319"/>
      <c r="T25" s="319"/>
      <c r="U25" s="319"/>
      <c r="V25" s="319"/>
    </row>
    <row r="26" spans="1:29" ht="22" customHeight="1">
      <c r="A26" s="402" t="s">
        <v>82</v>
      </c>
      <c r="B26" s="128">
        <v>401602</v>
      </c>
      <c r="C26" s="69" t="s">
        <v>244</v>
      </c>
      <c r="D26" s="70">
        <v>45975</v>
      </c>
      <c r="E26" s="71" t="s">
        <v>2</v>
      </c>
      <c r="F26" s="72">
        <v>173</v>
      </c>
      <c r="G26" s="321">
        <f>IF(OR(E26="",F26=""),"",PID_KVLohnLookup($A$1,E26,F26,LOHNTABELLE!$H$4))</f>
        <v>2021</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412"/>
      <c r="P26" s="354"/>
      <c r="Q26" s="355"/>
      <c r="R26" s="356"/>
      <c r="S26" s="319"/>
      <c r="T26" s="319"/>
      <c r="U26" s="319"/>
      <c r="V26" s="319"/>
    </row>
    <row r="27" spans="1:29" ht="22" customHeight="1">
      <c r="A27" s="402" t="s">
        <v>83</v>
      </c>
      <c r="B27" s="129">
        <v>401605</v>
      </c>
      <c r="C27" s="77" t="s">
        <v>245</v>
      </c>
      <c r="D27" s="81">
        <v>44986</v>
      </c>
      <c r="E27" s="79" t="s">
        <v>2</v>
      </c>
      <c r="F27" s="80">
        <v>173</v>
      </c>
      <c r="G27" s="321">
        <f>IF(OR(E27="",F27=""),"",PID_KVLohnLookup($A$1,E27,F27,LOHNTABELLE!$H$4))</f>
        <v>2021</v>
      </c>
      <c r="H27" s="322">
        <f>IF(AND(ISNUMBER(D27),ISNUMBER(F27)),ROUNDDOWN(MIN(IF(OR(ISBLANK(I27),I27=""),EOMONTH(DATE(EINSTELLUNG!$C$35,$A$1,1),0),I27)-MAX(D27,DATE(EINSTELLUNG!$C$35,$A$1,1))+1)/DAY(EOMONTH(DATE(EINSTELLUNG!$C$35,$A$1,1),0))*F27,2),"")</f>
        <v>173</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412"/>
      <c r="P27" s="354"/>
      <c r="Q27" s="355"/>
      <c r="R27" s="356"/>
      <c r="S27" s="357" t="s">
        <v>84</v>
      </c>
      <c r="T27" s="357"/>
      <c r="U27" s="357"/>
      <c r="V27" s="357"/>
    </row>
    <row r="28" spans="1:29" ht="22" customHeight="1">
      <c r="A28" s="402" t="s">
        <v>85</v>
      </c>
      <c r="B28" s="128">
        <v>401605</v>
      </c>
      <c r="C28" s="69" t="s">
        <v>473</v>
      </c>
      <c r="D28" s="73">
        <v>36850</v>
      </c>
      <c r="E28" s="71" t="s">
        <v>10</v>
      </c>
      <c r="F28" s="72">
        <v>151.38</v>
      </c>
      <c r="G28" s="321">
        <f>IF(OR(E28="",F28=""),"",PID_KVLohnLookup($A$1,E28,F28,LOHNTABELLE!$H$4))</f>
        <v>2012.5</v>
      </c>
      <c r="H28" s="322">
        <f>IF(AND(ISNUMBER(D28),ISNUMBER(F28)),ROUNDDOWN(MIN(IF(OR(ISBLANK(I28),I28=""),EOMONTH(DATE(EINSTELLUNG!$C$35,$A$1,1),0),I28)-MAX(D28,DATE(EINSTELLUNG!$C$35,$A$1,1))+1)/DAY(EOMONTH(DATE(EINSTELLUNG!$C$35,$A$1,1),0))*F28,2),"")</f>
        <v>151.38</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12"/>
      <c r="P28" s="354"/>
      <c r="Q28" s="355"/>
      <c r="R28" s="356"/>
      <c r="S28" s="319"/>
      <c r="T28" s="319"/>
      <c r="U28" s="319"/>
      <c r="V28" s="319"/>
    </row>
    <row r="29" spans="1:29" ht="22" customHeight="1" thickBot="1">
      <c r="A29" s="402" t="s">
        <v>86</v>
      </c>
      <c r="B29" s="129">
        <v>401626</v>
      </c>
      <c r="C29" s="77" t="s">
        <v>246</v>
      </c>
      <c r="D29" s="78">
        <v>45063</v>
      </c>
      <c r="E29" s="79" t="s">
        <v>2</v>
      </c>
      <c r="F29" s="80">
        <v>173</v>
      </c>
      <c r="G29" s="321">
        <f>IF(OR(E29="",F29=""),"",PID_KVLohnLookup($A$1,E29,F29,LOHNTABELLE!$H$4))</f>
        <v>2021</v>
      </c>
      <c r="H29" s="322">
        <f>IF(AND(ISNUMBER(D29),ISNUMBER(F29)),ROUNDDOWN(MIN(IF(OR(ISBLANK(I29),I29=""),EOMONTH(DATE(EINSTELLUNG!$C$35,$A$1,1),0),I29)-MAX(D29,DATE(EINSTELLUNG!$C$35,$A$1,1))+1)/DAY(EOMONTH(DATE(EINSTELLUNG!$C$35,$A$1,1),0))*F29,2),"")</f>
        <v>173</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413" t="s">
        <v>87</v>
      </c>
      <c r="P29" s="342"/>
      <c r="Q29" s="358">
        <f>EINSTELLUNG!O7</f>
        <v>1250</v>
      </c>
      <c r="R29" s="359"/>
      <c r="S29" s="319"/>
      <c r="T29" s="319"/>
      <c r="U29" s="319"/>
      <c r="V29" s="319"/>
    </row>
    <row r="30" spans="1:29" ht="22" customHeight="1" thickBot="1">
      <c r="A30" s="402" t="s">
        <v>88</v>
      </c>
      <c r="B30" s="128">
        <v>401633</v>
      </c>
      <c r="C30" s="69" t="s">
        <v>247</v>
      </c>
      <c r="D30" s="73">
        <v>45089</v>
      </c>
      <c r="E30" s="71" t="s">
        <v>10</v>
      </c>
      <c r="F30" s="72">
        <v>173</v>
      </c>
      <c r="G30" s="321">
        <f>IF(OR(E30="",F30=""),"",PID_KVLohnLookup($A$1,E30,F30,LOHNTABELLE!$H$4))</f>
        <v>2300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401647</v>
      </c>
      <c r="C31" s="77" t="s">
        <v>248</v>
      </c>
      <c r="D31" s="78">
        <v>45182</v>
      </c>
      <c r="E31" s="79" t="s">
        <v>2</v>
      </c>
      <c r="F31" s="80">
        <v>173</v>
      </c>
      <c r="G31" s="321">
        <f>IF(OR(E31="",F31=""),"",PID_KVLohnLookup($A$1,E31,F31,LOHNTABELLE!$H$4))</f>
        <v>2021</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14">
        <v>0</v>
      </c>
      <c r="P31" s="362"/>
      <c r="Q31" s="363">
        <v>1.6393442622950821E-2</v>
      </c>
      <c r="R31" s="364"/>
      <c r="S31" s="319"/>
      <c r="T31" s="319"/>
      <c r="U31" s="319"/>
      <c r="V31" s="319"/>
    </row>
    <row r="32" spans="1:29" ht="22" customHeight="1" thickBot="1">
      <c r="A32" s="402" t="s">
        <v>91</v>
      </c>
      <c r="B32" s="128">
        <v>401661</v>
      </c>
      <c r="C32" s="69" t="s">
        <v>249</v>
      </c>
      <c r="D32" s="70">
        <v>45261</v>
      </c>
      <c r="E32" s="71" t="s">
        <v>2</v>
      </c>
      <c r="F32" s="72">
        <v>173</v>
      </c>
      <c r="G32" s="321">
        <f>IF(OR(E32="",F32=""),"",PID_KVLohnLookup($A$1,E32,F32,LOHNTABELLE!$H$4))</f>
        <v>2021</v>
      </c>
      <c r="H32" s="322">
        <f>IF(AND(ISNUMBER(D32),ISNUMBER(F32)),ROUNDDOWN(MIN(IF(OR(ISBLANK(I32),I32=""),EOMONTH(DATE(EINSTELLUNG!$C$35,$A$1,1),0),I32)-MAX(D32,DATE(EINSTELLUNG!$C$35,$A$1,1))+1)/DAY(EOMONTH(DATE(EINSTELLUNG!$C$35,$A$1,1),0))*F32,2),"")</f>
        <v>173</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19"/>
      <c r="P32" s="319"/>
      <c r="Q32" s="319"/>
      <c r="R32" s="319"/>
      <c r="S32" s="319"/>
      <c r="T32" s="319"/>
      <c r="U32" s="319"/>
      <c r="V32" s="319"/>
    </row>
    <row r="33" spans="1:22" ht="22" customHeight="1">
      <c r="A33" s="402" t="s">
        <v>92</v>
      </c>
      <c r="B33" s="129">
        <v>401670</v>
      </c>
      <c r="C33" s="77" t="s">
        <v>250</v>
      </c>
      <c r="D33" s="81">
        <v>45358</v>
      </c>
      <c r="E33" s="79" t="s">
        <v>2</v>
      </c>
      <c r="F33" s="80">
        <v>173</v>
      </c>
      <c r="G33" s="321">
        <f>IF(OR(E33="",F33=""),"",PID_KVLohnLookup($A$1,E33,F33,LOHNTABELLE!$H$4))</f>
        <v>2021</v>
      </c>
      <c r="H33" s="322">
        <f>IF(AND(ISNUMBER(D33),ISNUMBER(F33)),ROUNDDOWN(MIN(IF(OR(ISBLANK(I33),I33=""),EOMONTH(DATE(EINSTELLUNG!$C$35,$A$1,1),0),I33)-MAX(D33,DATE(EINSTELLUNG!$C$35,$A$1,1))+1)/DAY(EOMONTH(DATE(EINSTELLUNG!$C$35,$A$1,1),0))*F33,2),"")</f>
        <v>173</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15"/>
      <c r="P33" s="366"/>
      <c r="Q33" s="306" t="s">
        <v>93</v>
      </c>
      <c r="R33" s="306"/>
      <c r="S33" s="306" t="s">
        <v>94</v>
      </c>
      <c r="T33" s="306"/>
      <c r="U33" s="306" t="s">
        <v>95</v>
      </c>
      <c r="V33" s="307"/>
    </row>
    <row r="34" spans="1:22" ht="22" customHeight="1">
      <c r="A34" s="402" t="s">
        <v>96</v>
      </c>
      <c r="B34" s="128">
        <v>401678</v>
      </c>
      <c r="C34" s="69" t="s">
        <v>251</v>
      </c>
      <c r="D34" s="70">
        <v>45414</v>
      </c>
      <c r="E34" s="71" t="s">
        <v>2</v>
      </c>
      <c r="F34" s="72">
        <v>173</v>
      </c>
      <c r="G34" s="321">
        <f>IF(OR(E34="",F34=""),"",PID_KVLohnLookup($A$1,E34,F34,LOHNTABELLE!$H$4))</f>
        <v>2021</v>
      </c>
      <c r="H34" s="322">
        <f>IF(AND(ISNUMBER(D34),ISNUMBER(F34)),ROUNDDOWN(MIN(IF(OR(ISBLANK(I34),I34=""),EOMONTH(DATE(EINSTELLUNG!$C$35,$A$1,1),0),I34)-MAX(D34,DATE(EINSTELLUNG!$C$35,$A$1,1))+1)/DAY(EOMONTH(DATE(EINSTELLUNG!$C$35,$A$1,1),0))*F34,2),"")</f>
        <v>173</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16"/>
      <c r="P34" s="368"/>
      <c r="Q34" s="369"/>
      <c r="R34" s="369"/>
      <c r="S34" s="369"/>
      <c r="T34" s="369"/>
      <c r="U34" s="369"/>
      <c r="V34" s="370"/>
    </row>
    <row r="35" spans="1:22" ht="22" customHeight="1">
      <c r="A35" s="402" t="s">
        <v>97</v>
      </c>
      <c r="B35" s="129">
        <v>401690</v>
      </c>
      <c r="C35" s="77" t="s">
        <v>253</v>
      </c>
      <c r="D35" s="78">
        <v>45536</v>
      </c>
      <c r="E35" s="79" t="s">
        <v>2</v>
      </c>
      <c r="F35" s="80">
        <v>173</v>
      </c>
      <c r="G35" s="321">
        <f>IF(OR(E35="",F35=""),"",PID_KVLohnLookup($A$1,E35,F35,LOHNTABELLE!$H$4))</f>
        <v>2021</v>
      </c>
      <c r="H35" s="322">
        <f>IF(AND(ISNUMBER(D35),ISNUMBER(F35)),ROUNDDOWN(MIN(IF(OR(ISBLANK(I35),I35=""),EOMONTH(DATE(EINSTELLUNG!$C$35,$A$1,1),0),I35)-MAX(D35,DATE(EINSTELLUNG!$C$35,$A$1,1))+1)/DAY(EOMONTH(DATE(EINSTELLUNG!$C$35,$A$1,1),0))*F35,2),"")</f>
        <v>173</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417" t="s">
        <v>98</v>
      </c>
      <c r="P35" s="337"/>
      <c r="Q35" s="371">
        <f>EINSTELLUNG!C7</f>
        <v>400000</v>
      </c>
      <c r="R35" s="371"/>
      <c r="S35" s="371">
        <f>EINSTELLUNG!C23</f>
        <v>425000</v>
      </c>
      <c r="T35" s="371"/>
      <c r="U35" s="371">
        <f>S35-Q35</f>
        <v>25000</v>
      </c>
      <c r="V35" s="372"/>
    </row>
    <row r="36" spans="1:22" ht="22" customHeight="1">
      <c r="A36" s="402" t="s">
        <v>99</v>
      </c>
      <c r="B36" s="128">
        <v>401703</v>
      </c>
      <c r="C36" s="69" t="s">
        <v>254</v>
      </c>
      <c r="D36" s="70">
        <v>45616</v>
      </c>
      <c r="E36" s="71" t="s">
        <v>2</v>
      </c>
      <c r="F36" s="72">
        <v>173</v>
      </c>
      <c r="G36" s="321">
        <f>IF(OR(E36="",F36=""),"",PID_KVLohnLookup($A$1,E36,F36,LOHNTABELLE!$H$4))</f>
        <v>2021</v>
      </c>
      <c r="H36" s="322">
        <f>IF(AND(ISNUMBER(D36),ISNUMBER(F36)),ROUNDDOWN(MIN(IF(OR(ISBLANK(I36),I36=""),EOMONTH(DATE(EINSTELLUNG!$C$35,$A$1,1),0),I36)-MAX(D36,DATE(EINSTELLUNG!$C$35,$A$1,1))+1)/DAY(EOMONTH(DATE(EINSTELLUNG!$C$35,$A$1,1),0))*F36,2),"")</f>
        <v>173</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417" t="s">
        <v>100</v>
      </c>
      <c r="P36" s="337"/>
      <c r="Q36" s="371">
        <f>EINSTELLUNG!D7</f>
        <v>100000</v>
      </c>
      <c r="R36" s="371"/>
      <c r="S36" s="371">
        <f ca="1">SumMergedCells(Q17:R29)</f>
        <v>115139.14290000001</v>
      </c>
      <c r="T36" s="371"/>
      <c r="U36" s="371">
        <f t="shared" ref="U36:U41" ca="1" si="2">S36-Q36</f>
        <v>15139.142900000006</v>
      </c>
      <c r="V36" s="372"/>
    </row>
    <row r="37" spans="1:22" ht="22" customHeight="1">
      <c r="A37" s="402" t="s">
        <v>101</v>
      </c>
      <c r="B37" s="129">
        <v>401715</v>
      </c>
      <c r="C37" s="77" t="s">
        <v>256</v>
      </c>
      <c r="D37" s="78">
        <v>45755</v>
      </c>
      <c r="E37" s="79" t="s">
        <v>2</v>
      </c>
      <c r="F37" s="80">
        <v>173</v>
      </c>
      <c r="G37" s="321">
        <f>IF(OR(E37="",F37=""),"",PID_KVLohnLookup($A$1,E37,F37,LOHNTABELLE!$H$4))</f>
        <v>2021</v>
      </c>
      <c r="H37" s="322">
        <f>IF(AND(ISNUMBER(D37),ISNUMBER(F37)),ROUNDDOWN(MIN(IF(OR(ISBLANK(I37),I37=""),EOMONTH(DATE(EINSTELLUNG!$C$35,$A$1,1),0),I37)-MAX(D37,DATE(EINSTELLUNG!$C$35,$A$1,1))+1)/DAY(EOMONTH(DATE(EINSTELLUNG!$C$35,$A$1,1),0))*F37,2),"")</f>
        <v>173</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417" t="s">
        <v>102</v>
      </c>
      <c r="P37" s="337"/>
      <c r="Q37" s="373">
        <f>IF(ISERROR(Q36/Q35), 0, Q36/Q35)</f>
        <v>0.25</v>
      </c>
      <c r="R37" s="373"/>
      <c r="S37" s="373">
        <f ca="1">IF(ISERROR(S36/S35), 0, S36/S35)</f>
        <v>0.27091563035294119</v>
      </c>
      <c r="T37" s="373"/>
      <c r="U37" s="373">
        <f t="shared" ca="1" si="2"/>
        <v>2.0915630352941195E-2</v>
      </c>
      <c r="V37" s="374"/>
    </row>
    <row r="38" spans="1:22" ht="22" customHeight="1">
      <c r="A38" s="402" t="s">
        <v>103</v>
      </c>
      <c r="B38" s="128">
        <v>401716</v>
      </c>
      <c r="C38" s="69" t="s">
        <v>257</v>
      </c>
      <c r="D38" s="70">
        <v>45800</v>
      </c>
      <c r="E38" s="71" t="s">
        <v>2</v>
      </c>
      <c r="F38" s="72">
        <v>173</v>
      </c>
      <c r="G38" s="321">
        <f>IF(OR(E38="",F38=""),"",PID_KVLohnLookup($A$1,E38,F38,LOHNTABELLE!$H$4))</f>
        <v>2021</v>
      </c>
      <c r="H38" s="322">
        <f>IF(AND(ISNUMBER(D38),ISNUMBER(F38)),ROUNDDOWN(MIN(IF(OR(ISBLANK(I38),I38=""),EOMONTH(DATE(EINSTELLUNG!$C$35,$A$1,1),0),I38)-MAX(D38,DATE(EINSTELLUNG!$C$35,$A$1,1))+1)/DAY(EOMONTH(DATE(EINSTELLUNG!$C$35,$A$1,1),0))*F38,2),"")</f>
        <v>173</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417" t="s">
        <v>104</v>
      </c>
      <c r="P38" s="337"/>
      <c r="Q38" s="338">
        <f>EINSTELLUNG!F7</f>
        <v>30000</v>
      </c>
      <c r="R38" s="338"/>
      <c r="S38" s="338">
        <f>EINSTELLUNG!F23</f>
        <v>29000</v>
      </c>
      <c r="T38" s="338"/>
      <c r="U38" s="338">
        <f t="shared" si="2"/>
        <v>-1000</v>
      </c>
      <c r="V38" s="339"/>
    </row>
    <row r="39" spans="1:22" ht="22" customHeight="1">
      <c r="A39" s="402" t="s">
        <v>105</v>
      </c>
      <c r="B39" s="129">
        <v>401717</v>
      </c>
      <c r="C39" s="77" t="s">
        <v>258</v>
      </c>
      <c r="D39" s="78">
        <v>45814</v>
      </c>
      <c r="E39" s="79" t="s">
        <v>2</v>
      </c>
      <c r="F39" s="80">
        <v>173</v>
      </c>
      <c r="G39" s="321">
        <f>IF(OR(E39="",F39=""),"",PID_KVLohnLookup($A$1,E39,F39,LOHNTABELLE!$H$4))</f>
        <v>2021</v>
      </c>
      <c r="H39" s="322">
        <f>IF(AND(ISNUMBER(D39),ISNUMBER(F39)),ROUNDDOWN(MIN(IF(OR(ISBLANK(I39),I39=""),EOMONTH(DATE(EINSTELLUNG!$C$35,$A$1,1),0),I39)-MAX(D39,DATE(EINSTELLUNG!$C$35,$A$1,1))+1)/DAY(EOMONTH(DATE(EINSTELLUNG!$C$35,$A$1,1),0))*F39,2),"")</f>
        <v>173</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417" t="s">
        <v>106</v>
      </c>
      <c r="P39" s="337"/>
      <c r="Q39" s="371">
        <f>IF(Q38=0, 0, Q35/Q38)</f>
        <v>13.333333333333334</v>
      </c>
      <c r="R39" s="371"/>
      <c r="S39" s="371">
        <f>IF(S38=0, 0, S35/S38)</f>
        <v>14.655172413793103</v>
      </c>
      <c r="T39" s="371"/>
      <c r="U39" s="371">
        <f t="shared" si="2"/>
        <v>1.3218390804597693</v>
      </c>
      <c r="V39" s="372"/>
    </row>
    <row r="40" spans="1:22" ht="22" customHeight="1">
      <c r="A40" s="402" t="s">
        <v>107</v>
      </c>
      <c r="B40" s="128">
        <v>401722</v>
      </c>
      <c r="C40" s="69" t="s">
        <v>259</v>
      </c>
      <c r="D40" s="70">
        <v>45848</v>
      </c>
      <c r="E40" s="71" t="s">
        <v>2</v>
      </c>
      <c r="F40" s="72">
        <v>86.5</v>
      </c>
      <c r="G40" s="321">
        <f>IF(OR(E40="",F40=""),"",PID_KVLohnLookup($A$1,E40,F40,LOHNTABELLE!$H$4))</f>
        <v>1010.5</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17" t="s">
        <v>108</v>
      </c>
      <c r="P40" s="337"/>
      <c r="Q40" s="371">
        <f>IF(Q12=0, 0, Q35/Q12)</f>
        <v>50.146427568500023</v>
      </c>
      <c r="R40" s="371"/>
      <c r="S40" s="371">
        <f>IF(Q12=0, 0, S35/Q12)</f>
        <v>53.280579291531275</v>
      </c>
      <c r="T40" s="371"/>
      <c r="U40" s="371">
        <f t="shared" si="2"/>
        <v>3.1341517230312519</v>
      </c>
      <c r="V40" s="372"/>
    </row>
    <row r="41" spans="1:22" ht="22" customHeight="1">
      <c r="A41" s="402" t="s">
        <v>109</v>
      </c>
      <c r="B41" s="129">
        <v>401723</v>
      </c>
      <c r="C41" s="77" t="s">
        <v>260</v>
      </c>
      <c r="D41" s="78">
        <v>45852</v>
      </c>
      <c r="E41" s="79" t="s">
        <v>2</v>
      </c>
      <c r="F41" s="80">
        <v>86.5</v>
      </c>
      <c r="G41" s="321">
        <f>IF(OR(E41="",F41=""),"",PID_KVLohnLookup($A$1,E41,F41,LOHNTABELLE!$H$4))</f>
        <v>1010.5</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17" t="s">
        <v>110</v>
      </c>
      <c r="P41" s="337"/>
      <c r="Q41" s="338">
        <f>IF(Q12=0, 0, Q38/Q12)</f>
        <v>3.7609820676375016</v>
      </c>
      <c r="R41" s="338"/>
      <c r="S41" s="338">
        <f>IF(Q12=0, 0, S38/Q12)</f>
        <v>3.6356159987162515</v>
      </c>
      <c r="T41" s="338"/>
      <c r="U41" s="338">
        <f t="shared" si="2"/>
        <v>-0.12536606892125013</v>
      </c>
      <c r="V41" s="339"/>
    </row>
    <row r="42" spans="1:22" ht="22" customHeight="1">
      <c r="A42" s="402" t="s">
        <v>111</v>
      </c>
      <c r="B42" s="128">
        <v>401726</v>
      </c>
      <c r="C42" s="69" t="s">
        <v>261</v>
      </c>
      <c r="D42" s="70">
        <v>45870</v>
      </c>
      <c r="E42" s="71" t="s">
        <v>2</v>
      </c>
      <c r="F42" s="72">
        <v>86.5</v>
      </c>
      <c r="G42" s="321">
        <f>IF(OR(E42="",F42=""),"",PID_KVLohnLookup($A$1,E42,F42,LOHNTABELLE!$H$4))</f>
        <v>1010.5</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18" t="s">
        <v>112</v>
      </c>
      <c r="P42" s="376"/>
      <c r="Q42" s="377">
        <f>IFERROR(Q17/Q8, 0)</f>
        <v>11.972206093959056</v>
      </c>
      <c r="R42" s="377"/>
      <c r="S42" s="377"/>
      <c r="T42" s="377"/>
      <c r="U42" s="377"/>
      <c r="V42" s="378"/>
    </row>
    <row r="43" spans="1:22" ht="22" customHeight="1">
      <c r="A43" s="402" t="s">
        <v>113</v>
      </c>
      <c r="B43" s="129">
        <v>401730</v>
      </c>
      <c r="C43" s="77" t="s">
        <v>263</v>
      </c>
      <c r="D43" s="78">
        <v>45895</v>
      </c>
      <c r="E43" s="79" t="s">
        <v>2</v>
      </c>
      <c r="F43" s="80">
        <v>86.5</v>
      </c>
      <c r="G43" s="321">
        <f>IF(OR(E43="",F43=""),"",PID_KVLohnLookup($A$1,E43,F43,LOHNTABELLE!$H$4))</f>
        <v>1010.5</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79"/>
      <c r="P43" s="379"/>
      <c r="Q43" s="379"/>
      <c r="R43" s="319"/>
      <c r="S43" s="319"/>
      <c r="T43" s="319"/>
      <c r="U43" s="319"/>
      <c r="V43" s="319"/>
    </row>
    <row r="44" spans="1:22" ht="22" customHeight="1">
      <c r="A44" s="402" t="s">
        <v>114</v>
      </c>
      <c r="B44" s="128">
        <v>401731</v>
      </c>
      <c r="C44" s="69" t="s">
        <v>262</v>
      </c>
      <c r="D44" s="70">
        <v>45899</v>
      </c>
      <c r="E44" s="71" t="s">
        <v>2</v>
      </c>
      <c r="F44" s="72">
        <v>86.5</v>
      </c>
      <c r="G44" s="321">
        <f>IF(OR(E44="",F44=""),"",PID_KVLohnLookup($A$1,E44,F44,LOHNTABELLE!$H$4))</f>
        <v>1010.5</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80" t="s">
        <v>115</v>
      </c>
      <c r="P44" s="380"/>
      <c r="Q44" s="380"/>
      <c r="R44" s="380"/>
      <c r="S44" s="380"/>
      <c r="T44" s="380"/>
      <c r="U44" s="380"/>
      <c r="V44" s="380"/>
    </row>
    <row r="45" spans="1:22" ht="22" customHeight="1">
      <c r="A45" s="402" t="s">
        <v>116</v>
      </c>
      <c r="B45" s="129">
        <v>401734</v>
      </c>
      <c r="C45" s="77" t="s">
        <v>264</v>
      </c>
      <c r="D45" s="78">
        <v>45904</v>
      </c>
      <c r="E45" s="79" t="s">
        <v>2</v>
      </c>
      <c r="F45" s="80">
        <v>86.5</v>
      </c>
      <c r="G45" s="321">
        <f>IF(OR(E45="",F45=""),"",PID_KVLohnLookup($A$1,E45,F45,LOHNTABELLE!$H$4))</f>
        <v>1010.5</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81"/>
      <c r="P45" s="381"/>
      <c r="Q45" s="381"/>
      <c r="R45" s="382"/>
      <c r="S45" s="382"/>
      <c r="T45" s="382"/>
      <c r="U45" s="382"/>
      <c r="V45" s="319"/>
    </row>
    <row r="46" spans="1:22" ht="22" customHeight="1">
      <c r="A46" s="402" t="s">
        <v>117</v>
      </c>
      <c r="B46" s="128">
        <v>401736</v>
      </c>
      <c r="C46" s="69" t="s">
        <v>265</v>
      </c>
      <c r="D46" s="70">
        <v>45906</v>
      </c>
      <c r="E46" s="71" t="s">
        <v>2</v>
      </c>
      <c r="F46" s="72">
        <v>86.5</v>
      </c>
      <c r="G46" s="321">
        <f>IF(OR(E46="",F46=""),"",PID_KVLohnLookup($A$1,E46,F46,LOHNTABELLE!$H$4))</f>
        <v>1010.5</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19"/>
      <c r="P46" s="319"/>
      <c r="Q46" s="319"/>
      <c r="R46" s="319"/>
      <c r="S46" s="319"/>
      <c r="T46" s="319"/>
      <c r="U46" s="319"/>
      <c r="V46" s="319"/>
    </row>
    <row r="47" spans="1:22" ht="22" customHeight="1">
      <c r="A47" s="402" t="s">
        <v>118</v>
      </c>
      <c r="B47" s="129">
        <v>401737</v>
      </c>
      <c r="C47" s="77" t="s">
        <v>266</v>
      </c>
      <c r="D47" s="78">
        <v>45906</v>
      </c>
      <c r="E47" s="79" t="s">
        <v>2</v>
      </c>
      <c r="F47" s="80">
        <v>86.5</v>
      </c>
      <c r="G47" s="321">
        <f>IF(OR(E47="",F47=""),"",PID_KVLohnLookup($A$1,E47,F47,LOHNTABELLE!$H$4))</f>
        <v>1010.5</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19"/>
      <c r="P47" s="319"/>
      <c r="Q47" s="319"/>
      <c r="R47" s="319"/>
      <c r="S47" s="319"/>
      <c r="T47" s="319"/>
      <c r="U47" s="319"/>
      <c r="V47" s="319"/>
    </row>
    <row r="48" spans="1:22" ht="22" customHeight="1">
      <c r="A48" s="402" t="s">
        <v>119</v>
      </c>
      <c r="B48" s="128">
        <v>401738</v>
      </c>
      <c r="C48" s="69" t="s">
        <v>267</v>
      </c>
      <c r="D48" s="70">
        <v>45909</v>
      </c>
      <c r="E48" s="71" t="s">
        <v>2</v>
      </c>
      <c r="F48" s="72">
        <v>86.5</v>
      </c>
      <c r="G48" s="321">
        <f>IF(OR(E48="",F48=""),"",PID_KVLohnLookup($A$1,E48,F48,LOHNTABELLE!$H$4))</f>
        <v>1010.5</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19"/>
      <c r="P48" s="319"/>
      <c r="Q48" s="319"/>
      <c r="R48" s="319"/>
      <c r="S48" s="319"/>
      <c r="T48" s="319"/>
      <c r="U48" s="319"/>
      <c r="V48" s="319"/>
    </row>
    <row r="49" spans="1:22" ht="22" customHeight="1">
      <c r="A49" s="402" t="s">
        <v>120</v>
      </c>
      <c r="B49" s="129">
        <v>401745</v>
      </c>
      <c r="C49" s="77" t="s">
        <v>271</v>
      </c>
      <c r="D49" s="78">
        <v>45934</v>
      </c>
      <c r="E49" s="79" t="s">
        <v>2</v>
      </c>
      <c r="F49" s="80">
        <v>86.5</v>
      </c>
      <c r="G49" s="321">
        <f>IF(OR(E49="",F49=""),"",PID_KVLohnLookup($A$1,E49,F49,LOHNTABELLE!$H$4))</f>
        <v>1010.5</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19"/>
      <c r="P49" s="319"/>
      <c r="Q49" s="319"/>
      <c r="R49" s="319"/>
      <c r="S49" s="319"/>
      <c r="T49" s="319"/>
      <c r="U49" s="319"/>
      <c r="V49" s="319"/>
    </row>
    <row r="50" spans="1:22" ht="22" customHeight="1">
      <c r="A50" s="402" t="s">
        <v>121</v>
      </c>
      <c r="B50" s="128">
        <v>401746</v>
      </c>
      <c r="C50" s="69" t="s">
        <v>270</v>
      </c>
      <c r="D50" s="70">
        <v>45941</v>
      </c>
      <c r="E50" s="71" t="s">
        <v>2</v>
      </c>
      <c r="F50" s="72">
        <v>86.5</v>
      </c>
      <c r="G50" s="321">
        <f>IF(OR(E50="",F50=""),"",PID_KVLohnLookup($A$1,E50,F50,LOHNTABELLE!$H$4))</f>
        <v>1010.5</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19"/>
      <c r="P50" s="319"/>
      <c r="Q50" s="319"/>
      <c r="R50" s="319"/>
      <c r="S50" s="319"/>
      <c r="T50" s="319"/>
      <c r="U50" s="319"/>
      <c r="V50" s="319"/>
    </row>
    <row r="51" spans="1:22" ht="22" customHeight="1">
      <c r="A51" s="402" t="s">
        <v>122</v>
      </c>
      <c r="B51" s="129">
        <v>401747</v>
      </c>
      <c r="C51" s="77" t="s">
        <v>268</v>
      </c>
      <c r="D51" s="78">
        <v>45941</v>
      </c>
      <c r="E51" s="79" t="s">
        <v>2</v>
      </c>
      <c r="F51" s="80">
        <v>138.4</v>
      </c>
      <c r="G51" s="321">
        <f>IF(OR(E51="",F51=""),"",PID_KVLohnLookup($A$1,E51,F51,LOHNTABELLE!$H$4))</f>
        <v>1616.8</v>
      </c>
      <c r="H51" s="322">
        <f>IF(AND(ISNUMBER(D51),ISNUMBER(F51)),ROUNDDOWN(MIN(IF(OR(ISBLANK(I51),I51=""),EOMONTH(DATE(EINSTELLUNG!$C$35,$A$1,1),0),I51)-MAX(D51,DATE(EINSTELLUNG!$C$35,$A$1,1))+1)/DAY(EOMONTH(DATE(EINSTELLUNG!$C$35,$A$1,1),0))*F51,2),"")</f>
        <v>138.4</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402" t="s">
        <v>123</v>
      </c>
      <c r="B52" s="128">
        <v>401748</v>
      </c>
      <c r="C52" s="69" t="s">
        <v>269</v>
      </c>
      <c r="D52" s="70">
        <v>45941</v>
      </c>
      <c r="E52" s="71" t="s">
        <v>2</v>
      </c>
      <c r="F52" s="72">
        <v>86.5</v>
      </c>
      <c r="G52" s="321">
        <f>IF(OR(E52="",F52=""),"",PID_KVLohnLookup($A$1,E52,F52,LOHNTABELLE!$H$4))</f>
        <v>1010.5</v>
      </c>
      <c r="H52" s="322">
        <f>IF(AND(ISNUMBER(D52),ISNUMBER(F52)),ROUNDDOWN(MIN(IF(OR(ISBLANK(I52),I52=""),EOMONTH(DATE(EINSTELLUNG!$C$35,$A$1,1),0),I52)-MAX(D52,DATE(EINSTELLUNG!$C$35,$A$1,1))+1)/DAY(EOMONTH(DATE(EINSTELLUNG!$C$35,$A$1,1),0))*F52,2),"")</f>
        <v>86.5</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02" t="s">
        <v>124</v>
      </c>
      <c r="B53" s="129">
        <v>401751</v>
      </c>
      <c r="C53" s="77" t="s">
        <v>272</v>
      </c>
      <c r="D53" s="78">
        <v>45961</v>
      </c>
      <c r="E53" s="79" t="s">
        <v>2</v>
      </c>
      <c r="F53" s="80">
        <v>86.5</v>
      </c>
      <c r="G53" s="321">
        <f>IF(OR(E53="",F53=""),"",PID_KVLohnLookup($A$1,E53,F53,LOHNTABELLE!$H$4))</f>
        <v>1010.5</v>
      </c>
      <c r="H53" s="322">
        <f>IF(AND(ISNUMBER(D53),ISNUMBER(F53)),ROUNDDOWN(MIN(IF(OR(ISBLANK(I53),I53=""),EOMONTH(DATE(EINSTELLUNG!$C$35,$A$1,1),0),I53)-MAX(D53,DATE(EINSTELLUNG!$C$35,$A$1,1))+1)/DAY(EOMONTH(DATE(EINSTELLUNG!$C$35,$A$1,1),0))*F53,2),"")</f>
        <v>86.5</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02" t="s">
        <v>125</v>
      </c>
      <c r="B54" s="128">
        <v>401752</v>
      </c>
      <c r="C54" s="69" t="s">
        <v>273</v>
      </c>
      <c r="D54" s="73">
        <v>45986</v>
      </c>
      <c r="E54" s="71" t="s">
        <v>2</v>
      </c>
      <c r="F54" s="72">
        <v>86.5</v>
      </c>
      <c r="G54" s="321">
        <f>IF(OR(E54="",F54=""),"",PID_KVLohnLookup($A$1,E54,F54,LOHNTABELLE!$H$4))</f>
        <v>1010.5</v>
      </c>
      <c r="H54" s="322">
        <f>IF(AND(ISNUMBER(D54),ISNUMBER(F54)),ROUNDDOWN(MIN(IF(OR(ISBLANK(I54),I54=""),EOMONTH(DATE(EINSTELLUNG!$C$35,$A$1,1),0),I54)-MAX(D54,DATE(EINSTELLUNG!$C$35,$A$1,1))+1)/DAY(EOMONTH(DATE(EINSTELLUNG!$C$35,$A$1,1),0))*F54,2),"")</f>
        <v>86.5</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402" t="s">
        <v>126</v>
      </c>
      <c r="B55" s="129">
        <v>401754</v>
      </c>
      <c r="C55" s="77" t="s">
        <v>274</v>
      </c>
      <c r="D55" s="78">
        <v>46014</v>
      </c>
      <c r="E55" s="79" t="s">
        <v>2</v>
      </c>
      <c r="F55" s="80">
        <v>86.5</v>
      </c>
      <c r="G55" s="321">
        <f>IF(OR(E55="",F55=""),"",PID_KVLohnLookup($A$1,E55,F55,LOHNTABELLE!$H$4))</f>
        <v>1010.5</v>
      </c>
      <c r="H55" s="322">
        <f>IF(AND(ISNUMBER(D55),ISNUMBER(F55)),ROUNDDOWN(MIN(IF(OR(ISBLANK(I55),I55=""),EOMONTH(DATE(EINSTELLUNG!$C$35,$A$1,1),0),I55)-MAX(D55,DATE(EINSTELLUNG!$C$35,$A$1,1))+1)/DAY(EOMONTH(DATE(EINSTELLUNG!$C$35,$A$1,1),0))*F55,2),"")</f>
        <v>86.5</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402" t="s">
        <v>127</v>
      </c>
      <c r="B56" s="128">
        <v>401999</v>
      </c>
      <c r="C56" s="69" t="s">
        <v>423</v>
      </c>
      <c r="D56" s="73">
        <v>46041</v>
      </c>
      <c r="E56" s="71" t="s">
        <v>2</v>
      </c>
      <c r="F56" s="72">
        <v>151.38</v>
      </c>
      <c r="G56" s="321">
        <f>IF(OR(E56="",F56=""),"",PID_KVLohnLookup($A$1,E56,F56,LOHNTABELLE!$H$4))</f>
        <v>1768.38</v>
      </c>
      <c r="H56" s="322">
        <f>IF(AND(ISNUMBER(D56),ISNUMBER(F56)),ROUNDDOWN(MIN(IF(OR(ISBLANK(I56),I56=""),EOMONTH(DATE(EINSTELLUNG!$C$35,$A$1,1),0),I56)-MAX(D56,DATE(EINSTELLUNG!$C$35,$A$1,1))+1)/DAY(EOMONTH(DATE(EINSTELLUNG!$C$35,$A$1,1),0))*F56,2),"")</f>
        <v>151.38</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02" t="s">
        <v>128</v>
      </c>
      <c r="B57" s="129">
        <v>402405</v>
      </c>
      <c r="C57" s="77" t="s">
        <v>301</v>
      </c>
      <c r="D57" s="81">
        <v>46054</v>
      </c>
      <c r="E57" s="79" t="s">
        <v>2</v>
      </c>
      <c r="F57" s="80">
        <v>173</v>
      </c>
      <c r="G57" s="321">
        <f>IF(OR(E57="",F57=""),"",PID_KVLohnLookup($A$1,E57,F57,LOHNTABELLE!$H$4))</f>
        <v>2021</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402" t="s">
        <v>129</v>
      </c>
      <c r="B58" s="128">
        <v>500600</v>
      </c>
      <c r="C58" s="69" t="s">
        <v>305</v>
      </c>
      <c r="D58" s="73">
        <v>46054</v>
      </c>
      <c r="E58" s="71" t="s">
        <v>2</v>
      </c>
      <c r="F58" s="72">
        <v>173</v>
      </c>
      <c r="G58" s="321">
        <f>IF(OR(E58="",F58=""),"",PID_KVLohnLookup($A$1,E58,F58,LOHNTABELLE!$H$4))</f>
        <v>2021</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02" t="s">
        <v>130</v>
      </c>
      <c r="B59" s="129">
        <v>503000</v>
      </c>
      <c r="C59" s="77" t="s">
        <v>302</v>
      </c>
      <c r="D59" s="81">
        <v>42401</v>
      </c>
      <c r="E59" s="79" t="s">
        <v>2</v>
      </c>
      <c r="F59" s="80">
        <v>173</v>
      </c>
      <c r="G59" s="321">
        <f>IF(OR(E59="",F59=""),"",PID_KVLohnLookup($A$1,E59,F59,LOHNTABELLE!$H$4))</f>
        <v>2021</v>
      </c>
      <c r="H59" s="322">
        <f>IF(AND(ISNUMBER(D59),ISNUMBER(F59)),ROUNDDOWN(MIN(IF(OR(ISBLANK(I59),I59=""),EOMONTH(DATE(EINSTELLUNG!$C$35,$A$1,1),0),I59)-MAX(D59,DATE(EINSTELLUNG!$C$35,$A$1,1))+1)/DAY(EOMONTH(DATE(EINSTELLUNG!$C$35,$A$1,1),0))*F59,2),"")</f>
        <v>173</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402" t="s">
        <v>131</v>
      </c>
      <c r="B60" s="128">
        <v>504000</v>
      </c>
      <c r="C60" s="69" t="s">
        <v>303</v>
      </c>
      <c r="D60" s="73">
        <v>46054</v>
      </c>
      <c r="E60" s="71" t="s">
        <v>3</v>
      </c>
      <c r="F60" s="72">
        <v>138.4</v>
      </c>
      <c r="G60" s="321">
        <f>IF(OR(E60="",F60=""),"",PID_KVLohnLookup($A$1,E60,F60,LOHNTABELLE!$H$4))</f>
        <v>1665.6</v>
      </c>
      <c r="H60" s="322">
        <f>IF(AND(ISNUMBER(D60),ISNUMBER(F60)),ROUNDDOWN(MIN(IF(OR(ISBLANK(I60),I60=""),EOMONTH(DATE(EINSTELLUNG!$C$35,$A$1,1),0),I60)-MAX(D60,DATE(EINSTELLUNG!$C$35,$A$1,1))+1)/DAY(EOMONTH(DATE(EINSTELLUNG!$C$35,$A$1,1),0))*F60,2),"")</f>
        <v>138.4</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402" t="s">
        <v>132</v>
      </c>
      <c r="B61" s="129">
        <v>505000</v>
      </c>
      <c r="C61" s="77" t="s">
        <v>304</v>
      </c>
      <c r="D61" s="81">
        <v>46054</v>
      </c>
      <c r="E61" s="79" t="s">
        <v>2</v>
      </c>
      <c r="F61" s="80">
        <v>138.4</v>
      </c>
      <c r="G61" s="321">
        <f>IF(OR(E61="",F61=""),"",PID_KVLohnLookup($A$1,E61,F61,LOHNTABELLE!$H$4))</f>
        <v>1616.8</v>
      </c>
      <c r="H61" s="322">
        <f>IF(AND(ISNUMBER(D61),ISNUMBER(F61)),ROUNDDOWN(MIN(IF(OR(ISBLANK(I61),I61=""),EOMONTH(DATE(EINSTELLUNG!$C$35,$A$1,1),0),I61)-MAX(D61,DATE(EINSTELLUNG!$C$35,$A$1,1))+1)/DAY(EOMONTH(DATE(EINSTELLUNG!$C$35,$A$1,1),0))*F61,2),"")</f>
        <v>138.4</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402" t="s">
        <v>133</v>
      </c>
      <c r="B62" s="128">
        <v>525025</v>
      </c>
      <c r="C62" s="69" t="s">
        <v>425</v>
      </c>
      <c r="D62" s="73">
        <v>46040</v>
      </c>
      <c r="E62" s="71" t="s">
        <v>2</v>
      </c>
      <c r="F62" s="72">
        <v>129.75</v>
      </c>
      <c r="G62" s="321">
        <f>IF(OR(E62="",F62=""),"",PID_KVLohnLookup($A$1,E62,F62,LOHNTABELLE!$H$4))</f>
        <v>1515.75</v>
      </c>
      <c r="H62" s="322">
        <f>IF(AND(ISNUMBER(D62),ISNUMBER(F62)),ROUNDDOWN(MIN(IF(OR(ISBLANK(I62),I62=""),EOMONTH(DATE(EINSTELLUNG!$C$35,$A$1,1),0),I62)-MAX(D62,DATE(EINSTELLUNG!$C$35,$A$1,1))+1)/DAY(EOMONTH(DATE(EINSTELLUNG!$C$35,$A$1,1),0))*F62,2),"")</f>
        <v>129.75</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402" t="s">
        <v>134</v>
      </c>
      <c r="B63" s="129">
        <v>600000</v>
      </c>
      <c r="C63" s="77" t="s">
        <v>306</v>
      </c>
      <c r="D63" s="81">
        <v>46054</v>
      </c>
      <c r="E63" s="79" t="s">
        <v>2</v>
      </c>
      <c r="F63" s="80">
        <v>151.38</v>
      </c>
      <c r="G63" s="321">
        <f>IF(OR(E63="",F63=""),"",PID_KVLohnLookup($A$1,E63,F63,LOHNTABELLE!$H$4))</f>
        <v>1768.38</v>
      </c>
      <c r="H63" s="322">
        <f>IF(AND(ISNUMBER(D63),ISNUMBER(F63)),ROUNDDOWN(MIN(IF(OR(ISBLANK(I63),I63=""),EOMONTH(DATE(EINSTELLUNG!$C$35,$A$1,1),0),I63)-MAX(D63,DATE(EINSTELLUNG!$C$35,$A$1,1))+1)/DAY(EOMONTH(DATE(EINSTELLUNG!$C$35,$A$1,1),0))*F63,2),"")</f>
        <v>10.81</v>
      </c>
      <c r="I63" s="81">
        <v>46055</v>
      </c>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402" t="s">
        <v>135</v>
      </c>
      <c r="B64" s="128">
        <v>700000</v>
      </c>
      <c r="C64" s="69" t="s">
        <v>312</v>
      </c>
      <c r="D64" s="73">
        <v>46054</v>
      </c>
      <c r="E64" s="71" t="s">
        <v>2</v>
      </c>
      <c r="F64" s="72">
        <v>173</v>
      </c>
      <c r="G64" s="321">
        <f>IF(OR(E64="",F64=""),"",PID_KVLohnLookup($A$1,E64,F64,LOHNTABELLE!$H$4))</f>
        <v>2021</v>
      </c>
      <c r="H64" s="322">
        <f>IF(AND(ISNUMBER(D64),ISNUMBER(F64)),ROUNDDOWN(MIN(IF(OR(ISBLANK(I64),I64=""),EOMONTH(DATE(EINSTELLUNG!$C$35,$A$1,1),0),I64)-MAX(D64,DATE(EINSTELLUNG!$C$35,$A$1,1))+1)/DAY(EOMONTH(DATE(EINSTELLUNG!$C$35,$A$1,1),0))*F64,2),"")</f>
        <v>173</v>
      </c>
      <c r="I64" s="73"/>
      <c r="J64" s="74"/>
      <c r="K64" s="321">
        <f t="shared" si="1"/>
        <v>0</v>
      </c>
      <c r="L64" s="32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420"/>
    </row>
    <row r="85" spans="1:15" ht="16" customHeight="1">
      <c r="O85" s="420"/>
    </row>
    <row r="86" spans="1:15" ht="16" customHeight="1">
      <c r="O86" s="420"/>
    </row>
    <row r="100" spans="26:26" ht="16" customHeight="1">
      <c r="Z100" s="303"/>
    </row>
  </sheetData>
  <sheetProtection algorithmName="SHA-512" hashValue="LOKSWvkwNPJW2dzW1DxeAipID24mKE8M5Ks1sxLV93EW7MTjPSZjDJL2oBzFfomiw55YoVcnEvV2F6gFHw0vSg==" saltValue="jddpeaKtQQ/hhTlcFF8y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F20</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F17 F24 F25 F28 F30</xm:sqref>
        </x14:dataValidation>
        <x14:dataValidation type="list" allowBlank="1" showInputMessage="1" showErrorMessage="1" xr:uid="{CF195D7F-F726-F444-9DE7-1E9CAF2C0091}">
          <x14:formula1>
            <xm:f>KV_DROPDOWN_HELPER!$CC$1:$CC$14</xm:f>
          </x14:formula1>
          <xm:sqref>F3 F16 F18 F19 F21 F22 F23 F26 F27 F29 F31 F32 F33 F34 F35 F36 F37 F38 F39 F40 F41 F42 F43 F44 F45 F46 F47 F48 F49 F50 F51 F52 F53 F54 F55 F56 F57 F58 F59 F61 F62 F63 F64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F14" sqref="F14"/>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1640625" style="223" bestFit="1" customWidth="1"/>
    <col min="29" max="16384" width="9.1640625" style="223"/>
  </cols>
  <sheetData>
    <row r="1" spans="1:28" ht="18" customHeight="1">
      <c r="A1" s="398">
        <v>3</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46082</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46112</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401047</v>
      </c>
      <c r="C4" s="69" t="s">
        <v>226</v>
      </c>
      <c r="D4" s="70">
        <v>41154</v>
      </c>
      <c r="E4" s="71" t="s">
        <v>4</v>
      </c>
      <c r="F4" s="93">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401049</v>
      </c>
      <c r="C5" s="77" t="s">
        <v>225</v>
      </c>
      <c r="D5" s="78">
        <v>41130</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911.59975577664341</v>
      </c>
      <c r="P5" s="327">
        <f>EINSTELLUNG!I8</f>
        <v>600</v>
      </c>
      <c r="Q5" s="327">
        <f>P5-O5</f>
        <v>-311.59975577664341</v>
      </c>
      <c r="R5" s="328">
        <f>IFERROR(Q5*Q42, 0)</f>
        <v>-3730.372331291599</v>
      </c>
      <c r="S5" s="319"/>
      <c r="T5" s="319"/>
      <c r="U5" s="319"/>
      <c r="V5" s="319"/>
    </row>
    <row r="6" spans="1:28" ht="22" customHeight="1">
      <c r="A6" s="402" t="s">
        <v>53</v>
      </c>
      <c r="B6" s="128">
        <v>401051</v>
      </c>
      <c r="C6" s="69" t="s">
        <v>227</v>
      </c>
      <c r="D6" s="70">
        <v>41176</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401089</v>
      </c>
      <c r="C7" s="77" t="s">
        <v>241</v>
      </c>
      <c r="D7" s="78">
        <v>44868</v>
      </c>
      <c r="E7" s="79" t="s">
        <v>3</v>
      </c>
      <c r="F7" s="80">
        <v>173</v>
      </c>
      <c r="G7" s="321">
        <f>IF(OR(E7="",F7=""),"",PID_KVLohnLookup($A$1,E7,F7,LOHNTABELLE!$H$4))</f>
        <v>2082</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9"/>
      <c r="P7" s="319"/>
      <c r="Q7" s="319"/>
      <c r="R7" s="319"/>
      <c r="S7" s="319"/>
      <c r="T7" s="319"/>
      <c r="U7" s="319"/>
      <c r="V7" s="319"/>
    </row>
    <row r="8" spans="1:28" ht="22" customHeight="1">
      <c r="A8" s="402" t="s">
        <v>55</v>
      </c>
      <c r="B8" s="12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2" t="s">
        <v>56</v>
      </c>
      <c r="P8" s="333"/>
      <c r="Q8" s="334">
        <f>SUM(H3:H82)</f>
        <v>9323.69</v>
      </c>
      <c r="R8" s="335"/>
      <c r="S8" s="319"/>
      <c r="T8" s="319"/>
      <c r="U8" s="319"/>
      <c r="V8" s="319"/>
    </row>
    <row r="9" spans="1:28" ht="22" customHeight="1">
      <c r="A9" s="402" t="s">
        <v>57</v>
      </c>
      <c r="B9" s="129">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EINSTELLUNG!L24</f>
        <v>3</v>
      </c>
      <c r="R9" s="339"/>
      <c r="S9" s="340">
        <f>IFERROR(Q9/Q8, 0)</f>
        <v>3.2176101951051565E-4</v>
      </c>
      <c r="T9" s="319"/>
      <c r="U9" s="319"/>
      <c r="V9" s="319"/>
    </row>
    <row r="10" spans="1:28" ht="22" customHeight="1">
      <c r="A10" s="402" t="s">
        <v>59</v>
      </c>
      <c r="B10" s="128">
        <v>401214</v>
      </c>
      <c r="C10" s="69" t="s">
        <v>255</v>
      </c>
      <c r="D10" s="70">
        <v>45636</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EINSTELLUNG!I24</f>
        <v>0</v>
      </c>
      <c r="R10" s="339"/>
      <c r="S10" s="319"/>
      <c r="T10" s="319"/>
      <c r="U10" s="319"/>
      <c r="V10" s="319"/>
    </row>
    <row r="11" spans="1:28" ht="22" customHeight="1">
      <c r="A11" s="402" t="s">
        <v>61</v>
      </c>
      <c r="B11" s="129">
        <v>401276</v>
      </c>
      <c r="C11" s="94" t="s">
        <v>230</v>
      </c>
      <c r="D11" s="81">
        <v>43252</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401276</v>
      </c>
      <c r="C12" s="69" t="s">
        <v>472</v>
      </c>
      <c r="D12" s="70">
        <v>38899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6" t="s">
        <v>64</v>
      </c>
      <c r="P12" s="337"/>
      <c r="Q12" s="177">
        <v>-445</v>
      </c>
      <c r="R12" s="178"/>
      <c r="S12" s="319"/>
      <c r="T12" s="319"/>
      <c r="U12" s="319"/>
      <c r="V12" s="319"/>
    </row>
    <row r="13" spans="1:28" ht="22" customHeight="1">
      <c r="A13" s="402" t="s">
        <v>65</v>
      </c>
      <c r="B13" s="129">
        <v>401307</v>
      </c>
      <c r="C13" s="77" t="s">
        <v>231</v>
      </c>
      <c r="D13" s="78">
        <v>43571</v>
      </c>
      <c r="E13" s="79" t="s">
        <v>2</v>
      </c>
      <c r="F13" s="80">
        <v>169</v>
      </c>
      <c r="G13" s="321">
        <f>IF(OR(E13="",F13=""),"",PID_KVLohnLookup($A$1,E13,F13,LOHNTABELLE!$H$4))</f>
        <v>2000</v>
      </c>
      <c r="H13" s="322">
        <f>IF(AND(ISNUMBER(D13),ISNUMBER(F13)),ROUNDDOWN(MIN(IF(OR(ISBLANK(I13),I13=""),EOMONTH(DATE(EINSTELLUNG!$C$35,$A$1,1),0),I13)-MAX(D13,DATE(EINSTELLUNG!$C$35,$A$1,1))+1)/DAY(EOMONTH(DATE(EINSTELLUNG!$C$35,$A$1,1),0))*F13,2),"")</f>
        <v>169</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2000</v>
      </c>
      <c r="M13" s="83"/>
      <c r="N13" s="99"/>
      <c r="O13" s="336" t="s">
        <v>66</v>
      </c>
      <c r="P13" s="337"/>
      <c r="Q13" s="338">
        <f>Q8-Q9-Q10-Q11-Q12</f>
        <v>9165.69</v>
      </c>
      <c r="R13" s="339"/>
      <c r="S13" s="319"/>
      <c r="T13" s="319"/>
      <c r="U13" s="319"/>
      <c r="V13" s="319"/>
    </row>
    <row r="14" spans="1:28" ht="22" customHeight="1">
      <c r="A14" s="402" t="s">
        <v>67</v>
      </c>
      <c r="B14" s="128">
        <v>401308</v>
      </c>
      <c r="C14" s="69" t="s">
        <v>232</v>
      </c>
      <c r="D14" s="73">
        <v>43579</v>
      </c>
      <c r="E14" s="71" t="s">
        <v>2</v>
      </c>
      <c r="F14" s="72">
        <v>173</v>
      </c>
      <c r="G14" s="321">
        <f>IF(OR(E14="",F14=""),"",PID_KVLohnLookup($A$1,E14,F14,LOHNTABELLE!$H$4))</f>
        <v>2021</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75"/>
      <c r="N14" s="98"/>
      <c r="O14" s="336" t="s">
        <v>68</v>
      </c>
      <c r="P14" s="337"/>
      <c r="Q14" s="338">
        <f>EINSTELLUNG!L8</f>
        <v>9300</v>
      </c>
      <c r="R14" s="339"/>
      <c r="S14" s="319"/>
      <c r="T14" s="319"/>
      <c r="U14" s="319"/>
      <c r="V14" s="319"/>
    </row>
    <row r="15" spans="1:28" ht="22" customHeight="1" thickBot="1">
      <c r="A15" s="402" t="s">
        <v>69</v>
      </c>
      <c r="B15" s="129">
        <v>401389</v>
      </c>
      <c r="C15" s="77" t="s">
        <v>234</v>
      </c>
      <c r="D15" s="78">
        <v>44384</v>
      </c>
      <c r="E15" s="79" t="s">
        <v>2</v>
      </c>
      <c r="F15" s="80">
        <v>173</v>
      </c>
      <c r="G15" s="321">
        <f>IF(OR(E15="",F15=""),"",PID_KVLohnLookup($A$1,E15,F15,LOHNTABELLE!$H$4))</f>
        <v>2021</v>
      </c>
      <c r="H15" s="322">
        <f>IF(AND(ISNUMBER(D15),ISNUMBER(F15)),ROUNDDOWN(MIN(IF(OR(ISBLANK(I15),I15=""),EOMONTH(DATE(EINSTELLUNG!$C$35,$A$1,1),0),I15)-MAX(D15,DATE(EINSTELLUNG!$C$35,$A$1,1))+1)/DAY(EOMONTH(DATE(EINSTELLUNG!$C$35,$A$1,1),0))*F15,2),"")</f>
        <v>173</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99"/>
      <c r="O15" s="341" t="s">
        <v>70</v>
      </c>
      <c r="P15" s="342"/>
      <c r="Q15" s="343">
        <f>Q13-Q14</f>
        <v>-134.30999999999949</v>
      </c>
      <c r="R15" s="344"/>
      <c r="S15" s="345"/>
      <c r="T15" s="345"/>
      <c r="U15" s="345"/>
      <c r="V15" s="319"/>
    </row>
    <row r="16" spans="1:28" ht="22" customHeight="1" thickBot="1">
      <c r="A16" s="402" t="s">
        <v>71</v>
      </c>
      <c r="B16" s="128">
        <v>401394</v>
      </c>
      <c r="C16" s="69" t="s">
        <v>233</v>
      </c>
      <c r="D16" s="70">
        <v>44379</v>
      </c>
      <c r="E16" s="71" t="s">
        <v>2</v>
      </c>
      <c r="F16" s="72">
        <v>173</v>
      </c>
      <c r="G16" s="321">
        <f>IF(OR(E16="",F16=""),"",PID_KVLohnLookup($A$1,E16,F16,LOHNTABELLE!$H$4))</f>
        <v>2021</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401406</v>
      </c>
      <c r="C17" s="77" t="s">
        <v>473</v>
      </c>
      <c r="D17" s="78">
        <v>36850</v>
      </c>
      <c r="E17" s="79" t="s">
        <v>10</v>
      </c>
      <c r="F17" s="80">
        <v>151.38</v>
      </c>
      <c r="G17" s="321">
        <f>IF(OR(E17="",F17=""),"",PID_KVLohnLookup($A$1,E17,F17,LOHNTABELLE!$H$4))</f>
        <v>2012.5</v>
      </c>
      <c r="H17" s="322">
        <f>IF(AND(ISNUMBER(D17),ISNUMBER(F17)),ROUNDDOWN(MIN(IF(OR(ISBLANK(I17),I17=""),EOMONTH(DATE(EINSTELLUNG!$C$35,$A$1,1),0),I17)-MAX(D17,DATE(EINSTELLUNG!$C$35,$A$1,1))+1)/DAY(EOMONTH(DATE(EINSTELLUNG!$C$35,$A$1,1),0))*F17,2),"")</f>
        <v>151.38</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11" t="s">
        <v>73</v>
      </c>
      <c r="P17" s="333"/>
      <c r="Q17" s="351">
        <f>SUM(L3:L82)</f>
        <v>111620.22612903228</v>
      </c>
      <c r="R17" s="352"/>
      <c r="S17" s="319"/>
      <c r="T17" s="319"/>
      <c r="U17" s="319"/>
      <c r="V17" s="319"/>
      <c r="W17" s="350"/>
    </row>
    <row r="18" spans="1:29" ht="22" customHeight="1">
      <c r="A18" s="402" t="s">
        <v>74</v>
      </c>
      <c r="B18" s="128">
        <v>401432</v>
      </c>
      <c r="C18" s="69" t="s">
        <v>235</v>
      </c>
      <c r="D18" s="73">
        <v>44441</v>
      </c>
      <c r="E18" s="71" t="s">
        <v>2</v>
      </c>
      <c r="F18" s="72">
        <v>169</v>
      </c>
      <c r="G18" s="321">
        <f>IF(OR(E18="",F18=""),"",PID_KVLohnLookup($A$1,E18,F18,LOHNTABELLE!$H$4))</f>
        <v>2000</v>
      </c>
      <c r="H18" s="322">
        <f>IF(AND(ISNUMBER(D18),ISNUMBER(F18)),ROUNDDOWN(MIN(IF(OR(ISBLANK(I18),I18=""),EOMONTH(DATE(EINSTELLUNG!$C$35,$A$1,1),0),I18)-MAX(D18,DATE(EINSTELLUNG!$C$35,$A$1,1))+1)/DAY(EOMONTH(DATE(EINSTELLUNG!$C$35,$A$1,1),0))*F18,2),"")</f>
        <v>169</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2000</v>
      </c>
      <c r="M18" s="75"/>
      <c r="N18" s="98"/>
      <c r="O18" s="412" t="s">
        <v>451</v>
      </c>
      <c r="P18" s="354"/>
      <c r="Q18" s="355">
        <v>20</v>
      </c>
      <c r="R18" s="356"/>
      <c r="S18" s="319"/>
      <c r="T18" s="319"/>
      <c r="U18" s="319"/>
      <c r="V18" s="319"/>
    </row>
    <row r="19" spans="1:29" ht="22" customHeight="1">
      <c r="A19" s="402" t="s">
        <v>75</v>
      </c>
      <c r="B19" s="129">
        <v>401476</v>
      </c>
      <c r="C19" s="77" t="s">
        <v>237</v>
      </c>
      <c r="D19" s="78">
        <v>44504</v>
      </c>
      <c r="E19" s="79" t="s">
        <v>2</v>
      </c>
      <c r="F19" s="80">
        <v>173</v>
      </c>
      <c r="G19" s="321">
        <f>IF(OR(E19="",F19=""),"",PID_KVLohnLookup($A$1,E19,F19,LOHNTABELLE!$H$4))</f>
        <v>2021</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12" t="s">
        <v>296</v>
      </c>
      <c r="P19" s="354"/>
      <c r="Q19" s="355">
        <v>333</v>
      </c>
      <c r="R19" s="356"/>
      <c r="S19" s="319"/>
      <c r="T19" s="319"/>
      <c r="U19" s="319"/>
      <c r="V19" s="319"/>
    </row>
    <row r="20" spans="1:29" ht="22" customHeight="1">
      <c r="A20" s="402" t="s">
        <v>76</v>
      </c>
      <c r="B20" s="128">
        <v>401479</v>
      </c>
      <c r="C20" s="69" t="s">
        <v>238</v>
      </c>
      <c r="D20" s="70">
        <v>44511</v>
      </c>
      <c r="E20" s="71" t="s">
        <v>6</v>
      </c>
      <c r="F20" s="72">
        <v>173</v>
      </c>
      <c r="G20" s="321">
        <f>IF(OR(E20="",F20=""),"",PID_KVLohnLookup($A$1,E20,F20,LOHNTABELLE!$H$4))</f>
        <v>2160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412" t="s">
        <v>296</v>
      </c>
      <c r="P20" s="354"/>
      <c r="Q20" s="355">
        <v>35</v>
      </c>
      <c r="R20" s="356"/>
      <c r="S20" s="319"/>
      <c r="T20" s="319"/>
      <c r="U20" s="319"/>
      <c r="V20" s="319"/>
    </row>
    <row r="21" spans="1:29" ht="22" customHeight="1">
      <c r="A21" s="402" t="s">
        <v>77</v>
      </c>
      <c r="B21" s="129">
        <v>401481</v>
      </c>
      <c r="C21" s="77" t="s">
        <v>239</v>
      </c>
      <c r="D21" s="78">
        <v>44531</v>
      </c>
      <c r="E21" s="79" t="s">
        <v>2</v>
      </c>
      <c r="F21" s="80">
        <v>173</v>
      </c>
      <c r="G21" s="321">
        <f>IF(OR(E21="",F21=""),"",PID_KVLohnLookup($A$1,E21,F21,LOHNTABELLE!$H$4))</f>
        <v>2021</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412" t="s">
        <v>296</v>
      </c>
      <c r="P21" s="354"/>
      <c r="Q21" s="355">
        <v>100</v>
      </c>
      <c r="R21" s="356"/>
      <c r="S21" s="319"/>
      <c r="T21" s="319"/>
      <c r="U21" s="319"/>
      <c r="V21" s="319"/>
    </row>
    <row r="22" spans="1:29" ht="22" customHeight="1">
      <c r="A22" s="402" t="s">
        <v>78</v>
      </c>
      <c r="B22" s="128">
        <v>401558</v>
      </c>
      <c r="C22" s="69" t="s">
        <v>236</v>
      </c>
      <c r="D22" s="70">
        <v>44460</v>
      </c>
      <c r="E22" s="71" t="s">
        <v>2</v>
      </c>
      <c r="F22" s="72">
        <v>173</v>
      </c>
      <c r="G22" s="321">
        <f>IF(OR(E22="",F22=""),"",PID_KVLohnLookup($A$1,E22,F22,LOHNTABELLE!$H$4))</f>
        <v>2021</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12" t="s">
        <v>296</v>
      </c>
      <c r="P22" s="354"/>
      <c r="Q22" s="355"/>
      <c r="R22" s="356"/>
      <c r="S22" s="319"/>
      <c r="T22" s="319"/>
      <c r="U22" s="319"/>
      <c r="V22" s="319"/>
    </row>
    <row r="23" spans="1:29" ht="22" customHeight="1">
      <c r="A23" s="402" t="s">
        <v>79</v>
      </c>
      <c r="B23" s="129">
        <v>401564</v>
      </c>
      <c r="C23" s="77" t="s">
        <v>240</v>
      </c>
      <c r="D23" s="78">
        <v>44824</v>
      </c>
      <c r="E23" s="79" t="s">
        <v>2</v>
      </c>
      <c r="F23" s="80">
        <v>173</v>
      </c>
      <c r="G23" s="321">
        <f>IF(OR(E23="",F23=""),"",PID_KVLohnLookup($A$1,E23,F23,LOHNTABELLE!$H$4))</f>
        <v>2021</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12" t="s">
        <v>296</v>
      </c>
      <c r="P23" s="354"/>
      <c r="Q23" s="355">
        <v>5000</v>
      </c>
      <c r="R23" s="356"/>
      <c r="S23" s="319"/>
      <c r="T23" s="319"/>
      <c r="U23" s="319"/>
      <c r="V23" s="319"/>
      <c r="W23" s="350"/>
    </row>
    <row r="24" spans="1:29" ht="22" customHeight="1">
      <c r="A24" s="402" t="s">
        <v>80</v>
      </c>
      <c r="B24" s="128">
        <v>401583</v>
      </c>
      <c r="C24" s="69" t="s">
        <v>242</v>
      </c>
      <c r="D24" s="70">
        <v>44900</v>
      </c>
      <c r="E24" s="71" t="s">
        <v>10</v>
      </c>
      <c r="F24" s="72">
        <v>173</v>
      </c>
      <c r="G24" s="321">
        <f>IF(OR(E24="",F24=""),"",PID_KVLohnLookup($A$1,E24,F24,LOHNTABELLE!$H$4))</f>
        <v>2300</v>
      </c>
      <c r="H24" s="322">
        <f>IF(AND(ISNUMBER(D24),ISNUMBER(F24)),ROUNDDOWN(MIN(IF(OR(ISBLANK(I24),I24=""),EOMONTH(DATE(EINSTELLUNG!$C$35,$A$1,1),0),I24)-MAX(D24,DATE(EINSTELLUNG!$C$35,$A$1,1))+1)/DAY(EOMONTH(DATE(EINSTELLUNG!$C$35,$A$1,1),0))*F24,2),"")</f>
        <v>173</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12"/>
      <c r="P24" s="354"/>
      <c r="Q24" s="355"/>
      <c r="R24" s="356"/>
      <c r="S24" s="319"/>
      <c r="T24" s="319"/>
      <c r="U24" s="319"/>
      <c r="V24" s="319"/>
      <c r="W24" s="350"/>
    </row>
    <row r="25" spans="1:29" ht="22" customHeight="1">
      <c r="A25" s="402" t="s">
        <v>81</v>
      </c>
      <c r="B25" s="129">
        <v>401589</v>
      </c>
      <c r="C25" s="77" t="s">
        <v>243</v>
      </c>
      <c r="D25" s="78">
        <v>44926</v>
      </c>
      <c r="E25" s="79" t="s">
        <v>10</v>
      </c>
      <c r="F25" s="80">
        <v>173</v>
      </c>
      <c r="G25" s="321">
        <f>IF(OR(E25="",F25=""),"",PID_KVLohnLookup($A$1,E25,F25,LOHNTABELLE!$H$4))</f>
        <v>2300</v>
      </c>
      <c r="H25" s="322">
        <f>IF(AND(ISNUMBER(D25),ISNUMBER(F25)),ROUNDDOWN(MIN(IF(OR(ISBLANK(I25),I25=""),EOMONTH(DATE(EINSTELLUNG!$C$35,$A$1,1),0),I25)-MAX(D25,DATE(EINSTELLUNG!$C$35,$A$1,1))+1)/DAY(EOMONTH(DATE(EINSTELLUNG!$C$35,$A$1,1),0))*F25,2),"")</f>
        <v>173</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412"/>
      <c r="P25" s="354"/>
      <c r="Q25" s="355"/>
      <c r="R25" s="356"/>
      <c r="S25" s="319"/>
      <c r="T25" s="319"/>
      <c r="U25" s="319"/>
      <c r="V25" s="319"/>
    </row>
    <row r="26" spans="1:29" ht="22" customHeight="1">
      <c r="A26" s="402" t="s">
        <v>82</v>
      </c>
      <c r="B26" s="128">
        <v>401602</v>
      </c>
      <c r="C26" s="69" t="s">
        <v>244</v>
      </c>
      <c r="D26" s="70">
        <v>45975</v>
      </c>
      <c r="E26" s="71" t="s">
        <v>2</v>
      </c>
      <c r="F26" s="72">
        <v>173</v>
      </c>
      <c r="G26" s="321">
        <f>IF(OR(E26="",F26=""),"",PID_KVLohnLookup($A$1,E26,F26,LOHNTABELLE!$H$4))</f>
        <v>2021</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412"/>
      <c r="P26" s="354"/>
      <c r="Q26" s="355"/>
      <c r="R26" s="356"/>
      <c r="S26" s="319"/>
      <c r="T26" s="319"/>
      <c r="U26" s="319"/>
      <c r="V26" s="319"/>
    </row>
    <row r="27" spans="1:29" ht="22" customHeight="1">
      <c r="A27" s="402" t="s">
        <v>83</v>
      </c>
      <c r="B27" s="129">
        <v>401605</v>
      </c>
      <c r="C27" s="77" t="s">
        <v>245</v>
      </c>
      <c r="D27" s="81">
        <v>44986</v>
      </c>
      <c r="E27" s="79" t="s">
        <v>2</v>
      </c>
      <c r="F27" s="80">
        <v>173</v>
      </c>
      <c r="G27" s="321">
        <f>IF(OR(E27="",F27=""),"",PID_KVLohnLookup($A$1,E27,F27,LOHNTABELLE!$H$4))</f>
        <v>2021</v>
      </c>
      <c r="H27" s="322">
        <f>IF(AND(ISNUMBER(D27),ISNUMBER(F27)),ROUNDDOWN(MIN(IF(OR(ISBLANK(I27),I27=""),EOMONTH(DATE(EINSTELLUNG!$C$35,$A$1,1),0),I27)-MAX(D27,DATE(EINSTELLUNG!$C$35,$A$1,1))+1)/DAY(EOMONTH(DATE(EINSTELLUNG!$C$35,$A$1,1),0))*F27,2),"")</f>
        <v>173</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412"/>
      <c r="P27" s="354"/>
      <c r="Q27" s="355"/>
      <c r="R27" s="356"/>
      <c r="S27" s="357" t="s">
        <v>84</v>
      </c>
      <c r="T27" s="357"/>
      <c r="U27" s="357"/>
      <c r="V27" s="357"/>
    </row>
    <row r="28" spans="1:29" ht="22" customHeight="1">
      <c r="A28" s="402" t="s">
        <v>85</v>
      </c>
      <c r="B28" s="128">
        <v>401605</v>
      </c>
      <c r="C28" s="69" t="s">
        <v>473</v>
      </c>
      <c r="D28" s="73">
        <v>36850</v>
      </c>
      <c r="E28" s="71" t="s">
        <v>10</v>
      </c>
      <c r="F28" s="72">
        <v>151.38</v>
      </c>
      <c r="G28" s="321">
        <f>IF(OR(E28="",F28=""),"",PID_KVLohnLookup($A$1,E28,F28,LOHNTABELLE!$H$4))</f>
        <v>2012.5</v>
      </c>
      <c r="H28" s="322">
        <f>IF(AND(ISNUMBER(D28),ISNUMBER(F28)),ROUNDDOWN(MIN(IF(OR(ISBLANK(I28),I28=""),EOMONTH(DATE(EINSTELLUNG!$C$35,$A$1,1),0),I28)-MAX(D28,DATE(EINSTELLUNG!$C$35,$A$1,1))+1)/DAY(EOMONTH(DATE(EINSTELLUNG!$C$35,$A$1,1),0))*F28,2),"")</f>
        <v>151.38</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12"/>
      <c r="P28" s="354"/>
      <c r="Q28" s="355"/>
      <c r="R28" s="356"/>
      <c r="S28" s="319"/>
      <c r="T28" s="319"/>
      <c r="U28" s="319"/>
      <c r="V28" s="319"/>
    </row>
    <row r="29" spans="1:29" ht="22" customHeight="1" thickBot="1">
      <c r="A29" s="402" t="s">
        <v>86</v>
      </c>
      <c r="B29" s="129">
        <v>401626</v>
      </c>
      <c r="C29" s="77" t="s">
        <v>246</v>
      </c>
      <c r="D29" s="78">
        <v>45063</v>
      </c>
      <c r="E29" s="79" t="s">
        <v>2</v>
      </c>
      <c r="F29" s="80">
        <v>173</v>
      </c>
      <c r="G29" s="321">
        <f>IF(OR(E29="",F29=""),"",PID_KVLohnLookup($A$1,E29,F29,LOHNTABELLE!$H$4))</f>
        <v>2021</v>
      </c>
      <c r="H29" s="322">
        <f>IF(AND(ISNUMBER(D29),ISNUMBER(F29)),ROUNDDOWN(MIN(IF(OR(ISBLANK(I29),I29=""),EOMONTH(DATE(EINSTELLUNG!$C$35,$A$1,1),0),I29)-MAX(D29,DATE(EINSTELLUNG!$C$35,$A$1,1))+1)/DAY(EOMONTH(DATE(EINSTELLUNG!$C$35,$A$1,1),0))*F29,2),"")</f>
        <v>173</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413" t="s">
        <v>87</v>
      </c>
      <c r="P29" s="342"/>
      <c r="Q29" s="358">
        <f>EINSTELLUNG!O8</f>
        <v>1250</v>
      </c>
      <c r="R29" s="359"/>
      <c r="S29" s="319"/>
      <c r="T29" s="319"/>
      <c r="U29" s="319"/>
      <c r="V29" s="319"/>
    </row>
    <row r="30" spans="1:29" ht="22" customHeight="1" thickBot="1">
      <c r="A30" s="402" t="s">
        <v>88</v>
      </c>
      <c r="B30" s="128">
        <v>401633</v>
      </c>
      <c r="C30" s="69" t="s">
        <v>247</v>
      </c>
      <c r="D30" s="73">
        <v>45089</v>
      </c>
      <c r="E30" s="71" t="s">
        <v>10</v>
      </c>
      <c r="F30" s="72">
        <v>173</v>
      </c>
      <c r="G30" s="321">
        <f>IF(OR(E30="",F30=""),"",PID_KVLohnLookup($A$1,E30,F30,LOHNTABELLE!$H$4))</f>
        <v>2300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401647</v>
      </c>
      <c r="C31" s="77" t="s">
        <v>248</v>
      </c>
      <c r="D31" s="78">
        <v>45182</v>
      </c>
      <c r="E31" s="79" t="s">
        <v>2</v>
      </c>
      <c r="F31" s="80">
        <v>173</v>
      </c>
      <c r="G31" s="321">
        <f>IF(OR(E31="",F31=""),"",PID_KVLohnLookup($A$1,E31,F31,LOHNTABELLE!$H$4))</f>
        <v>2021</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14">
        <v>0</v>
      </c>
      <c r="P31" s="362"/>
      <c r="Q31" s="363">
        <v>0</v>
      </c>
      <c r="R31" s="364"/>
      <c r="S31" s="319"/>
      <c r="T31" s="319"/>
      <c r="U31" s="319"/>
      <c r="V31" s="319"/>
    </row>
    <row r="32" spans="1:29" ht="22" customHeight="1" thickBot="1">
      <c r="A32" s="402" t="s">
        <v>91</v>
      </c>
      <c r="B32" s="128">
        <v>401661</v>
      </c>
      <c r="C32" s="69" t="s">
        <v>249</v>
      </c>
      <c r="D32" s="70">
        <v>45261</v>
      </c>
      <c r="E32" s="71" t="s">
        <v>2</v>
      </c>
      <c r="F32" s="72">
        <v>173</v>
      </c>
      <c r="G32" s="321">
        <f>IF(OR(E32="",F32=""),"",PID_KVLohnLookup($A$1,E32,F32,LOHNTABELLE!$H$4))</f>
        <v>2021</v>
      </c>
      <c r="H32" s="322">
        <f>IF(AND(ISNUMBER(D32),ISNUMBER(F32)),ROUNDDOWN(MIN(IF(OR(ISBLANK(I32),I32=""),EOMONTH(DATE(EINSTELLUNG!$C$35,$A$1,1),0),I32)-MAX(D32,DATE(EINSTELLUNG!$C$35,$A$1,1))+1)/DAY(EOMONTH(DATE(EINSTELLUNG!$C$35,$A$1,1),0))*F32,2),"")</f>
        <v>173</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19"/>
      <c r="P32" s="319"/>
      <c r="Q32" s="319"/>
      <c r="R32" s="319"/>
      <c r="S32" s="319"/>
      <c r="T32" s="319"/>
      <c r="U32" s="319"/>
      <c r="V32" s="319"/>
    </row>
    <row r="33" spans="1:22" ht="22" customHeight="1">
      <c r="A33" s="402" t="s">
        <v>92</v>
      </c>
      <c r="B33" s="129">
        <v>401670</v>
      </c>
      <c r="C33" s="77" t="s">
        <v>250</v>
      </c>
      <c r="D33" s="81">
        <v>45358</v>
      </c>
      <c r="E33" s="79" t="s">
        <v>2</v>
      </c>
      <c r="F33" s="80">
        <v>173</v>
      </c>
      <c r="G33" s="321">
        <f>IF(OR(E33="",F33=""),"",PID_KVLohnLookup($A$1,E33,F33,LOHNTABELLE!$H$4))</f>
        <v>2021</v>
      </c>
      <c r="H33" s="322">
        <f>IF(AND(ISNUMBER(D33),ISNUMBER(F33)),ROUNDDOWN(MIN(IF(OR(ISBLANK(I33),I33=""),EOMONTH(DATE(EINSTELLUNG!$C$35,$A$1,1),0),I33)-MAX(D33,DATE(EINSTELLUNG!$C$35,$A$1,1))+1)/DAY(EOMONTH(DATE(EINSTELLUNG!$C$35,$A$1,1),0))*F33,2),"")</f>
        <v>173</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401678</v>
      </c>
      <c r="C34" s="69" t="s">
        <v>251</v>
      </c>
      <c r="D34" s="70">
        <v>45414</v>
      </c>
      <c r="E34" s="71" t="s">
        <v>2</v>
      </c>
      <c r="F34" s="72">
        <v>173</v>
      </c>
      <c r="G34" s="321">
        <f>IF(OR(E34="",F34=""),"",PID_KVLohnLookup($A$1,E34,F34,LOHNTABELLE!$H$4))</f>
        <v>2021</v>
      </c>
      <c r="H34" s="322">
        <f>IF(AND(ISNUMBER(D34),ISNUMBER(F34)),ROUNDDOWN(MIN(IF(OR(ISBLANK(I34),I34=""),EOMONTH(DATE(EINSTELLUNG!$C$35,$A$1,1),0),I34)-MAX(D34,DATE(EINSTELLUNG!$C$35,$A$1,1))+1)/DAY(EOMONTH(DATE(EINSTELLUNG!$C$35,$A$1,1),0))*F34,2),"")</f>
        <v>173</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16"/>
      <c r="P34" s="368"/>
      <c r="Q34" s="369"/>
      <c r="R34" s="369"/>
      <c r="S34" s="369"/>
      <c r="T34" s="369"/>
      <c r="U34" s="369"/>
      <c r="V34" s="370"/>
    </row>
    <row r="35" spans="1:22" ht="22" customHeight="1">
      <c r="A35" s="402" t="s">
        <v>97</v>
      </c>
      <c r="B35" s="129">
        <v>401690</v>
      </c>
      <c r="C35" s="77" t="s">
        <v>253</v>
      </c>
      <c r="D35" s="78">
        <v>45536</v>
      </c>
      <c r="E35" s="79" t="s">
        <v>2</v>
      </c>
      <c r="F35" s="80">
        <v>173</v>
      </c>
      <c r="G35" s="321">
        <f>IF(OR(E35="",F35=""),"",PID_KVLohnLookup($A$1,E35,F35,LOHNTABELLE!$H$4))</f>
        <v>2021</v>
      </c>
      <c r="H35" s="322">
        <f>IF(AND(ISNUMBER(D35),ISNUMBER(F35)),ROUNDDOWN(MIN(IF(OR(ISBLANK(I35),I35=""),EOMONTH(DATE(EINSTELLUNG!$C$35,$A$1,1),0),I35)-MAX(D35,DATE(EINSTELLUNG!$C$35,$A$1,1))+1)/DAY(EOMONTH(DATE(EINSTELLUNG!$C$35,$A$1,1),0))*F35,2),"")</f>
        <v>173</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417" t="s">
        <v>98</v>
      </c>
      <c r="P35" s="337"/>
      <c r="Q35" s="371">
        <f>EINSTELLUNG!C8</f>
        <v>400000</v>
      </c>
      <c r="R35" s="371"/>
      <c r="S35" s="371">
        <f>EINSTELLUNG!C24</f>
        <v>430000</v>
      </c>
      <c r="T35" s="371"/>
      <c r="U35" s="371">
        <f>S35-Q35</f>
        <v>30000</v>
      </c>
      <c r="V35" s="372"/>
    </row>
    <row r="36" spans="1:22" ht="22" customHeight="1">
      <c r="A36" s="402" t="s">
        <v>99</v>
      </c>
      <c r="B36" s="128">
        <v>401703</v>
      </c>
      <c r="C36" s="69" t="s">
        <v>254</v>
      </c>
      <c r="D36" s="70">
        <v>45616</v>
      </c>
      <c r="E36" s="71" t="s">
        <v>2</v>
      </c>
      <c r="F36" s="72">
        <v>173</v>
      </c>
      <c r="G36" s="321">
        <f>IF(OR(E36="",F36=""),"",PID_KVLohnLookup($A$1,E36,F36,LOHNTABELLE!$H$4))</f>
        <v>2021</v>
      </c>
      <c r="H36" s="322">
        <f>IF(AND(ISNUMBER(D36),ISNUMBER(F36)),ROUNDDOWN(MIN(IF(OR(ISBLANK(I36),I36=""),EOMONTH(DATE(EINSTELLUNG!$C$35,$A$1,1),0),I36)-MAX(D36,DATE(EINSTELLUNG!$C$35,$A$1,1))+1)/DAY(EOMONTH(DATE(EINSTELLUNG!$C$35,$A$1,1),0))*F36,2),"")</f>
        <v>173</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417" t="s">
        <v>100</v>
      </c>
      <c r="P36" s="337"/>
      <c r="Q36" s="371">
        <f>EINSTELLUNG!D8</f>
        <v>100000</v>
      </c>
      <c r="R36" s="371"/>
      <c r="S36" s="371">
        <f ca="1">SumMergedCells(Q17:R29)</f>
        <v>118358.2261</v>
      </c>
      <c r="T36" s="371"/>
      <c r="U36" s="371">
        <f t="shared" ref="U36:U41" ca="1" si="2">S36-Q36</f>
        <v>18358.2261</v>
      </c>
      <c r="V36" s="372"/>
    </row>
    <row r="37" spans="1:22" ht="22" customHeight="1">
      <c r="A37" s="402" t="s">
        <v>101</v>
      </c>
      <c r="B37" s="129">
        <v>401715</v>
      </c>
      <c r="C37" s="77" t="s">
        <v>256</v>
      </c>
      <c r="D37" s="78">
        <v>45755</v>
      </c>
      <c r="E37" s="79" t="s">
        <v>2</v>
      </c>
      <c r="F37" s="80">
        <v>173</v>
      </c>
      <c r="G37" s="321">
        <f>IF(OR(E37="",F37=""),"",PID_KVLohnLookup($A$1,E37,F37,LOHNTABELLE!$H$4))</f>
        <v>2021</v>
      </c>
      <c r="H37" s="322">
        <f>IF(AND(ISNUMBER(D37),ISNUMBER(F37)),ROUNDDOWN(MIN(IF(OR(ISBLANK(I37),I37=""),EOMONTH(DATE(EINSTELLUNG!$C$35,$A$1,1),0),I37)-MAX(D37,DATE(EINSTELLUNG!$C$35,$A$1,1))+1)/DAY(EOMONTH(DATE(EINSTELLUNG!$C$35,$A$1,1),0))*F37,2),"")</f>
        <v>173</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417" t="s">
        <v>102</v>
      </c>
      <c r="P37" s="337"/>
      <c r="Q37" s="373">
        <f>IF(ISERROR(Q36/Q35), 0, Q36/Q35)</f>
        <v>0.25</v>
      </c>
      <c r="R37" s="373"/>
      <c r="S37" s="373">
        <f ca="1">IF(ISERROR(S36/S35), 0, S36/S35)</f>
        <v>0.27525168860465116</v>
      </c>
      <c r="T37" s="373"/>
      <c r="U37" s="373">
        <f t="shared" ca="1" si="2"/>
        <v>2.5251688604651157E-2</v>
      </c>
      <c r="V37" s="374"/>
    </row>
    <row r="38" spans="1:22" ht="22" customHeight="1">
      <c r="A38" s="402" t="s">
        <v>103</v>
      </c>
      <c r="B38" s="128">
        <v>401716</v>
      </c>
      <c r="C38" s="69" t="s">
        <v>257</v>
      </c>
      <c r="D38" s="70">
        <v>45800</v>
      </c>
      <c r="E38" s="71" t="s">
        <v>2</v>
      </c>
      <c r="F38" s="72">
        <v>173</v>
      </c>
      <c r="G38" s="321">
        <f>IF(OR(E38="",F38=""),"",PID_KVLohnLookup($A$1,E38,F38,LOHNTABELLE!$H$4))</f>
        <v>2021</v>
      </c>
      <c r="H38" s="322">
        <f>IF(AND(ISNUMBER(D38),ISNUMBER(F38)),ROUNDDOWN(MIN(IF(OR(ISBLANK(I38),I38=""),EOMONTH(DATE(EINSTELLUNG!$C$35,$A$1,1),0),I38)-MAX(D38,DATE(EINSTELLUNG!$C$35,$A$1,1))+1)/DAY(EOMONTH(DATE(EINSTELLUNG!$C$35,$A$1,1),0))*F38,2),"")</f>
        <v>173</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417" t="s">
        <v>104</v>
      </c>
      <c r="P38" s="337"/>
      <c r="Q38" s="338">
        <f>EINSTELLUNG!F8</f>
        <v>30000</v>
      </c>
      <c r="R38" s="338"/>
      <c r="S38" s="338">
        <f>EINSTELLUNG!F24</f>
        <v>29000</v>
      </c>
      <c r="T38" s="338"/>
      <c r="U38" s="338">
        <f t="shared" si="2"/>
        <v>-1000</v>
      </c>
      <c r="V38" s="339"/>
    </row>
    <row r="39" spans="1:22" ht="22" customHeight="1">
      <c r="A39" s="402" t="s">
        <v>105</v>
      </c>
      <c r="B39" s="129">
        <v>401717</v>
      </c>
      <c r="C39" s="77" t="s">
        <v>258</v>
      </c>
      <c r="D39" s="78">
        <v>45814</v>
      </c>
      <c r="E39" s="79" t="s">
        <v>2</v>
      </c>
      <c r="F39" s="80">
        <v>173</v>
      </c>
      <c r="G39" s="321">
        <f>IF(OR(E39="",F39=""),"",PID_KVLohnLookup($A$1,E39,F39,LOHNTABELLE!$H$4))</f>
        <v>2021</v>
      </c>
      <c r="H39" s="322">
        <f>IF(AND(ISNUMBER(D39),ISNUMBER(F39)),ROUNDDOWN(MIN(IF(OR(ISBLANK(I39),I39=""),EOMONTH(DATE(EINSTELLUNG!$C$35,$A$1,1),0),I39)-MAX(D39,DATE(EINSTELLUNG!$C$35,$A$1,1))+1)/DAY(EOMONTH(DATE(EINSTELLUNG!$C$35,$A$1,1),0))*F39,2),"")</f>
        <v>173</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417" t="s">
        <v>106</v>
      </c>
      <c r="P39" s="337"/>
      <c r="Q39" s="371">
        <f>IF(Q38=0, 0, Q35/Q38)</f>
        <v>13.333333333333334</v>
      </c>
      <c r="R39" s="371"/>
      <c r="S39" s="371">
        <f>IF(S38=0, 0, S35/S38)</f>
        <v>14.827586206896552</v>
      </c>
      <c r="T39" s="371"/>
      <c r="U39" s="371">
        <f t="shared" si="2"/>
        <v>1.4942528735632177</v>
      </c>
      <c r="V39" s="372"/>
    </row>
    <row r="40" spans="1:22" ht="22" customHeight="1">
      <c r="A40" s="402" t="s">
        <v>107</v>
      </c>
      <c r="B40" s="128">
        <v>401722</v>
      </c>
      <c r="C40" s="69" t="s">
        <v>259</v>
      </c>
      <c r="D40" s="70">
        <v>45848</v>
      </c>
      <c r="E40" s="71" t="s">
        <v>2</v>
      </c>
      <c r="F40" s="72">
        <v>86.5</v>
      </c>
      <c r="G40" s="321">
        <f>IF(OR(E40="",F40=""),"",PID_KVLohnLookup($A$1,E40,F40,LOHNTABELLE!$H$4))</f>
        <v>1010.5</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17" t="s">
        <v>108</v>
      </c>
      <c r="P40" s="337"/>
      <c r="Q40" s="371">
        <f>IF(Q13=0, 0, Q35/Q13)</f>
        <v>43.641013387971881</v>
      </c>
      <c r="R40" s="371"/>
      <c r="S40" s="371">
        <f>IF(Q13=0, 0, S35/Q13)</f>
        <v>46.914089392069769</v>
      </c>
      <c r="T40" s="371"/>
      <c r="U40" s="371">
        <f t="shared" si="2"/>
        <v>3.2730760040978879</v>
      </c>
      <c r="V40" s="372"/>
    </row>
    <row r="41" spans="1:22" ht="22" customHeight="1">
      <c r="A41" s="402" t="s">
        <v>109</v>
      </c>
      <c r="B41" s="129">
        <v>401723</v>
      </c>
      <c r="C41" s="77" t="s">
        <v>260</v>
      </c>
      <c r="D41" s="78">
        <v>45852</v>
      </c>
      <c r="E41" s="79" t="s">
        <v>2</v>
      </c>
      <c r="F41" s="80">
        <v>86.5</v>
      </c>
      <c r="G41" s="321">
        <f>IF(OR(E41="",F41=""),"",PID_KVLohnLookup($A$1,E41,F41,LOHNTABELLE!$H$4))</f>
        <v>1010.5</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17" t="s">
        <v>110</v>
      </c>
      <c r="P41" s="337"/>
      <c r="Q41" s="338">
        <f>IF(Q13=0, 0, Q38/Q13)</f>
        <v>3.273076004097891</v>
      </c>
      <c r="R41" s="338"/>
      <c r="S41" s="338">
        <f>IF(Q13=0, 0, S38/Q13)</f>
        <v>3.1639734706279614</v>
      </c>
      <c r="T41" s="338"/>
      <c r="U41" s="338">
        <f t="shared" si="2"/>
        <v>-0.1091025334699296</v>
      </c>
      <c r="V41" s="339"/>
    </row>
    <row r="42" spans="1:22" ht="22" customHeight="1">
      <c r="A42" s="402" t="s">
        <v>111</v>
      </c>
      <c r="B42" s="128">
        <v>401726</v>
      </c>
      <c r="C42" s="69" t="s">
        <v>261</v>
      </c>
      <c r="D42" s="70">
        <v>45870</v>
      </c>
      <c r="E42" s="71" t="s">
        <v>2</v>
      </c>
      <c r="F42" s="72">
        <v>86.5</v>
      </c>
      <c r="G42" s="321">
        <f>IF(OR(E42="",F42=""),"",PID_KVLohnLookup($A$1,E42,F42,LOHNTABELLE!$H$4))</f>
        <v>1010.5</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18" t="s">
        <v>112</v>
      </c>
      <c r="P42" s="376"/>
      <c r="Q42" s="377">
        <f>IFERROR(Q17/Q8, 0)</f>
        <v>11.971679252423909</v>
      </c>
      <c r="R42" s="377"/>
      <c r="S42" s="377"/>
      <c r="T42" s="377"/>
      <c r="U42" s="377"/>
      <c r="V42" s="378"/>
    </row>
    <row r="43" spans="1:22" ht="22" customHeight="1">
      <c r="A43" s="402" t="s">
        <v>113</v>
      </c>
      <c r="B43" s="129">
        <v>401730</v>
      </c>
      <c r="C43" s="77" t="s">
        <v>263</v>
      </c>
      <c r="D43" s="78">
        <v>45895</v>
      </c>
      <c r="E43" s="79" t="s">
        <v>2</v>
      </c>
      <c r="F43" s="80">
        <v>151.38</v>
      </c>
      <c r="G43" s="321">
        <f>IF(OR(E43="",F43=""),"",PID_KVLohnLookup($A$1,E43,F43,LOHNTABELLE!$H$4))</f>
        <v>1768.38</v>
      </c>
      <c r="H43" s="322">
        <f>IF(AND(ISNUMBER(D43),ISNUMBER(F43)),ROUNDDOWN(MIN(IF(OR(ISBLANK(I43),I43=""),EOMONTH(DATE(EINSTELLUNG!$C$35,$A$1,1),0),I43)-MAX(D43,DATE(EINSTELLUNG!$C$35,$A$1,1))+1)/DAY(EOMONTH(DATE(EINSTELLUNG!$C$35,$A$1,1),0))*F43,2),"")</f>
        <v>151.38</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379"/>
      <c r="P43" s="379"/>
      <c r="Q43" s="379"/>
      <c r="R43" s="319"/>
      <c r="S43" s="319"/>
      <c r="T43" s="319"/>
      <c r="U43" s="319"/>
      <c r="V43" s="319"/>
    </row>
    <row r="44" spans="1:22" ht="22" customHeight="1">
      <c r="A44" s="402" t="s">
        <v>114</v>
      </c>
      <c r="B44" s="128">
        <v>401731</v>
      </c>
      <c r="C44" s="69" t="s">
        <v>262</v>
      </c>
      <c r="D44" s="70">
        <v>45899</v>
      </c>
      <c r="E44" s="71" t="s">
        <v>2</v>
      </c>
      <c r="F44" s="72">
        <v>86.5</v>
      </c>
      <c r="G44" s="321">
        <f>IF(OR(E44="",F44=""),"",PID_KVLohnLookup($A$1,E44,F44,LOHNTABELLE!$H$4))</f>
        <v>1010.5</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80" t="s">
        <v>115</v>
      </c>
      <c r="P44" s="380"/>
      <c r="Q44" s="380"/>
      <c r="R44" s="380"/>
      <c r="S44" s="380"/>
      <c r="T44" s="380"/>
      <c r="U44" s="380"/>
      <c r="V44" s="380"/>
    </row>
    <row r="45" spans="1:22" ht="22" customHeight="1">
      <c r="A45" s="402" t="s">
        <v>116</v>
      </c>
      <c r="B45" s="129">
        <v>401734</v>
      </c>
      <c r="C45" s="77" t="s">
        <v>264</v>
      </c>
      <c r="D45" s="78">
        <v>45904</v>
      </c>
      <c r="E45" s="79" t="s">
        <v>2</v>
      </c>
      <c r="F45" s="80">
        <v>138.4</v>
      </c>
      <c r="G45" s="321">
        <f>IF(OR(E45="",F45=""),"",PID_KVLohnLookup($A$1,E45,F45,LOHNTABELLE!$H$4))</f>
        <v>1616.8</v>
      </c>
      <c r="H45" s="322">
        <f>IF(AND(ISNUMBER(D45),ISNUMBER(F45)),ROUNDDOWN(MIN(IF(OR(ISBLANK(I45),I45=""),EOMONTH(DATE(EINSTELLUNG!$C$35,$A$1,1),0),I45)-MAX(D45,DATE(EINSTELLUNG!$C$35,$A$1,1))+1)/DAY(EOMONTH(DATE(EINSTELLUNG!$C$35,$A$1,1),0))*F45,2),"")</f>
        <v>138.4</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381"/>
      <c r="P45" s="381"/>
      <c r="Q45" s="381"/>
      <c r="R45" s="382"/>
      <c r="S45" s="382"/>
      <c r="T45" s="382"/>
      <c r="U45" s="382"/>
      <c r="V45" s="319"/>
    </row>
    <row r="46" spans="1:22" ht="22" customHeight="1">
      <c r="A46" s="402" t="s">
        <v>117</v>
      </c>
      <c r="B46" s="128">
        <v>401736</v>
      </c>
      <c r="C46" s="69" t="s">
        <v>265</v>
      </c>
      <c r="D46" s="70">
        <v>45906</v>
      </c>
      <c r="E46" s="71" t="s">
        <v>2</v>
      </c>
      <c r="F46" s="72">
        <v>86.5</v>
      </c>
      <c r="G46" s="321">
        <f>IF(OR(E46="",F46=""),"",PID_KVLohnLookup($A$1,E46,F46,LOHNTABELLE!$H$4))</f>
        <v>1010.5</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19"/>
      <c r="P46" s="319"/>
      <c r="Q46" s="319"/>
      <c r="R46" s="319"/>
      <c r="S46" s="319"/>
      <c r="T46" s="319"/>
      <c r="U46" s="319"/>
      <c r="V46" s="319"/>
    </row>
    <row r="47" spans="1:22" ht="22" customHeight="1">
      <c r="A47" s="402" t="s">
        <v>118</v>
      </c>
      <c r="B47" s="129">
        <v>401737</v>
      </c>
      <c r="C47" s="77" t="s">
        <v>266</v>
      </c>
      <c r="D47" s="78">
        <v>45906</v>
      </c>
      <c r="E47" s="79" t="s">
        <v>2</v>
      </c>
      <c r="F47" s="80">
        <v>86.5</v>
      </c>
      <c r="G47" s="321">
        <f>IF(OR(E47="",F47=""),"",PID_KVLohnLookup($A$1,E47,F47,LOHNTABELLE!$H$4))</f>
        <v>1010.5</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19"/>
      <c r="P47" s="319"/>
      <c r="Q47" s="319"/>
      <c r="R47" s="319"/>
      <c r="S47" s="319"/>
      <c r="T47" s="319"/>
      <c r="U47" s="319"/>
      <c r="V47" s="319"/>
    </row>
    <row r="48" spans="1:22" ht="22" customHeight="1">
      <c r="A48" s="402" t="s">
        <v>119</v>
      </c>
      <c r="B48" s="128">
        <v>401738</v>
      </c>
      <c r="C48" s="69" t="s">
        <v>267</v>
      </c>
      <c r="D48" s="70">
        <v>45909</v>
      </c>
      <c r="E48" s="71" t="s">
        <v>2</v>
      </c>
      <c r="F48" s="72">
        <v>86.5</v>
      </c>
      <c r="G48" s="321">
        <f>IF(OR(E48="",F48=""),"",PID_KVLohnLookup($A$1,E48,F48,LOHNTABELLE!$H$4))</f>
        <v>1010.5</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19"/>
      <c r="P48" s="319"/>
      <c r="Q48" s="319"/>
      <c r="R48" s="319"/>
      <c r="S48" s="319"/>
      <c r="T48" s="319"/>
      <c r="U48" s="319"/>
      <c r="V48" s="319"/>
    </row>
    <row r="49" spans="1:22" ht="22" customHeight="1">
      <c r="A49" s="402" t="s">
        <v>120</v>
      </c>
      <c r="B49" s="129">
        <v>401745</v>
      </c>
      <c r="C49" s="77" t="s">
        <v>271</v>
      </c>
      <c r="D49" s="78">
        <v>45934</v>
      </c>
      <c r="E49" s="79" t="s">
        <v>2</v>
      </c>
      <c r="F49" s="80">
        <v>86.5</v>
      </c>
      <c r="G49" s="321">
        <f>IF(OR(E49="",F49=""),"",PID_KVLohnLookup($A$1,E49,F49,LOHNTABELLE!$H$4))</f>
        <v>1010.5</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19"/>
      <c r="P49" s="319"/>
      <c r="Q49" s="319"/>
      <c r="R49" s="319"/>
      <c r="S49" s="319"/>
      <c r="T49" s="319"/>
      <c r="U49" s="319"/>
      <c r="V49" s="319"/>
    </row>
    <row r="50" spans="1:22" ht="22" customHeight="1">
      <c r="A50" s="402" t="s">
        <v>121</v>
      </c>
      <c r="B50" s="128">
        <v>401746</v>
      </c>
      <c r="C50" s="69" t="s">
        <v>270</v>
      </c>
      <c r="D50" s="70">
        <v>45941</v>
      </c>
      <c r="E50" s="71" t="s">
        <v>2</v>
      </c>
      <c r="F50" s="72">
        <v>86.5</v>
      </c>
      <c r="G50" s="321">
        <f>IF(OR(E50="",F50=""),"",PID_KVLohnLookup($A$1,E50,F50,LOHNTABELLE!$H$4))</f>
        <v>1010.5</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19"/>
      <c r="P50" s="319"/>
      <c r="Q50" s="319"/>
      <c r="R50" s="319"/>
      <c r="S50" s="319"/>
      <c r="T50" s="319"/>
      <c r="U50" s="319"/>
      <c r="V50" s="319"/>
    </row>
    <row r="51" spans="1:22" ht="22" customHeight="1">
      <c r="A51" s="402" t="s">
        <v>122</v>
      </c>
      <c r="B51" s="129">
        <v>401747</v>
      </c>
      <c r="C51" s="77" t="s">
        <v>268</v>
      </c>
      <c r="D51" s="78">
        <v>45941</v>
      </c>
      <c r="E51" s="79" t="s">
        <v>2</v>
      </c>
      <c r="F51" s="80">
        <v>86.5</v>
      </c>
      <c r="G51" s="321">
        <f>IF(OR(E51="",F51=""),"",PID_KVLohnLookup($A$1,E51,F51,LOHNTABELLE!$H$4))</f>
        <v>1010.5</v>
      </c>
      <c r="H51" s="322">
        <f>IF(AND(ISNUMBER(D51),ISNUMBER(F51)),ROUNDDOWN(MIN(IF(OR(ISBLANK(I51),I51=""),EOMONTH(DATE(EINSTELLUNG!$C$35,$A$1,1),0),I51)-MAX(D51,DATE(EINSTELLUNG!$C$35,$A$1,1))+1)/DAY(EOMONTH(DATE(EINSTELLUNG!$C$35,$A$1,1),0))*F51,2),"")</f>
        <v>86.5</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402" t="s">
        <v>123</v>
      </c>
      <c r="B52" s="128">
        <v>401748</v>
      </c>
      <c r="C52" s="69" t="s">
        <v>269</v>
      </c>
      <c r="D52" s="70">
        <v>45941</v>
      </c>
      <c r="E52" s="71" t="s">
        <v>2</v>
      </c>
      <c r="F52" s="72">
        <v>86.5</v>
      </c>
      <c r="G52" s="321">
        <f>IF(OR(E52="",F52=""),"",PID_KVLohnLookup($A$1,E52,F52,LOHNTABELLE!$H$4))</f>
        <v>1010.5</v>
      </c>
      <c r="H52" s="322">
        <f>IF(AND(ISNUMBER(D52),ISNUMBER(F52)),ROUNDDOWN(MIN(IF(OR(ISBLANK(I52),I52=""),EOMONTH(DATE(EINSTELLUNG!$C$35,$A$1,1),0),I52)-MAX(D52,DATE(EINSTELLUNG!$C$35,$A$1,1))+1)/DAY(EOMONTH(DATE(EINSTELLUNG!$C$35,$A$1,1),0))*F52,2),"")</f>
        <v>86.5</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02" t="s">
        <v>124</v>
      </c>
      <c r="B53" s="129">
        <v>401751</v>
      </c>
      <c r="C53" s="77" t="s">
        <v>272</v>
      </c>
      <c r="D53" s="78">
        <v>45961</v>
      </c>
      <c r="E53" s="79" t="s">
        <v>2</v>
      </c>
      <c r="F53" s="80">
        <v>86.5</v>
      </c>
      <c r="G53" s="321">
        <f>IF(OR(E53="",F53=""),"",PID_KVLohnLookup($A$1,E53,F53,LOHNTABELLE!$H$4))</f>
        <v>1010.5</v>
      </c>
      <c r="H53" s="322">
        <f>IF(AND(ISNUMBER(D53),ISNUMBER(F53)),ROUNDDOWN(MIN(IF(OR(ISBLANK(I53),I53=""),EOMONTH(DATE(EINSTELLUNG!$C$35,$A$1,1),0),I53)-MAX(D53,DATE(EINSTELLUNG!$C$35,$A$1,1))+1)/DAY(EOMONTH(DATE(EINSTELLUNG!$C$35,$A$1,1),0))*F53,2),"")</f>
        <v>86.5</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02" t="s">
        <v>125</v>
      </c>
      <c r="B54" s="128">
        <v>401752</v>
      </c>
      <c r="C54" s="69" t="s">
        <v>273</v>
      </c>
      <c r="D54" s="73">
        <v>45986</v>
      </c>
      <c r="E54" s="71" t="s">
        <v>2</v>
      </c>
      <c r="F54" s="72">
        <v>86.5</v>
      </c>
      <c r="G54" s="321">
        <f>IF(OR(E54="",F54=""),"",PID_KVLohnLookup($A$1,E54,F54,LOHNTABELLE!$H$4))</f>
        <v>1010.5</v>
      </c>
      <c r="H54" s="322">
        <f>IF(AND(ISNUMBER(D54),ISNUMBER(F54)),ROUNDDOWN(MIN(IF(OR(ISBLANK(I54),I54=""),EOMONTH(DATE(EINSTELLUNG!$C$35,$A$1,1),0),I54)-MAX(D54,DATE(EINSTELLUNG!$C$35,$A$1,1))+1)/DAY(EOMONTH(DATE(EINSTELLUNG!$C$35,$A$1,1),0))*F54,2),"")</f>
        <v>86.5</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402" t="s">
        <v>126</v>
      </c>
      <c r="B55" s="129">
        <v>401754</v>
      </c>
      <c r="C55" s="77" t="s">
        <v>274</v>
      </c>
      <c r="D55" s="78">
        <v>46014</v>
      </c>
      <c r="E55" s="79" t="s">
        <v>2</v>
      </c>
      <c r="F55" s="80">
        <v>86.5</v>
      </c>
      <c r="G55" s="321">
        <f>IF(OR(E55="",F55=""),"",PID_KVLohnLookup($A$1,E55,F55,LOHNTABELLE!$H$4))</f>
        <v>1010.5</v>
      </c>
      <c r="H55" s="322">
        <f>IF(AND(ISNUMBER(D55),ISNUMBER(F55)),ROUNDDOWN(MIN(IF(OR(ISBLANK(I55),I55=""),EOMONTH(DATE(EINSTELLUNG!$C$35,$A$1,1),0),I55)-MAX(D55,DATE(EINSTELLUNG!$C$35,$A$1,1))+1)/DAY(EOMONTH(DATE(EINSTELLUNG!$C$35,$A$1,1),0))*F55,2),"")</f>
        <v>41.85</v>
      </c>
      <c r="I55" s="81">
        <v>46096</v>
      </c>
      <c r="J55" s="82">
        <v>8</v>
      </c>
      <c r="K55" s="321">
        <f t="shared" si="1"/>
        <v>260.77419354838707</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402" t="s">
        <v>127</v>
      </c>
      <c r="B56" s="128">
        <v>401999</v>
      </c>
      <c r="C56" s="69" t="s">
        <v>423</v>
      </c>
      <c r="D56" s="73">
        <v>46041</v>
      </c>
      <c r="E56" s="71" t="s">
        <v>2</v>
      </c>
      <c r="F56" s="72">
        <v>151.38</v>
      </c>
      <c r="G56" s="321">
        <f>IF(OR(E56="",F56=""),"",PID_KVLohnLookup($A$1,E56,F56,LOHNTABELLE!$H$4))</f>
        <v>1768.38</v>
      </c>
      <c r="H56" s="322">
        <f>IF(AND(ISNUMBER(D56),ISNUMBER(F56)),ROUNDDOWN(MIN(IF(OR(ISBLANK(I56),I56=""),EOMONTH(DATE(EINSTELLUNG!$C$35,$A$1,1),0),I56)-MAX(D56,DATE(EINSTELLUNG!$C$35,$A$1,1))+1)/DAY(EOMONTH(DATE(EINSTELLUNG!$C$35,$A$1,1),0))*F56,2),"")</f>
        <v>151.38</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02" t="s">
        <v>128</v>
      </c>
      <c r="B57" s="129">
        <v>401999</v>
      </c>
      <c r="C57" s="77" t="s">
        <v>295</v>
      </c>
      <c r="D57" s="81">
        <v>46082</v>
      </c>
      <c r="E57" s="79" t="s">
        <v>2</v>
      </c>
      <c r="F57" s="80">
        <v>173</v>
      </c>
      <c r="G57" s="321">
        <f>IF(OR(E57="",F57=""),"",PID_KVLohnLookup($A$1,E57,F57,LOHNTABELLE!$H$4))</f>
        <v>2021</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402" t="s">
        <v>129</v>
      </c>
      <c r="B58" s="128">
        <v>402405</v>
      </c>
      <c r="C58" s="69" t="s">
        <v>301</v>
      </c>
      <c r="D58" s="73">
        <v>46054</v>
      </c>
      <c r="E58" s="71" t="s">
        <v>2</v>
      </c>
      <c r="F58" s="72">
        <v>173</v>
      </c>
      <c r="G58" s="321">
        <f>IF(OR(E58="",F58=""),"",PID_KVLohnLookup($A$1,E58,F58,LOHNTABELLE!$H$4))</f>
        <v>2021</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02" t="s">
        <v>130</v>
      </c>
      <c r="B59" s="129">
        <v>500600</v>
      </c>
      <c r="C59" s="77" t="s">
        <v>305</v>
      </c>
      <c r="D59" s="81">
        <v>46054</v>
      </c>
      <c r="E59" s="79" t="s">
        <v>2</v>
      </c>
      <c r="F59" s="80">
        <v>173</v>
      </c>
      <c r="G59" s="321">
        <f>IF(OR(E59="",F59=""),"",PID_KVLohnLookup($A$1,E59,F59,LOHNTABELLE!$H$4))</f>
        <v>2021</v>
      </c>
      <c r="H59" s="322">
        <f>IF(AND(ISNUMBER(D59),ISNUMBER(F59)),ROUNDDOWN(MIN(IF(OR(ISBLANK(I59),I59=""),EOMONTH(DATE(EINSTELLUNG!$C$35,$A$1,1),0),I59)-MAX(D59,DATE(EINSTELLUNG!$C$35,$A$1,1))+1)/DAY(EOMONTH(DATE(EINSTELLUNG!$C$35,$A$1,1),0))*F59,2),"")</f>
        <v>173</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02" t="s">
        <v>131</v>
      </c>
      <c r="B60" s="128">
        <v>503000</v>
      </c>
      <c r="C60" s="69" t="s">
        <v>302</v>
      </c>
      <c r="D60" s="73">
        <v>42401</v>
      </c>
      <c r="E60" s="71" t="s">
        <v>2</v>
      </c>
      <c r="F60" s="72">
        <v>173</v>
      </c>
      <c r="G60" s="321">
        <f>IF(OR(E60="",F60=""),"",PID_KVLohnLookup($A$1,E60,F60,LOHNTABELLE!$H$4))</f>
        <v>2021</v>
      </c>
      <c r="H60" s="322">
        <f>IF(AND(ISNUMBER(D60),ISNUMBER(F60)),ROUNDDOWN(MIN(IF(OR(ISBLANK(I60),I60=""),EOMONTH(DATE(EINSTELLUNG!$C$35,$A$1,1),0),I60)-MAX(D60,DATE(EINSTELLUNG!$C$35,$A$1,1))+1)/DAY(EOMONTH(DATE(EINSTELLUNG!$C$35,$A$1,1),0))*F60,2),"")</f>
        <v>173</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402" t="s">
        <v>132</v>
      </c>
      <c r="B61" s="129">
        <v>504000</v>
      </c>
      <c r="C61" s="77" t="s">
        <v>303</v>
      </c>
      <c r="D61" s="81">
        <v>46054</v>
      </c>
      <c r="E61" s="79" t="s">
        <v>3</v>
      </c>
      <c r="F61" s="80">
        <v>138.4</v>
      </c>
      <c r="G61" s="321">
        <f>IF(OR(E61="",F61=""),"",PID_KVLohnLookup($A$1,E61,F61,LOHNTABELLE!$H$4))</f>
        <v>1665.6</v>
      </c>
      <c r="H61" s="322">
        <f>IF(AND(ISNUMBER(D61),ISNUMBER(F61)),ROUNDDOWN(MIN(IF(OR(ISBLANK(I61),I61=""),EOMONTH(DATE(EINSTELLUNG!$C$35,$A$1,1),0),I61)-MAX(D61,DATE(EINSTELLUNG!$C$35,$A$1,1))+1)/DAY(EOMONTH(DATE(EINSTELLUNG!$C$35,$A$1,1),0))*F61,2),"")</f>
        <v>138.4</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02" t="s">
        <v>133</v>
      </c>
      <c r="B62" s="128">
        <v>505000</v>
      </c>
      <c r="C62" s="69" t="s">
        <v>304</v>
      </c>
      <c r="D62" s="73">
        <v>46054</v>
      </c>
      <c r="E62" s="71" t="s">
        <v>2</v>
      </c>
      <c r="F62" s="72">
        <v>138.4</v>
      </c>
      <c r="G62" s="321">
        <f>IF(OR(E62="",F62=""),"",PID_KVLohnLookup($A$1,E62,F62,LOHNTABELLE!$H$4))</f>
        <v>1616.8</v>
      </c>
      <c r="H62" s="322">
        <f>IF(AND(ISNUMBER(D62),ISNUMBER(F62)),ROUNDDOWN(MIN(IF(OR(ISBLANK(I62),I62=""),EOMONTH(DATE(EINSTELLUNG!$C$35,$A$1,1),0),I62)-MAX(D62,DATE(EINSTELLUNG!$C$35,$A$1,1))+1)/DAY(EOMONTH(DATE(EINSTELLUNG!$C$35,$A$1,1),0))*F62,2),"")</f>
        <v>138.4</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02" t="s">
        <v>134</v>
      </c>
      <c r="B63" s="129">
        <v>525025</v>
      </c>
      <c r="C63" s="77" t="s">
        <v>425</v>
      </c>
      <c r="D63" s="81">
        <v>46040</v>
      </c>
      <c r="E63" s="79" t="s">
        <v>2</v>
      </c>
      <c r="F63" s="80">
        <v>129.75</v>
      </c>
      <c r="G63" s="321">
        <f>IF(OR(E63="",F63=""),"",PID_KVLohnLookup($A$1,E63,F63,LOHNTABELLE!$H$4))</f>
        <v>1515.75</v>
      </c>
      <c r="H63" s="322">
        <f>IF(AND(ISNUMBER(D63),ISNUMBER(F63)),ROUNDDOWN(MIN(IF(OR(ISBLANK(I63),I63=""),EOMONTH(DATE(EINSTELLUNG!$C$35,$A$1,1),0),I63)-MAX(D63,DATE(EINSTELLUNG!$C$35,$A$1,1))+1)/DAY(EOMONTH(DATE(EINSTELLUNG!$C$35,$A$1,1),0))*F63,2),"")</f>
        <v>129.75</v>
      </c>
      <c r="I63" s="81"/>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02" t="s">
        <v>135</v>
      </c>
      <c r="B64" s="128">
        <v>700000</v>
      </c>
      <c r="C64" s="69" t="s">
        <v>312</v>
      </c>
      <c r="D64" s="73">
        <v>46054</v>
      </c>
      <c r="E64" s="71" t="s">
        <v>2</v>
      </c>
      <c r="F64" s="72">
        <v>173</v>
      </c>
      <c r="G64" s="321">
        <f>IF(OR(E64="",F64=""),"",PID_KVLohnLookup($A$1,E64,F64,LOHNTABELLE!$H$4))</f>
        <v>2021</v>
      </c>
      <c r="H64" s="322">
        <f>IF(AND(ISNUMBER(D64),ISNUMBER(F64)),ROUNDDOWN(MIN(IF(OR(ISBLANK(I64),I64=""),EOMONTH(DATE(EINSTELLUNG!$C$35,$A$1,1),0),I64)-MAX(D64,DATE(EINSTELLUNG!$C$35,$A$1,1))+1)/DAY(EOMONTH(DATE(EINSTELLUNG!$C$35,$A$1,1),0))*F64,2),"")</f>
        <v>173</v>
      </c>
      <c r="I64" s="73"/>
      <c r="J64" s="74"/>
      <c r="K64" s="321">
        <f t="shared" si="1"/>
        <v>0</v>
      </c>
      <c r="L64" s="32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02" t="s">
        <v>136</v>
      </c>
      <c r="B65" s="129">
        <v>800000</v>
      </c>
      <c r="C65" s="77" t="s">
        <v>313</v>
      </c>
      <c r="D65" s="81">
        <v>46096</v>
      </c>
      <c r="E65" s="79" t="s">
        <v>2</v>
      </c>
      <c r="F65" s="80">
        <v>173</v>
      </c>
      <c r="G65" s="321">
        <f>IF(OR(E65="",F65=""),"",PID_KVLohnLookup($A$1,E65,F65,LOHNTABELLE!$H$4))</f>
        <v>2021</v>
      </c>
      <c r="H65" s="322">
        <f>IF(AND(ISNUMBER(D65),ISNUMBER(F65)),ROUNDDOWN(MIN(IF(OR(ISBLANK(I65),I65=""),EOMONTH(DATE(EINSTELLUNG!$C$35,$A$1,1),0),I65)-MAX(D65,DATE(EINSTELLUNG!$C$35,$A$1,1))+1)/DAY(EOMONTH(DATE(EINSTELLUNG!$C$35,$A$1,1),0))*F65,2),"")</f>
        <v>94.87</v>
      </c>
      <c r="I65" s="81"/>
      <c r="J65" s="82"/>
      <c r="K65" s="321">
        <f t="shared" si="1"/>
        <v>0</v>
      </c>
      <c r="L65" s="32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3"/>
    </row>
  </sheetData>
  <sheetProtection algorithmName="SHA-512" hashValue="WnnoTS7IHFSd9YkKEg2YLuPQVpaAykjLr9qCUG1Lb+PKH/qagfkBvdlY3mPoGht/i9eKsES5HyBr0JqakkEwGA==" saltValue="VoLqR7acgOOO1XmHDgYJ1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F61</xm:sqref>
        </x14:dataValidation>
        <x14:dataValidation type="list" allowBlank="1" showInputMessage="1" showErrorMessage="1" xr:uid="{CD270973-C4E4-3E4E-8A55-E671E7429B12}">
          <x14:formula1>
            <xm:f>KV_DROPDOWN_HELPER!$FJ$1:$FJ$13</xm:f>
          </x14:formula1>
          <xm:sqref>F20</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C0715FB4-2120-4344-A238-84312A59E72C}">
          <x14:formula1>
            <xm:f>KV_DROPDOWN_HELPER!$FI$1:$FI$13</xm:f>
          </x14:formula1>
          <xm:sqref>F17 F24 F25 F28 F30</xm:sqref>
        </x14:dataValidation>
        <x14:dataValidation type="list" allowBlank="1" showInputMessage="1" showErrorMessage="1" xr:uid="{FFC66572-7B37-9741-B8A0-9AF9F2E80C7A}">
          <x14:formula1>
            <xm:f>KV_DROPDOWN_HELPER!$FH$1:$FH$14</xm:f>
          </x14:formula1>
          <xm:sqref>F13 F14 F15 F16 F18 F19 F21 F22 F23 F26 F27 F29 F31 F32 F33 F34 F35 F36 F37 F38 F39 F40 F41 F42 F43 F44 F45 F46 F47 F48 F49 F50 F51 F52 F53 F54 F55 F56 F57 F58 F59 F60 F62 F63 F64 F65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16" sqref="F16"/>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4</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46113</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46142</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401047</v>
      </c>
      <c r="C4" s="69" t="s">
        <v>226</v>
      </c>
      <c r="D4" s="70">
        <v>41154</v>
      </c>
      <c r="E4" s="71" t="s">
        <v>4</v>
      </c>
      <c r="F4" s="93">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401049</v>
      </c>
      <c r="C5" s="77" t="s">
        <v>225</v>
      </c>
      <c r="D5" s="78">
        <v>41130</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776.44922251234595</v>
      </c>
      <c r="P5" s="327">
        <f>EINSTELLUNG!I9</f>
        <v>600</v>
      </c>
      <c r="Q5" s="327">
        <f>P5-O5</f>
        <v>-176.44922251234595</v>
      </c>
      <c r="R5" s="328">
        <f>IFERROR(Q5*Q42, 0)</f>
        <v>-2054.9620826655096</v>
      </c>
      <c r="S5" s="319"/>
      <c r="T5" s="319"/>
      <c r="U5" s="319"/>
      <c r="V5" s="319"/>
    </row>
    <row r="6" spans="1:28" ht="22" customHeight="1">
      <c r="A6" s="402" t="s">
        <v>53</v>
      </c>
      <c r="B6" s="128">
        <v>401051</v>
      </c>
      <c r="C6" s="69" t="s">
        <v>227</v>
      </c>
      <c r="D6" s="70">
        <v>41176</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401089</v>
      </c>
      <c r="C7" s="77" t="s">
        <v>241</v>
      </c>
      <c r="D7" s="78">
        <v>44868</v>
      </c>
      <c r="E7" s="79" t="s">
        <v>3</v>
      </c>
      <c r="F7" s="80">
        <v>173</v>
      </c>
      <c r="G7" s="321">
        <f>IF(OR(E7="",F7=""),"",PID_KVLohnLookup($A$1,E7,F7,LOHNTABELLE!$H$4))</f>
        <v>2082</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9"/>
      <c r="P7" s="319"/>
      <c r="Q7" s="319"/>
      <c r="R7" s="319"/>
      <c r="S7" s="319"/>
      <c r="T7" s="319"/>
      <c r="U7" s="319"/>
      <c r="V7" s="319"/>
    </row>
    <row r="8" spans="1:28" ht="22" customHeight="1">
      <c r="A8" s="402" t="s">
        <v>55</v>
      </c>
      <c r="B8" s="12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2" t="s">
        <v>56</v>
      </c>
      <c r="P8" s="333"/>
      <c r="Q8" s="334">
        <f>SUM(H3:H82)</f>
        <v>7936.4</v>
      </c>
      <c r="R8" s="335"/>
      <c r="S8" s="319"/>
      <c r="T8" s="319"/>
      <c r="U8" s="319"/>
      <c r="V8" s="319"/>
    </row>
    <row r="9" spans="1:28" ht="22" customHeight="1">
      <c r="A9" s="402" t="s">
        <v>57</v>
      </c>
      <c r="B9" s="129">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EINSTELLUNG!L25</f>
        <v>4</v>
      </c>
      <c r="R9" s="339"/>
      <c r="S9" s="340">
        <f>IFERROR(Q9/Q8, 0)</f>
        <v>5.0400685449322117E-4</v>
      </c>
      <c r="T9" s="319"/>
      <c r="U9" s="319"/>
      <c r="V9" s="319"/>
    </row>
    <row r="10" spans="1:28" ht="22" customHeight="1">
      <c r="A10" s="402" t="s">
        <v>59</v>
      </c>
      <c r="B10" s="128">
        <v>401214</v>
      </c>
      <c r="C10" s="69" t="s">
        <v>255</v>
      </c>
      <c r="D10" s="70">
        <v>45636</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EINSTELLUNG!I25</f>
        <v>150</v>
      </c>
      <c r="R10" s="339"/>
      <c r="S10" s="319"/>
      <c r="T10" s="319"/>
      <c r="U10" s="319"/>
      <c r="V10" s="319"/>
    </row>
    <row r="11" spans="1:28" ht="22" customHeight="1">
      <c r="A11" s="402" t="s">
        <v>61</v>
      </c>
      <c r="B11" s="129">
        <v>401276</v>
      </c>
      <c r="C11" s="77" t="s">
        <v>230</v>
      </c>
      <c r="D11" s="81">
        <v>43252</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401276</v>
      </c>
      <c r="C12" s="69" t="s">
        <v>472</v>
      </c>
      <c r="D12" s="70">
        <v>38899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6" t="s">
        <v>64</v>
      </c>
      <c r="P12" s="337"/>
      <c r="Q12" s="177">
        <v>-260</v>
      </c>
      <c r="R12" s="178"/>
      <c r="S12" s="319"/>
      <c r="T12" s="319"/>
      <c r="U12" s="319"/>
      <c r="V12" s="319"/>
    </row>
    <row r="13" spans="1:28" ht="22" customHeight="1">
      <c r="A13" s="402" t="s">
        <v>65</v>
      </c>
      <c r="B13" s="129">
        <v>401307</v>
      </c>
      <c r="C13" s="77" t="s">
        <v>231</v>
      </c>
      <c r="D13" s="78">
        <v>43571</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66</v>
      </c>
      <c r="P13" s="337"/>
      <c r="Q13" s="338">
        <f>Q8-Q9-Q10-Q11-Q12</f>
        <v>7442.4</v>
      </c>
      <c r="R13" s="339"/>
      <c r="S13" s="319"/>
      <c r="T13" s="319"/>
      <c r="U13" s="319"/>
      <c r="V13" s="319"/>
    </row>
    <row r="14" spans="1:28" ht="18" customHeight="1">
      <c r="A14" s="402" t="s">
        <v>67</v>
      </c>
      <c r="B14" s="128">
        <v>401308</v>
      </c>
      <c r="C14" s="69" t="s">
        <v>232</v>
      </c>
      <c r="D14" s="73">
        <v>43579</v>
      </c>
      <c r="E14" s="71" t="s">
        <v>3</v>
      </c>
      <c r="F14" s="72">
        <v>173</v>
      </c>
      <c r="G14" s="321">
        <f>IF(OR(E14="",F14=""),"",PID_KVLohnLookup($A$1,E14,F14,LOHNTABELLE!$H$4))</f>
        <v>2082</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36" t="s">
        <v>68</v>
      </c>
      <c r="P14" s="337"/>
      <c r="Q14" s="338">
        <f>EINSTELLUNG!L9</f>
        <v>9300</v>
      </c>
      <c r="R14" s="339"/>
      <c r="S14" s="319"/>
      <c r="T14" s="319"/>
      <c r="U14" s="319"/>
      <c r="V14" s="319"/>
    </row>
    <row r="15" spans="1:28" ht="18" thickBot="1">
      <c r="A15" s="402" t="s">
        <v>69</v>
      </c>
      <c r="B15" s="129">
        <v>401389</v>
      </c>
      <c r="C15" s="77" t="s">
        <v>234</v>
      </c>
      <c r="D15" s="78">
        <v>44384</v>
      </c>
      <c r="E15" s="79" t="s">
        <v>11</v>
      </c>
      <c r="F15" s="80">
        <v>173</v>
      </c>
      <c r="G15" s="321">
        <f>IF(OR(E15="",F15=""),"",PID_KVLohnLookup($A$1,E15,F15,LOHNTABELLE!$H$4))</f>
        <v>2300</v>
      </c>
      <c r="H15" s="322">
        <f>IF(AND(ISNUMBER(D15),ISNUMBER(F15)),ROUNDDOWN(MIN(IF(OR(ISBLANK(I15),I15=""),EOMONTH(DATE(EINSTELLUNG!$C$35,$A$1,1),0),I15)-MAX(D15,DATE(EINSTELLUNG!$C$35,$A$1,1))+1)/DAY(EOMONTH(DATE(EINSTELLUNG!$C$35,$A$1,1),0))*F15,2),"")</f>
        <v>115.33</v>
      </c>
      <c r="I15" s="81">
        <v>46132</v>
      </c>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341" t="s">
        <v>70</v>
      </c>
      <c r="P15" s="342"/>
      <c r="Q15" s="343">
        <f>Q13-Q14</f>
        <v>-1857.6000000000004</v>
      </c>
      <c r="R15" s="344"/>
      <c r="S15" s="345"/>
      <c r="T15" s="345"/>
      <c r="U15" s="345"/>
      <c r="V15" s="319"/>
    </row>
    <row r="16" spans="1:28" ht="22" customHeight="1" thickBot="1">
      <c r="A16" s="402" t="s">
        <v>71</v>
      </c>
      <c r="B16" s="128">
        <v>401394</v>
      </c>
      <c r="C16" s="69" t="s">
        <v>233</v>
      </c>
      <c r="D16" s="70">
        <v>44379</v>
      </c>
      <c r="E16" s="71" t="s">
        <v>2</v>
      </c>
      <c r="F16" s="72">
        <v>171</v>
      </c>
      <c r="G16" s="321" t="str">
        <f>IF(OR(E16="",F16=""),"",PID_KVLohnLookup($A$1,E16,F16,LOHNTABELLE!$H$4))</f>
        <v>Nicht gefunden</v>
      </c>
      <c r="H16" s="322">
        <f>IF(AND(ISNUMBER(D16),ISNUMBER(F16)),ROUNDDOWN(MIN(IF(OR(ISBLANK(I16),I16=""),EOMONTH(DATE(EINSTELLUNG!$C$35,$A$1,1),0),I16)-MAX(D16,DATE(EINSTELLUNG!$C$35,$A$1,1))+1)/DAY(EOMONTH(DATE(EINSTELLUNG!$C$35,$A$1,1),0))*F16,2),"")</f>
        <v>171</v>
      </c>
      <c r="I16" s="73"/>
      <c r="J16" s="74"/>
      <c r="K16" s="321">
        <f t="shared" si="0"/>
        <v>0</v>
      </c>
      <c r="L16" s="323"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401406</v>
      </c>
      <c r="C17" s="77" t="s">
        <v>473</v>
      </c>
      <c r="D17" s="78">
        <v>36850</v>
      </c>
      <c r="E17" s="79" t="s">
        <v>10</v>
      </c>
      <c r="F17" s="80">
        <v>151.38</v>
      </c>
      <c r="G17" s="321">
        <f>IF(OR(E17="",F17=""),"",PID_KVLohnLookup($A$1,E17,F17,LOHNTABELLE!$H$4))</f>
        <v>2012.5</v>
      </c>
      <c r="H17" s="322">
        <f>IF(AND(ISNUMBER(D17),ISNUMBER(F17)),ROUNDDOWN(MIN(IF(OR(ISBLANK(I17),I17=""),EOMONTH(DATE(EINSTELLUNG!$C$35,$A$1,1),0),I17)-MAX(D17,DATE(EINSTELLUNG!$C$35,$A$1,1))+1)/DAY(EOMONTH(DATE(EINSTELLUNG!$C$35,$A$1,1),0))*F17,2),"")</f>
        <v>151.38</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11" t="s">
        <v>73</v>
      </c>
      <c r="P17" s="333"/>
      <c r="Q17" s="351">
        <f>SUM(L3:L82)</f>
        <v>92428.863333333342</v>
      </c>
      <c r="R17" s="352"/>
      <c r="S17" s="319"/>
      <c r="T17" s="319"/>
      <c r="U17" s="319"/>
      <c r="V17" s="319"/>
      <c r="W17" s="350"/>
    </row>
    <row r="18" spans="1:29" ht="22" customHeight="1">
      <c r="A18" s="402" t="s">
        <v>74</v>
      </c>
      <c r="B18" s="128">
        <v>401432</v>
      </c>
      <c r="C18" s="69" t="s">
        <v>235</v>
      </c>
      <c r="D18" s="73">
        <v>44441</v>
      </c>
      <c r="E18" s="71" t="s">
        <v>2</v>
      </c>
      <c r="F18" s="72">
        <v>173</v>
      </c>
      <c r="G18" s="321">
        <f>IF(OR(E18="",F18=""),"",PID_KVLohnLookup($A$1,E18,F18,LOHNTABELLE!$H$4))</f>
        <v>2021</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12" t="s">
        <v>451</v>
      </c>
      <c r="P18" s="354"/>
      <c r="Q18" s="355">
        <v>20</v>
      </c>
      <c r="R18" s="356"/>
      <c r="S18" s="319"/>
      <c r="T18" s="319"/>
      <c r="U18" s="319"/>
      <c r="V18" s="319"/>
    </row>
    <row r="19" spans="1:29" ht="22" customHeight="1">
      <c r="A19" s="402" t="s">
        <v>75</v>
      </c>
      <c r="B19" s="129">
        <v>401476</v>
      </c>
      <c r="C19" s="77" t="s">
        <v>237</v>
      </c>
      <c r="D19" s="78">
        <v>44504</v>
      </c>
      <c r="E19" s="79" t="s">
        <v>2</v>
      </c>
      <c r="F19" s="80">
        <v>173</v>
      </c>
      <c r="G19" s="321">
        <f>IF(OR(E19="",F19=""),"",PID_KVLohnLookup($A$1,E19,F19,LOHNTABELLE!$H$4))</f>
        <v>2021</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12" t="s">
        <v>296</v>
      </c>
      <c r="P19" s="354"/>
      <c r="Q19" s="355">
        <v>333</v>
      </c>
      <c r="R19" s="356"/>
      <c r="S19" s="319"/>
      <c r="T19" s="319"/>
      <c r="U19" s="319"/>
      <c r="V19" s="319"/>
    </row>
    <row r="20" spans="1:29" ht="22" customHeight="1">
      <c r="A20" s="402" t="s">
        <v>76</v>
      </c>
      <c r="B20" s="128">
        <v>401479</v>
      </c>
      <c r="C20" s="69" t="s">
        <v>238</v>
      </c>
      <c r="D20" s="70">
        <v>44511</v>
      </c>
      <c r="E20" s="71" t="s">
        <v>6</v>
      </c>
      <c r="F20" s="72">
        <v>151.38</v>
      </c>
      <c r="G20" s="321">
        <f>IF(OR(E20="",F20=""),"",PID_KVLohnLookup($A$1,E20,F20,LOHNTABELLE!$H$4))</f>
        <v>1890</v>
      </c>
      <c r="H20" s="322">
        <f>IF(AND(ISNUMBER(D20),ISNUMBER(F20)),ROUNDDOWN(MIN(IF(OR(ISBLANK(I20),I20=""),EOMONTH(DATE(EINSTELLUNG!$C$35,$A$1,1),0),I20)-MAX(D20,DATE(EINSTELLUNG!$C$35,$A$1,1))+1)/DAY(EOMONTH(DATE(EINSTELLUNG!$C$35,$A$1,1),0))*F20,2),"")</f>
        <v>151.38</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412" t="s">
        <v>296</v>
      </c>
      <c r="P20" s="354"/>
      <c r="Q20" s="355">
        <v>35</v>
      </c>
      <c r="R20" s="356"/>
      <c r="S20" s="319"/>
      <c r="T20" s="319"/>
      <c r="U20" s="319"/>
      <c r="V20" s="319"/>
    </row>
    <row r="21" spans="1:29" ht="22" customHeight="1">
      <c r="A21" s="402" t="s">
        <v>77</v>
      </c>
      <c r="B21" s="129">
        <v>401481</v>
      </c>
      <c r="C21" s="77" t="s">
        <v>239</v>
      </c>
      <c r="D21" s="78">
        <v>44531</v>
      </c>
      <c r="E21" s="79" t="s">
        <v>3</v>
      </c>
      <c r="F21" s="80">
        <v>173</v>
      </c>
      <c r="G21" s="321">
        <f>IF(OR(E21="",F21=""),"",PID_KVLohnLookup($A$1,E21,F21,LOHNTABELLE!$H$4))</f>
        <v>2082</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412" t="s">
        <v>296</v>
      </c>
      <c r="P21" s="354"/>
      <c r="Q21" s="355">
        <v>100</v>
      </c>
      <c r="R21" s="356"/>
      <c r="S21" s="319"/>
      <c r="T21" s="319"/>
      <c r="U21" s="319"/>
      <c r="V21" s="319"/>
    </row>
    <row r="22" spans="1:29" ht="22" customHeight="1">
      <c r="A22" s="402" t="s">
        <v>78</v>
      </c>
      <c r="B22" s="128">
        <v>401558</v>
      </c>
      <c r="C22" s="69" t="s">
        <v>236</v>
      </c>
      <c r="D22" s="70">
        <v>44460</v>
      </c>
      <c r="E22" s="71" t="s">
        <v>2</v>
      </c>
      <c r="F22" s="72">
        <v>173</v>
      </c>
      <c r="G22" s="321">
        <f>IF(OR(E22="",F22=""),"",PID_KVLohnLookup($A$1,E22,F22,LOHNTABELLE!$H$4))</f>
        <v>2021</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12" t="s">
        <v>296</v>
      </c>
      <c r="P22" s="354"/>
      <c r="Q22" s="355"/>
      <c r="R22" s="356"/>
      <c r="S22" s="319"/>
      <c r="T22" s="319"/>
      <c r="U22" s="319"/>
      <c r="V22" s="319"/>
    </row>
    <row r="23" spans="1:29" ht="22" customHeight="1">
      <c r="A23" s="402" t="s">
        <v>79</v>
      </c>
      <c r="B23" s="129">
        <v>401564</v>
      </c>
      <c r="C23" s="77" t="s">
        <v>240</v>
      </c>
      <c r="D23" s="78">
        <v>44824</v>
      </c>
      <c r="E23" s="79" t="s">
        <v>2</v>
      </c>
      <c r="F23" s="80">
        <v>173</v>
      </c>
      <c r="G23" s="321">
        <f>IF(OR(E23="",F23=""),"",PID_KVLohnLookup($A$1,E23,F23,LOHNTABELLE!$H$4))</f>
        <v>2021</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12" t="s">
        <v>296</v>
      </c>
      <c r="P23" s="354"/>
      <c r="Q23" s="355">
        <v>5000</v>
      </c>
      <c r="R23" s="356"/>
      <c r="S23" s="319"/>
      <c r="T23" s="319"/>
      <c r="U23" s="319"/>
      <c r="V23" s="319"/>
      <c r="W23" s="350"/>
    </row>
    <row r="24" spans="1:29" ht="22" customHeight="1">
      <c r="A24" s="402" t="s">
        <v>80</v>
      </c>
      <c r="B24" s="128">
        <v>401583</v>
      </c>
      <c r="C24" s="69" t="s">
        <v>242</v>
      </c>
      <c r="D24" s="70">
        <v>44900</v>
      </c>
      <c r="E24" s="71" t="s">
        <v>10</v>
      </c>
      <c r="F24" s="72">
        <v>173</v>
      </c>
      <c r="G24" s="321">
        <f>IF(OR(E24="",F24=""),"",PID_KVLohnLookup($A$1,E24,F24,LOHNTABELLE!$H$4))</f>
        <v>2300</v>
      </c>
      <c r="H24" s="322">
        <f>IF(AND(ISNUMBER(D24),ISNUMBER(F24)),ROUNDDOWN(MIN(IF(OR(ISBLANK(I24),I24=""),EOMONTH(DATE(EINSTELLUNG!$C$35,$A$1,1),0),I24)-MAX(D24,DATE(EINSTELLUNG!$C$35,$A$1,1))+1)/DAY(EOMONTH(DATE(EINSTELLUNG!$C$35,$A$1,1),0))*F24,2),"")</f>
        <v>173</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12"/>
      <c r="P24" s="354"/>
      <c r="Q24" s="355"/>
      <c r="R24" s="356"/>
      <c r="S24" s="319"/>
      <c r="T24" s="319"/>
      <c r="U24" s="319"/>
      <c r="V24" s="319"/>
      <c r="W24" s="350"/>
    </row>
    <row r="25" spans="1:29" ht="22" customHeight="1">
      <c r="A25" s="402" t="s">
        <v>81</v>
      </c>
      <c r="B25" s="129">
        <v>401589</v>
      </c>
      <c r="C25" s="77" t="s">
        <v>243</v>
      </c>
      <c r="D25" s="78">
        <v>44926</v>
      </c>
      <c r="E25" s="79" t="s">
        <v>10</v>
      </c>
      <c r="F25" s="80">
        <v>86.5</v>
      </c>
      <c r="G25" s="321">
        <f>IF(OR(E25="",F25=""),"",PID_KVLohnLookup($A$1,E25,F25,LOHNTABELLE!$H$4))</f>
        <v>1150</v>
      </c>
      <c r="H25" s="322">
        <f>IF(AND(ISNUMBER(D25),ISNUMBER(F25)),ROUNDDOWN(MIN(IF(OR(ISBLANK(I25),I25=""),EOMONTH(DATE(EINSTELLUNG!$C$35,$A$1,1),0),I25)-MAX(D25,DATE(EINSTELLUNG!$C$35,$A$1,1))+1)/DAY(EOMONTH(DATE(EINSTELLUNG!$C$35,$A$1,1),0))*F25,2),"")</f>
        <v>86.5</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412"/>
      <c r="P25" s="354"/>
      <c r="Q25" s="355"/>
      <c r="R25" s="356"/>
      <c r="S25" s="319"/>
      <c r="T25" s="319"/>
      <c r="U25" s="319"/>
      <c r="V25" s="319"/>
    </row>
    <row r="26" spans="1:29" ht="22" customHeight="1">
      <c r="A26" s="402" t="s">
        <v>82</v>
      </c>
      <c r="B26" s="128">
        <v>401602</v>
      </c>
      <c r="C26" s="69" t="s">
        <v>244</v>
      </c>
      <c r="D26" s="70">
        <v>45975</v>
      </c>
      <c r="E26" s="71" t="s">
        <v>2</v>
      </c>
      <c r="F26" s="72">
        <v>86.5</v>
      </c>
      <c r="G26" s="321">
        <f>IF(OR(E26="",F26=""),"",PID_KVLohnLookup($A$1,E26,F26,LOHNTABELLE!$H$4))</f>
        <v>1010.5</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412"/>
      <c r="P26" s="354"/>
      <c r="Q26" s="355"/>
      <c r="R26" s="356"/>
      <c r="S26" s="319"/>
      <c r="T26" s="319"/>
      <c r="U26" s="319"/>
      <c r="V26" s="319"/>
    </row>
    <row r="27" spans="1:29" ht="22" customHeight="1">
      <c r="A27" s="402" t="s">
        <v>83</v>
      </c>
      <c r="B27" s="129">
        <v>401605</v>
      </c>
      <c r="C27" s="94" t="s">
        <v>245</v>
      </c>
      <c r="D27" s="81">
        <v>44986</v>
      </c>
      <c r="E27" s="79" t="s">
        <v>2</v>
      </c>
      <c r="F27" s="80">
        <v>86.5</v>
      </c>
      <c r="G27" s="321">
        <f>IF(OR(E27="",F27=""),"",PID_KVLohnLookup($A$1,E27,F27,LOHNTABELLE!$H$4))</f>
        <v>1010.5</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412"/>
      <c r="P27" s="354"/>
      <c r="Q27" s="355"/>
      <c r="R27" s="356"/>
      <c r="S27" s="357" t="s">
        <v>84</v>
      </c>
      <c r="T27" s="357"/>
      <c r="U27" s="357"/>
      <c r="V27" s="357"/>
    </row>
    <row r="28" spans="1:29" ht="22" customHeight="1">
      <c r="A28" s="402" t="s">
        <v>85</v>
      </c>
      <c r="B28" s="128">
        <v>401605</v>
      </c>
      <c r="C28" s="69" t="s">
        <v>473</v>
      </c>
      <c r="D28" s="73">
        <v>36850</v>
      </c>
      <c r="E28" s="71" t="s">
        <v>10</v>
      </c>
      <c r="F28" s="72">
        <v>151.38</v>
      </c>
      <c r="G28" s="321">
        <f>IF(OR(E28="",F28=""),"",PID_KVLohnLookup($A$1,E28,F28,LOHNTABELLE!$H$4))</f>
        <v>2012.5</v>
      </c>
      <c r="H28" s="322">
        <f>IF(AND(ISNUMBER(D28),ISNUMBER(F28)),ROUNDDOWN(MIN(IF(OR(ISBLANK(I28),I28=""),EOMONTH(DATE(EINSTELLUNG!$C$35,$A$1,1),0),I28)-MAX(D28,DATE(EINSTELLUNG!$C$35,$A$1,1))+1)/DAY(EOMONTH(DATE(EINSTELLUNG!$C$35,$A$1,1),0))*F28,2),"")</f>
        <v>151.38</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12"/>
      <c r="P28" s="354"/>
      <c r="Q28" s="355"/>
      <c r="R28" s="356"/>
      <c r="S28" s="319"/>
      <c r="T28" s="319"/>
      <c r="U28" s="319"/>
      <c r="V28" s="319"/>
    </row>
    <row r="29" spans="1:29" ht="22" customHeight="1" thickBot="1">
      <c r="A29" s="402" t="s">
        <v>86</v>
      </c>
      <c r="B29" s="129">
        <v>401626</v>
      </c>
      <c r="C29" s="77" t="s">
        <v>246</v>
      </c>
      <c r="D29" s="78">
        <v>45063</v>
      </c>
      <c r="E29" s="79" t="s">
        <v>2</v>
      </c>
      <c r="F29" s="80">
        <v>86.5</v>
      </c>
      <c r="G29" s="321">
        <f>IF(OR(E29="",F29=""),"",PID_KVLohnLookup($A$1,E29,F29,LOHNTABELLE!$H$4))</f>
        <v>1010.5</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413" t="s">
        <v>87</v>
      </c>
      <c r="P29" s="342"/>
      <c r="Q29" s="358">
        <f>EINSTELLUNG!O9</f>
        <v>1250</v>
      </c>
      <c r="R29" s="359"/>
      <c r="S29" s="319"/>
      <c r="T29" s="319"/>
      <c r="U29" s="319"/>
      <c r="V29" s="319"/>
    </row>
    <row r="30" spans="1:29" ht="22" customHeight="1" thickBot="1">
      <c r="A30" s="402" t="s">
        <v>88</v>
      </c>
      <c r="B30" s="128">
        <v>401633</v>
      </c>
      <c r="C30" s="69" t="s">
        <v>247</v>
      </c>
      <c r="D30" s="73">
        <v>45089</v>
      </c>
      <c r="E30" s="71" t="s">
        <v>10</v>
      </c>
      <c r="F30" s="72">
        <v>86.5</v>
      </c>
      <c r="G30" s="321">
        <f>IF(OR(E30="",F30=""),"",PID_KVLohnLookup($A$1,E30,F30,LOHNTABELLE!$H$4))</f>
        <v>1150</v>
      </c>
      <c r="H30" s="322">
        <f>IF(AND(ISNUMBER(D30),ISNUMBER(F30)),ROUNDDOWN(MIN(IF(OR(ISBLANK(I30),I30=""),EOMONTH(DATE(EINSTELLUNG!$C$35,$A$1,1),0),I30)-MAX(D30,DATE(EINSTELLUNG!$C$35,$A$1,1))+1)/DAY(EOMONTH(DATE(EINSTELLUNG!$C$35,$A$1,1),0))*F30,2),"")</f>
        <v>86.5</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401647</v>
      </c>
      <c r="C31" s="77" t="s">
        <v>248</v>
      </c>
      <c r="D31" s="78">
        <v>45182</v>
      </c>
      <c r="E31" s="79" t="s">
        <v>2</v>
      </c>
      <c r="F31" s="80">
        <v>86.5</v>
      </c>
      <c r="G31" s="321">
        <f>IF(OR(E31="",F31=""),"",PID_KVLohnLookup($A$1,E31,F31,LOHNTABELLE!$H$4))</f>
        <v>1010.5</v>
      </c>
      <c r="H31" s="322">
        <f>IF(AND(ISNUMBER(D31),ISNUMBER(F31)),ROUNDDOWN(MIN(IF(OR(ISBLANK(I31),I31=""),EOMONTH(DATE(EINSTELLUNG!$C$35,$A$1,1),0),I31)-MAX(D31,DATE(EINSTELLUNG!$C$35,$A$1,1))+1)/DAY(EOMONTH(DATE(EINSTELLUNG!$C$35,$A$1,1),0))*F31,2),"")</f>
        <v>86.5</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414">
        <v>0</v>
      </c>
      <c r="P31" s="362"/>
      <c r="Q31" s="363">
        <v>1.6129032258064516E-2</v>
      </c>
      <c r="R31" s="364"/>
      <c r="S31" s="319"/>
      <c r="T31" s="319"/>
      <c r="U31" s="319"/>
      <c r="V31" s="319"/>
    </row>
    <row r="32" spans="1:29" ht="22" customHeight="1" thickBot="1">
      <c r="A32" s="402" t="s">
        <v>91</v>
      </c>
      <c r="B32" s="128">
        <v>401661</v>
      </c>
      <c r="C32" s="69" t="s">
        <v>249</v>
      </c>
      <c r="D32" s="70">
        <v>45261</v>
      </c>
      <c r="E32" s="71" t="s">
        <v>2</v>
      </c>
      <c r="F32" s="72">
        <v>86.5</v>
      </c>
      <c r="G32" s="321">
        <f>IF(OR(E32="",F32=""),"",PID_KVLohnLookup($A$1,E32,F32,LOHNTABELLE!$H$4))</f>
        <v>1010.5</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319"/>
      <c r="P32" s="319"/>
      <c r="Q32" s="319"/>
      <c r="R32" s="319"/>
      <c r="S32" s="319"/>
      <c r="T32" s="319"/>
      <c r="U32" s="319"/>
      <c r="V32" s="319"/>
    </row>
    <row r="33" spans="1:22" ht="22" customHeight="1">
      <c r="A33" s="402" t="s">
        <v>92</v>
      </c>
      <c r="B33" s="129">
        <v>401670</v>
      </c>
      <c r="C33" s="77" t="s">
        <v>250</v>
      </c>
      <c r="D33" s="81">
        <v>45358</v>
      </c>
      <c r="E33" s="79" t="s">
        <v>2</v>
      </c>
      <c r="F33" s="80">
        <v>86.5</v>
      </c>
      <c r="G33" s="321">
        <f>IF(OR(E33="",F33=""),"",PID_KVLohnLookup($A$1,E33,F33,LOHNTABELLE!$H$4))</f>
        <v>1010.5</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401678</v>
      </c>
      <c r="C34" s="69" t="s">
        <v>251</v>
      </c>
      <c r="D34" s="70">
        <v>45414</v>
      </c>
      <c r="E34" s="71" t="s">
        <v>2</v>
      </c>
      <c r="F34" s="72">
        <v>86.5</v>
      </c>
      <c r="G34" s="321">
        <f>IF(OR(E34="",F34=""),"",PID_KVLohnLookup($A$1,E34,F34,LOHNTABELLE!$H$4))</f>
        <v>1010.5</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416"/>
      <c r="P34" s="368"/>
      <c r="Q34" s="369"/>
      <c r="R34" s="369"/>
      <c r="S34" s="369"/>
      <c r="T34" s="369"/>
      <c r="U34" s="369"/>
      <c r="V34" s="370"/>
    </row>
    <row r="35" spans="1:22" ht="22" customHeight="1">
      <c r="A35" s="402" t="s">
        <v>97</v>
      </c>
      <c r="B35" s="129">
        <v>401690</v>
      </c>
      <c r="C35" s="77" t="s">
        <v>253</v>
      </c>
      <c r="D35" s="78">
        <v>45536</v>
      </c>
      <c r="E35" s="79" t="s">
        <v>2</v>
      </c>
      <c r="F35" s="80">
        <v>86.5</v>
      </c>
      <c r="G35" s="321">
        <f>IF(OR(E35="",F35=""),"",PID_KVLohnLookup($A$1,E35,F35,LOHNTABELLE!$H$4))</f>
        <v>1010.5</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417" t="s">
        <v>98</v>
      </c>
      <c r="P35" s="337"/>
      <c r="Q35" s="371">
        <f>EINSTELLUNG!C9</f>
        <v>400000</v>
      </c>
      <c r="R35" s="371"/>
      <c r="S35" s="371">
        <f>EINSTELLUNG!C25</f>
        <v>300000</v>
      </c>
      <c r="T35" s="371"/>
      <c r="U35" s="371">
        <f>S35-Q35</f>
        <v>-100000</v>
      </c>
      <c r="V35" s="372"/>
    </row>
    <row r="36" spans="1:22" ht="22" customHeight="1">
      <c r="A36" s="402" t="s">
        <v>99</v>
      </c>
      <c r="B36" s="128">
        <v>401703</v>
      </c>
      <c r="C36" s="69" t="s">
        <v>254</v>
      </c>
      <c r="D36" s="70">
        <v>45616</v>
      </c>
      <c r="E36" s="71" t="s">
        <v>2</v>
      </c>
      <c r="F36" s="72">
        <v>86.5</v>
      </c>
      <c r="G36" s="321">
        <f>IF(OR(E36="",F36=""),"",PID_KVLohnLookup($A$1,E36,F36,LOHNTABELLE!$H$4))</f>
        <v>1010.5</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417" t="s">
        <v>100</v>
      </c>
      <c r="P36" s="337"/>
      <c r="Q36" s="371">
        <f>EINSTELLUNG!D9</f>
        <v>100000</v>
      </c>
      <c r="R36" s="371"/>
      <c r="S36" s="371">
        <f ca="1">SumMergedCells(Q17:R29)</f>
        <v>99166.863299999997</v>
      </c>
      <c r="T36" s="371"/>
      <c r="U36" s="371">
        <f t="shared" ref="U36:U41" ca="1" si="2">S36-Q36</f>
        <v>-833.13670000000275</v>
      </c>
      <c r="V36" s="372"/>
    </row>
    <row r="37" spans="1:22" ht="22" customHeight="1">
      <c r="A37" s="402" t="s">
        <v>101</v>
      </c>
      <c r="B37" s="129">
        <v>401715</v>
      </c>
      <c r="C37" s="77" t="s">
        <v>256</v>
      </c>
      <c r="D37" s="78">
        <v>45755</v>
      </c>
      <c r="E37" s="79" t="s">
        <v>2</v>
      </c>
      <c r="F37" s="80">
        <v>86.5</v>
      </c>
      <c r="G37" s="321">
        <f>IF(OR(E37="",F37=""),"",PID_KVLohnLookup($A$1,E37,F37,LOHNTABELLE!$H$4))</f>
        <v>1010.5</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417" t="s">
        <v>102</v>
      </c>
      <c r="P37" s="337"/>
      <c r="Q37" s="373">
        <f>IF(ISERROR(Q36/Q35), 0, Q36/Q35)</f>
        <v>0.25</v>
      </c>
      <c r="R37" s="373"/>
      <c r="S37" s="373">
        <f ca="1">IF(ISERROR(S36/S35), 0, S36/S35)</f>
        <v>0.33055621099999999</v>
      </c>
      <c r="T37" s="373"/>
      <c r="U37" s="373">
        <f t="shared" ca="1" si="2"/>
        <v>8.0556210999999989E-2</v>
      </c>
      <c r="V37" s="374"/>
    </row>
    <row r="38" spans="1:22" ht="22" customHeight="1">
      <c r="A38" s="402" t="s">
        <v>103</v>
      </c>
      <c r="B38" s="128">
        <v>401716</v>
      </c>
      <c r="C38" s="69" t="s">
        <v>257</v>
      </c>
      <c r="D38" s="70">
        <v>45800</v>
      </c>
      <c r="E38" s="71" t="s">
        <v>2</v>
      </c>
      <c r="F38" s="72">
        <v>86.5</v>
      </c>
      <c r="G38" s="321">
        <f>IF(OR(E38="",F38=""),"",PID_KVLohnLookup($A$1,E38,F38,LOHNTABELLE!$H$4))</f>
        <v>1010.5</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417" t="s">
        <v>104</v>
      </c>
      <c r="P38" s="337"/>
      <c r="Q38" s="338">
        <f>EINSTELLUNG!F9</f>
        <v>30000</v>
      </c>
      <c r="R38" s="338"/>
      <c r="S38" s="338">
        <f>EINSTELLUNG!F25</f>
        <v>25000</v>
      </c>
      <c r="T38" s="338"/>
      <c r="U38" s="338">
        <f t="shared" si="2"/>
        <v>-5000</v>
      </c>
      <c r="V38" s="339"/>
    </row>
    <row r="39" spans="1:22" ht="22" customHeight="1">
      <c r="A39" s="402" t="s">
        <v>105</v>
      </c>
      <c r="B39" s="129">
        <v>401717</v>
      </c>
      <c r="C39" s="77" t="s">
        <v>258</v>
      </c>
      <c r="D39" s="78">
        <v>45814</v>
      </c>
      <c r="E39" s="79" t="s">
        <v>2</v>
      </c>
      <c r="F39" s="80">
        <v>86.5</v>
      </c>
      <c r="G39" s="321">
        <f>IF(OR(E39="",F39=""),"",PID_KVLohnLookup($A$1,E39,F39,LOHNTABELLE!$H$4))</f>
        <v>1010.5</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417" t="s">
        <v>106</v>
      </c>
      <c r="P39" s="337"/>
      <c r="Q39" s="371">
        <f>IF(Q38=0, 0, Q35/Q38)</f>
        <v>13.333333333333334</v>
      </c>
      <c r="R39" s="371"/>
      <c r="S39" s="371">
        <f>IF(S38=0, 0, S35/S38)</f>
        <v>12</v>
      </c>
      <c r="T39" s="371"/>
      <c r="U39" s="371">
        <f t="shared" si="2"/>
        <v>-1.3333333333333339</v>
      </c>
      <c r="V39" s="372"/>
    </row>
    <row r="40" spans="1:22" ht="22" customHeight="1">
      <c r="A40" s="402" t="s">
        <v>107</v>
      </c>
      <c r="B40" s="128">
        <v>401722</v>
      </c>
      <c r="C40" s="69" t="s">
        <v>259</v>
      </c>
      <c r="D40" s="70">
        <v>45848</v>
      </c>
      <c r="E40" s="71" t="s">
        <v>2</v>
      </c>
      <c r="F40" s="72">
        <v>86.5</v>
      </c>
      <c r="G40" s="321">
        <f>IF(OR(E40="",F40=""),"",PID_KVLohnLookup($A$1,E40,F40,LOHNTABELLE!$H$4))</f>
        <v>1010.5</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17" t="s">
        <v>108</v>
      </c>
      <c r="P40" s="337"/>
      <c r="Q40" s="371">
        <f>IF(Q13=0, 0, Q35/Q13)</f>
        <v>53.746103407502957</v>
      </c>
      <c r="R40" s="371"/>
      <c r="S40" s="371">
        <f>IF(Q13=0, 0, S35/Q13)</f>
        <v>40.309577555627222</v>
      </c>
      <c r="T40" s="371"/>
      <c r="U40" s="371">
        <f t="shared" si="2"/>
        <v>-13.436525851875736</v>
      </c>
      <c r="V40" s="372"/>
    </row>
    <row r="41" spans="1:22" ht="22" customHeight="1">
      <c r="A41" s="402" t="s">
        <v>109</v>
      </c>
      <c r="B41" s="129">
        <v>401723</v>
      </c>
      <c r="C41" s="77" t="s">
        <v>260</v>
      </c>
      <c r="D41" s="78">
        <v>45852</v>
      </c>
      <c r="E41" s="79" t="s">
        <v>2</v>
      </c>
      <c r="F41" s="80">
        <v>86.5</v>
      </c>
      <c r="G41" s="321">
        <f>IF(OR(E41="",F41=""),"",PID_KVLohnLookup($A$1,E41,F41,LOHNTABELLE!$H$4))</f>
        <v>1010.5</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17" t="s">
        <v>110</v>
      </c>
      <c r="P41" s="337"/>
      <c r="Q41" s="338">
        <f>IF(Q13=0, 0, Q38/Q13)</f>
        <v>4.0309577555627216</v>
      </c>
      <c r="R41" s="338"/>
      <c r="S41" s="338">
        <f>IF(Q13=0, 0, S38/Q13)</f>
        <v>3.3591314629689348</v>
      </c>
      <c r="T41" s="338"/>
      <c r="U41" s="338">
        <f t="shared" si="2"/>
        <v>-0.67182629259378679</v>
      </c>
      <c r="V41" s="339"/>
    </row>
    <row r="42" spans="1:22" ht="22" customHeight="1">
      <c r="A42" s="402" t="s">
        <v>111</v>
      </c>
      <c r="B42" s="128">
        <v>401726</v>
      </c>
      <c r="C42" s="69" t="s">
        <v>261</v>
      </c>
      <c r="D42" s="70">
        <v>45870</v>
      </c>
      <c r="E42" s="71" t="s">
        <v>2</v>
      </c>
      <c r="F42" s="72">
        <v>86.5</v>
      </c>
      <c r="G42" s="321">
        <f>IF(OR(E42="",F42=""),"",PID_KVLohnLookup($A$1,E42,F42,LOHNTABELLE!$H$4))</f>
        <v>1010.5</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18" t="s">
        <v>112</v>
      </c>
      <c r="P42" s="376"/>
      <c r="Q42" s="377">
        <f>IFERROR(Q17/Q8, 0)</f>
        <v>11.646195168254289</v>
      </c>
      <c r="R42" s="377"/>
      <c r="S42" s="377"/>
      <c r="T42" s="377"/>
      <c r="U42" s="377"/>
      <c r="V42" s="378"/>
    </row>
    <row r="43" spans="1:22" ht="22" customHeight="1">
      <c r="A43" s="402" t="s">
        <v>113</v>
      </c>
      <c r="B43" s="129">
        <v>401730</v>
      </c>
      <c r="C43" s="77" t="s">
        <v>263</v>
      </c>
      <c r="D43" s="78">
        <v>45895</v>
      </c>
      <c r="E43" s="79" t="s">
        <v>2</v>
      </c>
      <c r="F43" s="80">
        <v>86.5</v>
      </c>
      <c r="G43" s="321">
        <f>IF(OR(E43="",F43=""),"",PID_KVLohnLookup($A$1,E43,F43,LOHNTABELLE!$H$4))</f>
        <v>1010.5</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79"/>
      <c r="P43" s="379"/>
      <c r="Q43" s="379"/>
      <c r="R43" s="319"/>
      <c r="S43" s="319"/>
      <c r="T43" s="319"/>
      <c r="U43" s="319"/>
      <c r="V43" s="319"/>
    </row>
    <row r="44" spans="1:22" ht="22" customHeight="1">
      <c r="A44" s="402" t="s">
        <v>114</v>
      </c>
      <c r="B44" s="128">
        <v>401731</v>
      </c>
      <c r="C44" s="69" t="s">
        <v>262</v>
      </c>
      <c r="D44" s="70">
        <v>45899</v>
      </c>
      <c r="E44" s="71" t="s">
        <v>2</v>
      </c>
      <c r="F44" s="72">
        <v>86.5</v>
      </c>
      <c r="G44" s="321">
        <f>IF(OR(E44="",F44=""),"",PID_KVLohnLookup($A$1,E44,F44,LOHNTABELLE!$H$4))</f>
        <v>1010.5</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80" t="s">
        <v>115</v>
      </c>
      <c r="P44" s="380"/>
      <c r="Q44" s="380"/>
      <c r="R44" s="380"/>
      <c r="S44" s="380"/>
      <c r="T44" s="380"/>
      <c r="U44" s="380"/>
      <c r="V44" s="380"/>
    </row>
    <row r="45" spans="1:22" ht="22" customHeight="1">
      <c r="A45" s="402" t="s">
        <v>116</v>
      </c>
      <c r="B45" s="129">
        <v>401734</v>
      </c>
      <c r="C45" s="77" t="s">
        <v>264</v>
      </c>
      <c r="D45" s="78">
        <v>45904</v>
      </c>
      <c r="E45" s="79" t="s">
        <v>2</v>
      </c>
      <c r="F45" s="80">
        <v>86.5</v>
      </c>
      <c r="G45" s="321">
        <f>IF(OR(E45="",F45=""),"",PID_KVLohnLookup($A$1,E45,F45,LOHNTABELLE!$H$4))</f>
        <v>1010.5</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81"/>
      <c r="P45" s="381"/>
      <c r="Q45" s="381"/>
      <c r="R45" s="382"/>
      <c r="S45" s="382"/>
      <c r="T45" s="382"/>
      <c r="U45" s="382"/>
      <c r="V45" s="319"/>
    </row>
    <row r="46" spans="1:22" ht="22" customHeight="1">
      <c r="A46" s="402" t="s">
        <v>117</v>
      </c>
      <c r="B46" s="128">
        <v>401736</v>
      </c>
      <c r="C46" s="69" t="s">
        <v>265</v>
      </c>
      <c r="D46" s="70">
        <v>45906</v>
      </c>
      <c r="E46" s="71" t="s">
        <v>2</v>
      </c>
      <c r="F46" s="72">
        <v>86.5</v>
      </c>
      <c r="G46" s="321">
        <f>IF(OR(E46="",F46=""),"",PID_KVLohnLookup($A$1,E46,F46,LOHNTABELLE!$H$4))</f>
        <v>1010.5</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19"/>
      <c r="P46" s="319"/>
      <c r="Q46" s="319"/>
      <c r="R46" s="319"/>
      <c r="S46" s="319"/>
      <c r="T46" s="319"/>
      <c r="U46" s="319"/>
      <c r="V46" s="319"/>
    </row>
    <row r="47" spans="1:22" ht="22" customHeight="1">
      <c r="A47" s="402" t="s">
        <v>118</v>
      </c>
      <c r="B47" s="129">
        <v>401737</v>
      </c>
      <c r="C47" s="77" t="s">
        <v>266</v>
      </c>
      <c r="D47" s="78">
        <v>45906</v>
      </c>
      <c r="E47" s="79" t="s">
        <v>2</v>
      </c>
      <c r="F47" s="80">
        <v>86.5</v>
      </c>
      <c r="G47" s="321">
        <f>IF(OR(E47="",F47=""),"",PID_KVLohnLookup($A$1,E47,F47,LOHNTABELLE!$H$4))</f>
        <v>1010.5</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19"/>
      <c r="P47" s="319"/>
      <c r="Q47" s="319"/>
      <c r="R47" s="319"/>
      <c r="S47" s="319"/>
      <c r="T47" s="319"/>
      <c r="U47" s="319"/>
      <c r="V47" s="319"/>
    </row>
    <row r="48" spans="1:22" ht="22" customHeight="1">
      <c r="A48" s="402" t="s">
        <v>119</v>
      </c>
      <c r="B48" s="128">
        <v>401738</v>
      </c>
      <c r="C48" s="69" t="s">
        <v>267</v>
      </c>
      <c r="D48" s="70">
        <v>45909</v>
      </c>
      <c r="E48" s="71" t="s">
        <v>2</v>
      </c>
      <c r="F48" s="72">
        <v>86.5</v>
      </c>
      <c r="G48" s="321">
        <f>IF(OR(E48="",F48=""),"",PID_KVLohnLookup($A$1,E48,F48,LOHNTABELLE!$H$4))</f>
        <v>1010.5</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19"/>
      <c r="P48" s="319"/>
      <c r="Q48" s="319"/>
      <c r="R48" s="319"/>
      <c r="S48" s="319"/>
      <c r="T48" s="319"/>
      <c r="U48" s="319"/>
      <c r="V48" s="319"/>
    </row>
    <row r="49" spans="1:22" ht="22" customHeight="1">
      <c r="A49" s="402" t="s">
        <v>120</v>
      </c>
      <c r="B49" s="129">
        <v>401745</v>
      </c>
      <c r="C49" s="77" t="s">
        <v>271</v>
      </c>
      <c r="D49" s="78">
        <v>45934</v>
      </c>
      <c r="E49" s="79" t="s">
        <v>2</v>
      </c>
      <c r="F49" s="80">
        <v>86.5</v>
      </c>
      <c r="G49" s="321">
        <f>IF(OR(E49="",F49=""),"",PID_KVLohnLookup($A$1,E49,F49,LOHNTABELLE!$H$4))</f>
        <v>1010.5</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19"/>
      <c r="P49" s="319"/>
      <c r="Q49" s="319"/>
      <c r="R49" s="319"/>
      <c r="S49" s="319"/>
      <c r="T49" s="319"/>
      <c r="U49" s="319"/>
      <c r="V49" s="319"/>
    </row>
    <row r="50" spans="1:22" ht="22" customHeight="1">
      <c r="A50" s="402" t="s">
        <v>121</v>
      </c>
      <c r="B50" s="128">
        <v>401746</v>
      </c>
      <c r="C50" s="69" t="s">
        <v>270</v>
      </c>
      <c r="D50" s="70">
        <v>45941</v>
      </c>
      <c r="E50" s="71" t="s">
        <v>2</v>
      </c>
      <c r="F50" s="72">
        <v>86.5</v>
      </c>
      <c r="G50" s="321">
        <f>IF(OR(E50="",F50=""),"",PID_KVLohnLookup($A$1,E50,F50,LOHNTABELLE!$H$4))</f>
        <v>1010.5</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19"/>
      <c r="P50" s="319"/>
      <c r="Q50" s="319"/>
      <c r="R50" s="319"/>
      <c r="S50" s="319"/>
      <c r="T50" s="319"/>
      <c r="U50" s="319"/>
      <c r="V50" s="319"/>
    </row>
    <row r="51" spans="1:22" ht="22" customHeight="1">
      <c r="A51" s="402" t="s">
        <v>122</v>
      </c>
      <c r="B51" s="129">
        <v>401747</v>
      </c>
      <c r="C51" s="77" t="s">
        <v>268</v>
      </c>
      <c r="D51" s="78">
        <v>45941</v>
      </c>
      <c r="E51" s="79" t="s">
        <v>2</v>
      </c>
      <c r="F51" s="80">
        <v>86.5</v>
      </c>
      <c r="G51" s="321">
        <f>IF(OR(E51="",F51=""),"",PID_KVLohnLookup($A$1,E51,F51,LOHNTABELLE!$H$4))</f>
        <v>1010.5</v>
      </c>
      <c r="H51" s="322">
        <f>IF(AND(ISNUMBER(D51),ISNUMBER(F51)),ROUNDDOWN(MIN(IF(OR(ISBLANK(I51),I51=""),EOMONTH(DATE(EINSTELLUNG!$C$35,$A$1,1),0),I51)-MAX(D51,DATE(EINSTELLUNG!$C$35,$A$1,1))+1)/DAY(EOMONTH(DATE(EINSTELLUNG!$C$35,$A$1,1),0))*F51,2),"")</f>
        <v>86.5</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402" t="s">
        <v>123</v>
      </c>
      <c r="B52" s="128">
        <v>401748</v>
      </c>
      <c r="C52" s="69" t="s">
        <v>269</v>
      </c>
      <c r="D52" s="70">
        <v>45941</v>
      </c>
      <c r="E52" s="71" t="s">
        <v>2</v>
      </c>
      <c r="F52" s="72">
        <v>86.5</v>
      </c>
      <c r="G52" s="321">
        <f>IF(OR(E52="",F52=""),"",PID_KVLohnLookup($A$1,E52,F52,LOHNTABELLE!$H$4))</f>
        <v>1010.5</v>
      </c>
      <c r="H52" s="322">
        <f>IF(AND(ISNUMBER(D52),ISNUMBER(F52)),ROUNDDOWN(MIN(IF(OR(ISBLANK(I52),I52=""),EOMONTH(DATE(EINSTELLUNG!$C$35,$A$1,1),0),I52)-MAX(D52,DATE(EINSTELLUNG!$C$35,$A$1,1))+1)/DAY(EOMONTH(DATE(EINSTELLUNG!$C$35,$A$1,1),0))*F52,2),"")</f>
        <v>86.5</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02" t="s">
        <v>124</v>
      </c>
      <c r="B53" s="129">
        <v>401751</v>
      </c>
      <c r="C53" s="77" t="s">
        <v>272</v>
      </c>
      <c r="D53" s="78">
        <v>45961</v>
      </c>
      <c r="E53" s="79" t="s">
        <v>2</v>
      </c>
      <c r="F53" s="80">
        <v>86.5</v>
      </c>
      <c r="G53" s="321">
        <f>IF(OR(E53="",F53=""),"",PID_KVLohnLookup($A$1,E53,F53,LOHNTABELLE!$H$4))</f>
        <v>1010.5</v>
      </c>
      <c r="H53" s="322">
        <f>IF(AND(ISNUMBER(D53),ISNUMBER(F53)),ROUNDDOWN(MIN(IF(OR(ISBLANK(I53),I53=""),EOMONTH(DATE(EINSTELLUNG!$C$35,$A$1,1),0),I53)-MAX(D53,DATE(EINSTELLUNG!$C$35,$A$1,1))+1)/DAY(EOMONTH(DATE(EINSTELLUNG!$C$35,$A$1,1),0))*F53,2),"")</f>
        <v>86.5</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02" t="s">
        <v>125</v>
      </c>
      <c r="B54" s="128">
        <v>401752</v>
      </c>
      <c r="C54" s="69" t="s">
        <v>273</v>
      </c>
      <c r="D54" s="73">
        <v>45986</v>
      </c>
      <c r="E54" s="71" t="s">
        <v>2</v>
      </c>
      <c r="F54" s="72">
        <v>86.5</v>
      </c>
      <c r="G54" s="321">
        <f>IF(OR(E54="",F54=""),"",PID_KVLohnLookup($A$1,E54,F54,LOHNTABELLE!$H$4))</f>
        <v>1010.5</v>
      </c>
      <c r="H54" s="322">
        <f>IF(AND(ISNUMBER(D54),ISNUMBER(F54)),ROUNDDOWN(MIN(IF(OR(ISBLANK(I54),I54=""),EOMONTH(DATE(EINSTELLUNG!$C$35,$A$1,1),0),I54)-MAX(D54,DATE(EINSTELLUNG!$C$35,$A$1,1))+1)/DAY(EOMONTH(DATE(EINSTELLUNG!$C$35,$A$1,1),0))*F54,2),"")</f>
        <v>86.5</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402" t="s">
        <v>126</v>
      </c>
      <c r="B55" s="129">
        <v>401999</v>
      </c>
      <c r="C55" s="77" t="s">
        <v>423</v>
      </c>
      <c r="D55" s="78">
        <v>46041</v>
      </c>
      <c r="E55" s="79" t="s">
        <v>2</v>
      </c>
      <c r="F55" s="80">
        <v>151.38</v>
      </c>
      <c r="G55" s="321">
        <f>IF(OR(E55="",F55=""),"",PID_KVLohnLookup($A$1,E55,F55,LOHNTABELLE!$H$4))</f>
        <v>1768.38</v>
      </c>
      <c r="H55" s="322">
        <f>IF(AND(ISNUMBER(D55),ISNUMBER(F55)),ROUNDDOWN(MIN(IF(OR(ISBLANK(I55),I55=""),EOMONTH(DATE(EINSTELLUNG!$C$35,$A$1,1),0),I55)-MAX(D55,DATE(EINSTELLUNG!$C$35,$A$1,1))+1)/DAY(EOMONTH(DATE(EINSTELLUNG!$C$35,$A$1,1),0))*F55,2),"")</f>
        <v>151.38</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402" t="s">
        <v>127</v>
      </c>
      <c r="B56" s="128">
        <v>401999</v>
      </c>
      <c r="C56" s="69" t="s">
        <v>295</v>
      </c>
      <c r="D56" s="73">
        <v>46082</v>
      </c>
      <c r="E56" s="71" t="s">
        <v>2</v>
      </c>
      <c r="F56" s="72">
        <v>173</v>
      </c>
      <c r="G56" s="321">
        <f>IF(OR(E56="",F56=""),"",PID_KVLohnLookup($A$1,E56,F56,LOHNTABELLE!$H$4))</f>
        <v>2021</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402" t="s">
        <v>128</v>
      </c>
      <c r="B57" s="129">
        <v>402004</v>
      </c>
      <c r="C57" s="77" t="s">
        <v>299</v>
      </c>
      <c r="D57" s="81">
        <v>46122</v>
      </c>
      <c r="E57" s="79" t="s">
        <v>2</v>
      </c>
      <c r="F57" s="80">
        <v>173</v>
      </c>
      <c r="G57" s="321">
        <f>IF(OR(E57="",F57=""),"",PID_KVLohnLookup($A$1,E57,F57,LOHNTABELLE!$H$4))</f>
        <v>2021</v>
      </c>
      <c r="H57" s="322">
        <f>IF(AND(ISNUMBER(D57),ISNUMBER(F57)),ROUNDDOWN(MIN(IF(OR(ISBLANK(I57),I57=""),EOMONTH(DATE(EINSTELLUNG!$C$35,$A$1,1),0),I57)-MAX(D57,DATE(EINSTELLUNG!$C$35,$A$1,1))+1)/DAY(EOMONTH(DATE(EINSTELLUNG!$C$35,$A$1,1),0))*F57,2),"")</f>
        <v>121.1</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402" t="s">
        <v>129</v>
      </c>
      <c r="B58" s="128">
        <v>402405</v>
      </c>
      <c r="C58" s="69" t="s">
        <v>301</v>
      </c>
      <c r="D58" s="73">
        <v>46054</v>
      </c>
      <c r="E58" s="71" t="s">
        <v>2</v>
      </c>
      <c r="F58" s="72">
        <v>173</v>
      </c>
      <c r="G58" s="321">
        <f>IF(OR(E58="",F58=""),"",PID_KVLohnLookup($A$1,E58,F58,LOHNTABELLE!$H$4))</f>
        <v>2021</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02" t="s">
        <v>130</v>
      </c>
      <c r="B59" s="129">
        <v>500600</v>
      </c>
      <c r="C59" s="77" t="s">
        <v>305</v>
      </c>
      <c r="D59" s="81">
        <v>46054</v>
      </c>
      <c r="E59" s="79" t="s">
        <v>2</v>
      </c>
      <c r="F59" s="80">
        <v>173</v>
      </c>
      <c r="G59" s="321">
        <f>IF(OR(E59="",F59=""),"",PID_KVLohnLookup($A$1,E59,F59,LOHNTABELLE!$H$4))</f>
        <v>2021</v>
      </c>
      <c r="H59" s="322">
        <f>IF(AND(ISNUMBER(D59),ISNUMBER(F59)),ROUNDDOWN(MIN(IF(OR(ISBLANK(I59),I59=""),EOMONTH(DATE(EINSTELLUNG!$C$35,$A$1,1),0),I59)-MAX(D59,DATE(EINSTELLUNG!$C$35,$A$1,1))+1)/DAY(EOMONTH(DATE(EINSTELLUNG!$C$35,$A$1,1),0))*F59,2),"")</f>
        <v>173</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02" t="s">
        <v>131</v>
      </c>
      <c r="B60" s="128">
        <v>503000</v>
      </c>
      <c r="C60" s="69" t="s">
        <v>302</v>
      </c>
      <c r="D60" s="73">
        <v>42401</v>
      </c>
      <c r="E60" s="71" t="s">
        <v>2</v>
      </c>
      <c r="F60" s="72">
        <v>173</v>
      </c>
      <c r="G60" s="321">
        <f>IF(OR(E60="",F60=""),"",PID_KVLohnLookup($A$1,E60,F60,LOHNTABELLE!$H$4))</f>
        <v>2021</v>
      </c>
      <c r="H60" s="322">
        <f>IF(AND(ISNUMBER(D60),ISNUMBER(F60)),ROUNDDOWN(MIN(IF(OR(ISBLANK(I60),I60=""),EOMONTH(DATE(EINSTELLUNG!$C$35,$A$1,1),0),I60)-MAX(D60,DATE(EINSTELLUNG!$C$35,$A$1,1))+1)/DAY(EOMONTH(DATE(EINSTELLUNG!$C$35,$A$1,1),0))*F60,2),"")</f>
        <v>173</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402" t="s">
        <v>132</v>
      </c>
      <c r="B61" s="129">
        <v>504000</v>
      </c>
      <c r="C61" s="77" t="s">
        <v>303</v>
      </c>
      <c r="D61" s="81">
        <v>46054</v>
      </c>
      <c r="E61" s="79" t="s">
        <v>3</v>
      </c>
      <c r="F61" s="80">
        <v>138.4</v>
      </c>
      <c r="G61" s="321">
        <f>IF(OR(E61="",F61=""),"",PID_KVLohnLookup($A$1,E61,F61,LOHNTABELLE!$H$4))</f>
        <v>1665.6</v>
      </c>
      <c r="H61" s="322">
        <f>IF(AND(ISNUMBER(D61),ISNUMBER(F61)),ROUNDDOWN(MIN(IF(OR(ISBLANK(I61),I61=""),EOMONTH(DATE(EINSTELLUNG!$C$35,$A$1,1),0),I61)-MAX(D61,DATE(EINSTELLUNG!$C$35,$A$1,1))+1)/DAY(EOMONTH(DATE(EINSTELLUNG!$C$35,$A$1,1),0))*F61,2),"")</f>
        <v>138.4</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02" t="s">
        <v>133</v>
      </c>
      <c r="B62" s="128">
        <v>505000</v>
      </c>
      <c r="C62" s="69" t="s">
        <v>304</v>
      </c>
      <c r="D62" s="73">
        <v>46054</v>
      </c>
      <c r="E62" s="71" t="s">
        <v>2</v>
      </c>
      <c r="F62" s="72">
        <v>138.4</v>
      </c>
      <c r="G62" s="321">
        <f>IF(OR(E62="",F62=""),"",PID_KVLohnLookup($A$1,E62,F62,LOHNTABELLE!$H$4))</f>
        <v>1616.8</v>
      </c>
      <c r="H62" s="322">
        <f>IF(AND(ISNUMBER(D62),ISNUMBER(F62)),ROUNDDOWN(MIN(IF(OR(ISBLANK(I62),I62=""),EOMONTH(DATE(EINSTELLUNG!$C$35,$A$1,1),0),I62)-MAX(D62,DATE(EINSTELLUNG!$C$35,$A$1,1))+1)/DAY(EOMONTH(DATE(EINSTELLUNG!$C$35,$A$1,1),0))*F62,2),"")</f>
        <v>138.4</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02" t="s">
        <v>134</v>
      </c>
      <c r="B63" s="129">
        <v>525025</v>
      </c>
      <c r="C63" s="77" t="s">
        <v>425</v>
      </c>
      <c r="D63" s="81">
        <v>46040</v>
      </c>
      <c r="E63" s="79" t="s">
        <v>2</v>
      </c>
      <c r="F63" s="80">
        <v>129.75</v>
      </c>
      <c r="G63" s="321">
        <f>IF(OR(E63="",F63=""),"",PID_KVLohnLookup($A$1,E63,F63,LOHNTABELLE!$H$4))</f>
        <v>1515.75</v>
      </c>
      <c r="H63" s="322">
        <f>IF(AND(ISNUMBER(D63),ISNUMBER(F63)),ROUNDDOWN(MIN(IF(OR(ISBLANK(I63),I63=""),EOMONTH(DATE(EINSTELLUNG!$C$35,$A$1,1),0),I63)-MAX(D63,DATE(EINSTELLUNG!$C$35,$A$1,1))+1)/DAY(EOMONTH(DATE(EINSTELLUNG!$C$35,$A$1,1),0))*F63,2),"")</f>
        <v>129.75</v>
      </c>
      <c r="I63" s="81"/>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02" t="s">
        <v>135</v>
      </c>
      <c r="B64" s="128">
        <v>700000</v>
      </c>
      <c r="C64" s="69" t="s">
        <v>312</v>
      </c>
      <c r="D64" s="73">
        <v>46054</v>
      </c>
      <c r="E64" s="71" t="s">
        <v>2</v>
      </c>
      <c r="F64" s="72">
        <v>138.4</v>
      </c>
      <c r="G64" s="321">
        <f>IF(OR(E64="",F64=""),"",PID_KVLohnLookup($A$1,E64,F64,LOHNTABELLE!$H$4))</f>
        <v>1616.8</v>
      </c>
      <c r="H64" s="322">
        <f>IF(AND(ISNUMBER(D64),ISNUMBER(F64)),ROUNDDOWN(MIN(IF(OR(ISBLANK(I64),I64=""),EOMONTH(DATE(EINSTELLUNG!$C$35,$A$1,1),0),I64)-MAX(D64,DATE(EINSTELLUNG!$C$35,$A$1,1))+1)/DAY(EOMONTH(DATE(EINSTELLUNG!$C$35,$A$1,1),0))*F64,2),"")</f>
        <v>138.4</v>
      </c>
      <c r="I64" s="73"/>
      <c r="J64" s="74"/>
      <c r="K64" s="321">
        <f t="shared" si="1"/>
        <v>0</v>
      </c>
      <c r="L64" s="32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402" t="s">
        <v>136</v>
      </c>
      <c r="B65" s="129">
        <v>800000</v>
      </c>
      <c r="C65" s="77" t="s">
        <v>313</v>
      </c>
      <c r="D65" s="81">
        <v>46096</v>
      </c>
      <c r="E65" s="79" t="s">
        <v>2</v>
      </c>
      <c r="F65" s="80">
        <v>64</v>
      </c>
      <c r="G65" s="321" t="str">
        <f>IF(OR(E65="",F65=""),"",PID_KVLohnLookup($A$1,E65,F65,LOHNTABELLE!$H$4))</f>
        <v>Nicht gefunden</v>
      </c>
      <c r="H65" s="322">
        <f>IF(AND(ISNUMBER(D65),ISNUMBER(F65)),ROUNDDOWN(MIN(IF(OR(ISBLANK(I65),I65=""),EOMONTH(DATE(EINSTELLUNG!$C$35,$A$1,1),0),I65)-MAX(D65,DATE(EINSTELLUNG!$C$35,$A$1,1))+1)/DAY(EOMONTH(DATE(EINSTELLUNG!$C$35,$A$1,1),0))*F65,2),"")</f>
        <v>64</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3"/>
    </row>
  </sheetData>
  <sheetProtection algorithmName="SHA-512" hashValue="JsC32MNkBo9HqjhSn4Wd8Lgl559Pf9WlymPEPBJGXlCV0Qz3rFPiy+eiKAUuesjCShx0NwW91W04hnbcOxBOfw==" saltValue="blkwNCNPd4/KKwZ7C1Hvp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8D41C73A-8013-4023-B49A-EF47217B4497}">
          <x14:formula1>
            <xm:f>KV_DROPDOWN_HELPER!$IK$1:$IK$14</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D11" sqref="D11"/>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5</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46143</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46173</v>
      </c>
    </row>
    <row r="3" spans="1:28" ht="22" customHeight="1">
      <c r="A3" s="401" t="s">
        <v>467</v>
      </c>
      <c r="B3" s="127">
        <v>401010</v>
      </c>
      <c r="C3" s="61" t="s">
        <v>224</v>
      </c>
      <c r="D3" s="62">
        <v>39388</v>
      </c>
      <c r="E3" s="63" t="s">
        <v>2</v>
      </c>
      <c r="F3" s="92">
        <v>173</v>
      </c>
      <c r="G3" s="314">
        <f>IF(OR(E3="",F3=""),"",PID_KVLohnLookup($A$1,E3,F3,LOHNTABELLE!$H$4))</f>
        <v>2900</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2900</v>
      </c>
      <c r="M3" s="67"/>
      <c r="N3" s="97"/>
      <c r="O3" s="317" t="s">
        <v>47</v>
      </c>
      <c r="P3" s="317" t="s">
        <v>48</v>
      </c>
      <c r="Q3" s="317" t="s">
        <v>49</v>
      </c>
      <c r="R3" s="318" t="s">
        <v>50</v>
      </c>
      <c r="S3" s="319"/>
      <c r="T3" s="319"/>
      <c r="U3" s="319"/>
      <c r="V3" s="319"/>
      <c r="AB3" s="320"/>
    </row>
    <row r="4" spans="1:28" ht="22" customHeight="1">
      <c r="A4" s="402" t="s">
        <v>51</v>
      </c>
      <c r="B4" s="128">
        <v>401047</v>
      </c>
      <c r="C4" s="69" t="s">
        <v>226</v>
      </c>
      <c r="D4" s="70">
        <v>41154</v>
      </c>
      <c r="E4" s="71" t="s">
        <v>2</v>
      </c>
      <c r="F4" s="93">
        <v>173</v>
      </c>
      <c r="G4" s="321">
        <f>IF(OR(E4="",F4=""),"",PID_KVLohnLookup($A$1,E4,F4,LOHNTABELLE!$H$4))</f>
        <v>2900</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2900</v>
      </c>
      <c r="M4" s="75"/>
      <c r="N4" s="98"/>
      <c r="O4" s="324"/>
      <c r="P4" s="324"/>
      <c r="Q4" s="324"/>
      <c r="R4" s="325"/>
      <c r="S4" s="319"/>
      <c r="T4" s="319"/>
      <c r="U4" s="319"/>
      <c r="V4" s="319"/>
    </row>
    <row r="5" spans="1:28" ht="22" customHeight="1">
      <c r="A5" s="402" t="s">
        <v>52</v>
      </c>
      <c r="B5" s="129">
        <v>401049</v>
      </c>
      <c r="C5" s="77" t="s">
        <v>225</v>
      </c>
      <c r="D5" s="78">
        <v>41130</v>
      </c>
      <c r="E5" s="79" t="s">
        <v>2</v>
      </c>
      <c r="F5" s="80">
        <v>173</v>
      </c>
      <c r="G5" s="321">
        <f>IF(OR(E5="",F5=""),"",PID_KVLohnLookup($A$1,E5,F5,LOHNTABELLE!$H$4))</f>
        <v>2900</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83"/>
      <c r="N5" s="99"/>
      <c r="O5" s="326" cm="1">
        <f t="array" ref="O5">SUMPRODUCT((F3:F82/4.310808)/5*2.08)</f>
        <v>942.84119357670352</v>
      </c>
      <c r="P5" s="327">
        <f>EINSTELLUNG!I10</f>
        <v>600</v>
      </c>
      <c r="Q5" s="327">
        <f>P5-O5</f>
        <v>-342.84119357670352</v>
      </c>
      <c r="R5" s="328">
        <f>IFERROR(Q5*Q42, 0)</f>
        <v>-5598.0998975915309</v>
      </c>
      <c r="S5" s="319"/>
      <c r="T5" s="319"/>
      <c r="U5" s="319"/>
      <c r="V5" s="319"/>
    </row>
    <row r="6" spans="1:28" ht="22" customHeight="1">
      <c r="A6" s="402" t="s">
        <v>53</v>
      </c>
      <c r="B6" s="128">
        <v>401051</v>
      </c>
      <c r="C6" s="69" t="s">
        <v>227</v>
      </c>
      <c r="D6" s="70">
        <v>41176</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401089</v>
      </c>
      <c r="C7" s="77" t="s">
        <v>241</v>
      </c>
      <c r="D7" s="78">
        <v>44868</v>
      </c>
      <c r="E7" s="79" t="s">
        <v>3</v>
      </c>
      <c r="F7" s="80">
        <v>173</v>
      </c>
      <c r="G7" s="321">
        <f>IF(OR(E7="",F7=""),"",PID_KVLohnLookup($A$1,E7,F7,LOHNTABELLE!$H$4))</f>
        <v>2082</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9"/>
      <c r="P7" s="319"/>
      <c r="Q7" s="319"/>
      <c r="R7" s="319"/>
      <c r="S7" s="319"/>
      <c r="T7" s="319"/>
      <c r="U7" s="319"/>
      <c r="V7" s="319"/>
    </row>
    <row r="8" spans="1:28" ht="22" customHeight="1">
      <c r="A8" s="402" t="s">
        <v>55</v>
      </c>
      <c r="B8" s="12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2" t="s">
        <v>56</v>
      </c>
      <c r="P8" s="333"/>
      <c r="Q8" s="334">
        <f>SUM(H3:H82)</f>
        <v>9629.9699999999993</v>
      </c>
      <c r="R8" s="335"/>
      <c r="S8" s="319"/>
      <c r="T8" s="319"/>
      <c r="U8" s="319"/>
      <c r="V8" s="319"/>
    </row>
    <row r="9" spans="1:28" ht="22" customHeight="1">
      <c r="A9" s="402" t="s">
        <v>57</v>
      </c>
      <c r="B9" s="129">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EINSTELLUNG!L26</f>
        <v>5</v>
      </c>
      <c r="R9" s="339"/>
      <c r="S9" s="340">
        <f>IFERROR(Q9/Q8, 0)</f>
        <v>5.1921241706879672E-4</v>
      </c>
      <c r="T9" s="319"/>
      <c r="U9" s="319"/>
      <c r="V9" s="319"/>
    </row>
    <row r="10" spans="1:28" ht="22" customHeight="1">
      <c r="A10" s="402" t="s">
        <v>59</v>
      </c>
      <c r="B10" s="128">
        <v>401214</v>
      </c>
      <c r="C10" s="69" t="s">
        <v>255</v>
      </c>
      <c r="D10" s="70">
        <v>45636</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EINSTELLUNG!I26</f>
        <v>450</v>
      </c>
      <c r="R10" s="339"/>
      <c r="S10" s="319"/>
      <c r="T10" s="319"/>
      <c r="U10" s="319"/>
      <c r="V10" s="319"/>
    </row>
    <row r="11" spans="1:28" ht="22" customHeight="1">
      <c r="A11" s="402" t="s">
        <v>61</v>
      </c>
      <c r="B11" s="129">
        <v>401276</v>
      </c>
      <c r="C11" s="77" t="s">
        <v>230</v>
      </c>
      <c r="D11" s="81">
        <v>43252</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401276</v>
      </c>
      <c r="C12" s="69" t="s">
        <v>472</v>
      </c>
      <c r="D12" s="70">
        <v>38899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6" t="s">
        <v>66</v>
      </c>
      <c r="P12" s="337"/>
      <c r="Q12" s="338">
        <f>Q8-Q9-Q10-Q11</f>
        <v>8574.9699999999993</v>
      </c>
      <c r="R12" s="339"/>
      <c r="S12" s="319"/>
      <c r="T12" s="319"/>
      <c r="U12" s="319"/>
      <c r="V12" s="319"/>
    </row>
    <row r="13" spans="1:28" ht="22" customHeight="1">
      <c r="A13" s="402" t="s">
        <v>65</v>
      </c>
      <c r="B13" s="129">
        <v>401307</v>
      </c>
      <c r="C13" s="77" t="s">
        <v>231</v>
      </c>
      <c r="D13" s="78">
        <v>43571</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68</v>
      </c>
      <c r="P13" s="337"/>
      <c r="Q13" s="338">
        <f>EINSTELLUNG!L10</f>
        <v>9300</v>
      </c>
      <c r="R13" s="339"/>
      <c r="S13" s="319"/>
      <c r="T13" s="319"/>
      <c r="U13" s="319"/>
      <c r="V13" s="319"/>
    </row>
    <row r="14" spans="1:28" ht="22" customHeight="1" thickBot="1">
      <c r="A14" s="402" t="s">
        <v>67</v>
      </c>
      <c r="B14" s="128">
        <v>401308</v>
      </c>
      <c r="C14" s="84" t="s">
        <v>232</v>
      </c>
      <c r="D14" s="73">
        <v>43579</v>
      </c>
      <c r="E14" s="71" t="s">
        <v>3</v>
      </c>
      <c r="F14" s="72">
        <v>129.75</v>
      </c>
      <c r="G14" s="321">
        <f>IF(OR(E14="",F14=""),"",PID_KVLohnLookup($A$1,E14,F14,LOHNTABELLE!$H$4))</f>
        <v>1561.5</v>
      </c>
      <c r="H14" s="322">
        <f>IF(AND(ISNUMBER(D14),ISNUMBER(F14)),ROUNDDOWN(MIN(IF(OR(ISBLANK(I14),I14=""),EOMONTH(DATE(EINSTELLUNG!$C$35,$A$1,1),0),I14)-MAX(D14,DATE(EINSTELLUNG!$C$35,$A$1,1))+1)/DAY(EOMONTH(DATE(EINSTELLUNG!$C$35,$A$1,1),0))*F14,2),"")</f>
        <v>129.75</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1561.5</v>
      </c>
      <c r="M14" s="75"/>
      <c r="N14" s="98"/>
      <c r="O14" s="341" t="s">
        <v>70</v>
      </c>
      <c r="P14" s="342"/>
      <c r="Q14" s="343">
        <f>Q12-Q13</f>
        <v>-725.03000000000065</v>
      </c>
      <c r="R14" s="344"/>
      <c r="S14" s="319"/>
      <c r="T14" s="319"/>
      <c r="U14" s="319"/>
      <c r="V14" s="319"/>
    </row>
    <row r="15" spans="1:28" ht="22" customHeight="1">
      <c r="A15" s="402" t="s">
        <v>69</v>
      </c>
      <c r="B15" s="129">
        <v>401394</v>
      </c>
      <c r="C15" s="77" t="s">
        <v>233</v>
      </c>
      <c r="D15" s="78">
        <v>44379</v>
      </c>
      <c r="E15" s="79" t="s">
        <v>2</v>
      </c>
      <c r="F15" s="80">
        <v>173</v>
      </c>
      <c r="G15" s="321">
        <f>IF(OR(E15="",F15=""),"",PID_KVLohnLookup($A$1,E15,F15,LOHNTABELLE!$H$4))</f>
        <v>2900</v>
      </c>
      <c r="H15" s="322">
        <f>IF(AND(ISNUMBER(D15),ISNUMBER(F15)),ROUNDDOWN(MIN(IF(OR(ISBLANK(I15),I15=""),EOMONTH(DATE(EINSTELLUNG!$C$35,$A$1,1),0),I15)-MAX(D15,DATE(EINSTELLUNG!$C$35,$A$1,1))+1)/DAY(EOMONTH(DATE(EINSTELLUNG!$C$35,$A$1,1),0))*F15,2),"")</f>
        <v>173</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83"/>
      <c r="N15" s="99"/>
      <c r="O15" s="422" t="str">
        <f>IF(Q14&lt;0, "Schlecht! Zu wenig Stunden für Dienstplan.", IF(Q14&gt;0, "Du hast mehr als genug Stunden für Dienstplan.", ""))</f>
        <v>Schlecht! Zu wenig Stunden für Dienstplan.</v>
      </c>
      <c r="P15" s="423"/>
      <c r="Q15" s="423"/>
      <c r="R15" s="423"/>
      <c r="S15" s="345"/>
      <c r="T15" s="345"/>
      <c r="U15" s="345"/>
      <c r="V15" s="319"/>
    </row>
    <row r="16" spans="1:28" ht="22" customHeight="1" thickBot="1">
      <c r="A16" s="402" t="s">
        <v>71</v>
      </c>
      <c r="B16" s="128">
        <v>401406</v>
      </c>
      <c r="C16" s="69" t="s">
        <v>473</v>
      </c>
      <c r="D16" s="70">
        <v>36850</v>
      </c>
      <c r="E16" s="71" t="s">
        <v>10</v>
      </c>
      <c r="F16" s="72">
        <v>151.38</v>
      </c>
      <c r="G16" s="321">
        <f>IF(OR(E16="",F16=""),"",PID_KVLohnLookup($A$1,E16,F16,LOHNTABELLE!$H$4))</f>
        <v>2012.5</v>
      </c>
      <c r="H16" s="322">
        <f>IF(AND(ISNUMBER(D16),ISNUMBER(F16)),ROUNDDOWN(MIN(IF(OR(ISBLANK(I16),I16=""),EOMONTH(DATE(EINSTELLUNG!$C$35,$A$1,1),0),I16)-MAX(D16,DATE(EINSTELLUNG!$C$35,$A$1,1))+1)/DAY(EOMONTH(DATE(EINSTELLUNG!$C$35,$A$1,1),0))*F16,2),"")</f>
        <v>151.38</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08"/>
      <c r="P16" s="409"/>
      <c r="Q16" s="409"/>
      <c r="R16" s="410"/>
      <c r="S16" s="349"/>
      <c r="T16" s="349"/>
      <c r="U16" s="349"/>
      <c r="V16" s="349"/>
      <c r="W16" s="350"/>
    </row>
    <row r="17" spans="1:29" ht="22" customHeight="1">
      <c r="A17" s="402" t="s">
        <v>72</v>
      </c>
      <c r="B17" s="129">
        <v>401432</v>
      </c>
      <c r="C17" s="77" t="s">
        <v>235</v>
      </c>
      <c r="D17" s="78">
        <v>44441</v>
      </c>
      <c r="E17" s="79" t="s">
        <v>2</v>
      </c>
      <c r="F17" s="80">
        <v>173</v>
      </c>
      <c r="G17" s="321">
        <f>IF(OR(E17="",F17=""),"",PID_KVLohnLookup($A$1,E17,F17,LOHNTABELLE!$H$4))</f>
        <v>2900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411" t="s">
        <v>73</v>
      </c>
      <c r="P17" s="333"/>
      <c r="Q17" s="351">
        <f>SUM(L3:L82)</f>
        <v>157243.45580645165</v>
      </c>
      <c r="R17" s="352"/>
      <c r="S17" s="319"/>
      <c r="T17" s="319"/>
      <c r="U17" s="319"/>
      <c r="V17" s="319"/>
      <c r="W17" s="350"/>
    </row>
    <row r="18" spans="1:29" ht="22" customHeight="1">
      <c r="A18" s="402" t="s">
        <v>74</v>
      </c>
      <c r="B18" s="128">
        <v>401476</v>
      </c>
      <c r="C18" s="69" t="s">
        <v>237</v>
      </c>
      <c r="D18" s="70">
        <v>44504</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401479</v>
      </c>
      <c r="C19" s="77" t="s">
        <v>238</v>
      </c>
      <c r="D19" s="78">
        <v>44511</v>
      </c>
      <c r="E19" s="79" t="s">
        <v>6</v>
      </c>
      <c r="F19" s="80">
        <v>173</v>
      </c>
      <c r="G19" s="321">
        <f>IF(OR(E19="",F19=""),"",PID_KVLohnLookup($A$1,E19,F19,LOHNTABELLE!$H$4))</f>
        <v>2160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412" t="s">
        <v>296</v>
      </c>
      <c r="P19" s="354"/>
      <c r="Q19" s="355">
        <v>333</v>
      </c>
      <c r="R19" s="356"/>
      <c r="S19" s="319"/>
      <c r="T19" s="319"/>
      <c r="U19" s="319"/>
      <c r="V19" s="319"/>
    </row>
    <row r="20" spans="1:29" ht="22" customHeight="1">
      <c r="A20" s="402" t="s">
        <v>76</v>
      </c>
      <c r="B20" s="128">
        <v>401481</v>
      </c>
      <c r="C20" s="69" t="s">
        <v>239</v>
      </c>
      <c r="D20" s="70">
        <v>44531</v>
      </c>
      <c r="E20" s="71" t="s">
        <v>2</v>
      </c>
      <c r="F20" s="72">
        <v>173</v>
      </c>
      <c r="G20" s="321">
        <f>IF(OR(E20="",F20=""),"",PID_KVLohnLookup($A$1,E20,F20,LOHNTABELLE!$H$4))</f>
        <v>2900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12" t="s">
        <v>296</v>
      </c>
      <c r="P20" s="354"/>
      <c r="Q20" s="355">
        <v>35</v>
      </c>
      <c r="R20" s="356"/>
      <c r="S20" s="319"/>
      <c r="T20" s="319"/>
      <c r="U20" s="319"/>
      <c r="V20" s="319"/>
    </row>
    <row r="21" spans="1:29" ht="22" customHeight="1">
      <c r="A21" s="402" t="s">
        <v>77</v>
      </c>
      <c r="B21" s="129">
        <v>401558</v>
      </c>
      <c r="C21" s="77" t="s">
        <v>236</v>
      </c>
      <c r="D21" s="81">
        <v>44460</v>
      </c>
      <c r="E21" s="79" t="s">
        <v>2</v>
      </c>
      <c r="F21" s="80">
        <v>173</v>
      </c>
      <c r="G21" s="321">
        <f>IF(OR(E21="",F21=""),"",PID_KVLohnLookup($A$1,E21,F21,LOHNTABELLE!$H$4))</f>
        <v>2900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12" t="s">
        <v>296</v>
      </c>
      <c r="P21" s="354"/>
      <c r="Q21" s="355">
        <v>100</v>
      </c>
      <c r="R21" s="356"/>
      <c r="S21" s="319"/>
      <c r="T21" s="319"/>
      <c r="U21" s="319"/>
      <c r="V21" s="319"/>
    </row>
    <row r="22" spans="1:29" ht="22" customHeight="1">
      <c r="A22" s="402" t="s">
        <v>78</v>
      </c>
      <c r="B22" s="128">
        <v>401564</v>
      </c>
      <c r="C22" s="69" t="s">
        <v>240</v>
      </c>
      <c r="D22" s="70">
        <v>44824</v>
      </c>
      <c r="E22" s="71" t="s">
        <v>10</v>
      </c>
      <c r="F22" s="72">
        <v>151.38</v>
      </c>
      <c r="G22" s="321">
        <f>IF(OR(E22="",F22=""),"",PID_KVLohnLookup($A$1,E22,F22,LOHNTABELLE!$H$4))</f>
        <v>2012.5</v>
      </c>
      <c r="H22" s="322">
        <f>IF(AND(ISNUMBER(D22),ISNUMBER(F22)),ROUNDDOWN(MIN(IF(OR(ISBLANK(I22),I22=""),EOMONTH(DATE(EINSTELLUNG!$C$35,$A$1,1),0),I22)-MAX(D22,DATE(EINSTELLUNG!$C$35,$A$1,1))+1)/DAY(EOMONTH(DATE(EINSTELLUNG!$C$35,$A$1,1),0))*F22,2),"")</f>
        <v>151.38</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412" t="s">
        <v>296</v>
      </c>
      <c r="P22" s="354"/>
      <c r="Q22" s="355"/>
      <c r="R22" s="356"/>
      <c r="S22" s="319"/>
      <c r="T22" s="319"/>
      <c r="U22" s="319"/>
      <c r="V22" s="319"/>
    </row>
    <row r="23" spans="1:29" ht="22" customHeight="1">
      <c r="A23" s="402" t="s">
        <v>79</v>
      </c>
      <c r="B23" s="129">
        <v>401583</v>
      </c>
      <c r="C23" s="77" t="s">
        <v>242</v>
      </c>
      <c r="D23" s="78">
        <v>44900</v>
      </c>
      <c r="E23" s="79" t="s">
        <v>10</v>
      </c>
      <c r="F23" s="80">
        <v>173</v>
      </c>
      <c r="G23" s="321">
        <f>IF(OR(E23="",F23=""),"",PID_KVLohnLookup($A$1,E23,F23,LOHNTABELLE!$H$4))</f>
        <v>2300</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12" t="s">
        <v>296</v>
      </c>
      <c r="P23" s="354"/>
      <c r="Q23" s="355">
        <v>5000</v>
      </c>
      <c r="R23" s="356"/>
      <c r="S23" s="319"/>
      <c r="T23" s="319"/>
      <c r="U23" s="319"/>
      <c r="V23" s="319"/>
      <c r="W23" s="350"/>
    </row>
    <row r="24" spans="1:29" ht="22" customHeight="1">
      <c r="A24" s="402" t="s">
        <v>80</v>
      </c>
      <c r="B24" s="128">
        <v>401589</v>
      </c>
      <c r="C24" s="69" t="s">
        <v>243</v>
      </c>
      <c r="D24" s="70">
        <v>44926</v>
      </c>
      <c r="E24" s="71" t="s">
        <v>4</v>
      </c>
      <c r="F24" s="72">
        <v>151.38</v>
      </c>
      <c r="G24" s="321">
        <f>IF(OR(E24="",F24=""),"",PID_KVLohnLookup($A$1,E24,F24,LOHNTABELLE!$H$4))</f>
        <v>1857.63</v>
      </c>
      <c r="H24" s="322">
        <f>IF(AND(ISNUMBER(D24),ISNUMBER(F24)),ROUNDDOWN(MIN(IF(OR(ISBLANK(I24),I24=""),EOMONTH(DATE(EINSTELLUNG!$C$35,$A$1,1),0),I24)-MAX(D24,DATE(EINSTELLUNG!$C$35,$A$1,1))+1)/DAY(EOMONTH(DATE(EINSTELLUNG!$C$35,$A$1,1),0))*F24,2),"")</f>
        <v>151.38</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412"/>
      <c r="P24" s="354"/>
      <c r="Q24" s="355"/>
      <c r="R24" s="356"/>
      <c r="S24" s="319"/>
      <c r="T24" s="319"/>
      <c r="U24" s="319"/>
      <c r="V24" s="319"/>
      <c r="W24" s="350"/>
    </row>
    <row r="25" spans="1:29" ht="22" customHeight="1">
      <c r="A25" s="402" t="s">
        <v>81</v>
      </c>
      <c r="B25" s="129">
        <v>401602</v>
      </c>
      <c r="C25" s="77" t="s">
        <v>244</v>
      </c>
      <c r="D25" s="78">
        <v>45975</v>
      </c>
      <c r="E25" s="79" t="s">
        <v>2</v>
      </c>
      <c r="F25" s="80">
        <v>173</v>
      </c>
      <c r="G25" s="321">
        <f>IF(OR(E25="",F25=""),"",PID_KVLohnLookup($A$1,E25,F25,LOHNTABELLE!$H$4))</f>
        <v>2900</v>
      </c>
      <c r="H25" s="322">
        <f>IF(AND(ISNUMBER(D25),ISNUMBER(F25)),ROUNDDOWN(MIN(IF(OR(ISBLANK(I25),I25=""),EOMONTH(DATE(EINSTELLUNG!$C$35,$A$1,1),0),I25)-MAX(D25,DATE(EINSTELLUNG!$C$35,$A$1,1))+1)/DAY(EOMONTH(DATE(EINSTELLUNG!$C$35,$A$1,1),0))*F25,2),"")</f>
        <v>173</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12"/>
      <c r="P25" s="354"/>
      <c r="Q25" s="355"/>
      <c r="R25" s="356"/>
      <c r="S25" s="319"/>
      <c r="T25" s="319"/>
      <c r="U25" s="319"/>
      <c r="V25" s="319"/>
    </row>
    <row r="26" spans="1:29" ht="22" customHeight="1">
      <c r="A26" s="402" t="s">
        <v>82</v>
      </c>
      <c r="B26" s="128">
        <v>401605</v>
      </c>
      <c r="C26" s="69" t="s">
        <v>245</v>
      </c>
      <c r="D26" s="73">
        <v>44986</v>
      </c>
      <c r="E26" s="71" t="s">
        <v>2</v>
      </c>
      <c r="F26" s="72">
        <v>173</v>
      </c>
      <c r="G26" s="321">
        <f>IF(OR(E26="",F26=""),"",PID_KVLohnLookup($A$1,E26,F26,LOHNTABELLE!$H$4))</f>
        <v>2900</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12"/>
      <c r="P26" s="354"/>
      <c r="Q26" s="355"/>
      <c r="R26" s="356"/>
      <c r="S26" s="319"/>
      <c r="T26" s="319"/>
      <c r="U26" s="319"/>
      <c r="V26" s="319"/>
    </row>
    <row r="27" spans="1:29" ht="22" customHeight="1">
      <c r="A27" s="402" t="s">
        <v>83</v>
      </c>
      <c r="B27" s="129">
        <v>401605</v>
      </c>
      <c r="C27" s="77" t="s">
        <v>473</v>
      </c>
      <c r="D27" s="81">
        <v>36850</v>
      </c>
      <c r="E27" s="79" t="s">
        <v>10</v>
      </c>
      <c r="F27" s="80">
        <v>151.38</v>
      </c>
      <c r="G27" s="321">
        <f>IF(OR(E27="",F27=""),"",PID_KVLohnLookup($A$1,E27,F27,LOHNTABELLE!$H$4))</f>
        <v>2012.5</v>
      </c>
      <c r="H27" s="322">
        <f>IF(AND(ISNUMBER(D27),ISNUMBER(F27)),ROUNDDOWN(MIN(IF(OR(ISBLANK(I27),I27=""),EOMONTH(DATE(EINSTELLUNG!$C$35,$A$1,1),0),I27)-MAX(D27,DATE(EINSTELLUNG!$C$35,$A$1,1))+1)/DAY(EOMONTH(DATE(EINSTELLUNG!$C$35,$A$1,1),0))*F27,2),"")</f>
        <v>151.38</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412"/>
      <c r="P27" s="354"/>
      <c r="Q27" s="355"/>
      <c r="R27" s="356"/>
      <c r="S27" s="357" t="s">
        <v>84</v>
      </c>
      <c r="T27" s="357"/>
      <c r="U27" s="357"/>
      <c r="V27" s="357"/>
    </row>
    <row r="28" spans="1:29" ht="22" customHeight="1">
      <c r="A28" s="402" t="s">
        <v>85</v>
      </c>
      <c r="B28" s="128">
        <v>401626</v>
      </c>
      <c r="C28" s="69" t="s">
        <v>246</v>
      </c>
      <c r="D28" s="70">
        <v>45063</v>
      </c>
      <c r="E28" s="71" t="s">
        <v>2</v>
      </c>
      <c r="F28" s="72">
        <v>173</v>
      </c>
      <c r="G28" s="321">
        <f>IF(OR(E28="",F28=""),"",PID_KVLohnLookup($A$1,E28,F28,LOHNTABELLE!$H$4))</f>
        <v>2900</v>
      </c>
      <c r="H28" s="322">
        <f>IF(AND(ISNUMBER(D28),ISNUMBER(F28)),ROUNDDOWN(MIN(IF(OR(ISBLANK(I28),I28=""),EOMONTH(DATE(EINSTELLUNG!$C$35,$A$1,1),0),I28)-MAX(D28,DATE(EINSTELLUNG!$C$35,$A$1,1))+1)/DAY(EOMONTH(DATE(EINSTELLUNG!$C$35,$A$1,1),0))*F28,2),"")</f>
        <v>173</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412"/>
      <c r="P28" s="354"/>
      <c r="Q28" s="355"/>
      <c r="R28" s="356"/>
      <c r="S28" s="319"/>
      <c r="T28" s="319"/>
      <c r="U28" s="319"/>
      <c r="V28" s="319"/>
    </row>
    <row r="29" spans="1:29" ht="22" customHeight="1" thickBot="1">
      <c r="A29" s="402" t="s">
        <v>86</v>
      </c>
      <c r="B29" s="129">
        <v>401633</v>
      </c>
      <c r="C29" s="77" t="s">
        <v>247</v>
      </c>
      <c r="D29" s="81">
        <v>45089</v>
      </c>
      <c r="E29" s="79" t="s">
        <v>10</v>
      </c>
      <c r="F29" s="80">
        <v>173</v>
      </c>
      <c r="G29" s="321">
        <f>IF(OR(E29="",F29=""),"",PID_KVLohnLookup($A$1,E29,F29,LOHNTABELLE!$H$4))</f>
        <v>2300</v>
      </c>
      <c r="H29" s="322">
        <f>IF(AND(ISNUMBER(D29),ISNUMBER(F29)),ROUNDDOWN(MIN(IF(OR(ISBLANK(I29),I29=""),EOMONTH(DATE(EINSTELLUNG!$C$35,$A$1,1),0),I29)-MAX(D29,DATE(EINSTELLUNG!$C$35,$A$1,1))+1)/DAY(EOMONTH(DATE(EINSTELLUNG!$C$35,$A$1,1),0))*F29,2),"")</f>
        <v>173</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413" t="s">
        <v>87</v>
      </c>
      <c r="P29" s="342"/>
      <c r="Q29" s="358">
        <f>EINSTELLUNG!O10</f>
        <v>1250</v>
      </c>
      <c r="R29" s="359"/>
      <c r="S29" s="319"/>
      <c r="T29" s="319"/>
      <c r="U29" s="319"/>
      <c r="V29" s="319"/>
    </row>
    <row r="30" spans="1:29" ht="22" customHeight="1" thickBot="1">
      <c r="A30" s="402" t="s">
        <v>88</v>
      </c>
      <c r="B30" s="128">
        <v>401647</v>
      </c>
      <c r="C30" s="69" t="s">
        <v>248</v>
      </c>
      <c r="D30" s="70">
        <v>45182</v>
      </c>
      <c r="E30" s="71" t="s">
        <v>2</v>
      </c>
      <c r="F30" s="72">
        <v>151.38</v>
      </c>
      <c r="G30" s="321">
        <f>IF(OR(E30="",F30=""),"",PID_KVLohnLookup($A$1,E30,F30,LOHNTABELLE!$H$4))</f>
        <v>2500</v>
      </c>
      <c r="H30" s="322">
        <f>IF(AND(ISNUMBER(D30),ISNUMBER(F30)),ROUNDDOWN(MIN(IF(OR(ISBLANK(I30),I30=""),EOMONTH(DATE(EINSTELLUNG!$C$35,$A$1,1),0),I30)-MAX(D30,DATE(EINSTELLUNG!$C$35,$A$1,1))+1)/DAY(EOMONTH(DATE(EINSTELLUNG!$C$35,$A$1,1),0))*F30,2),"")</f>
        <v>151.38</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401661</v>
      </c>
      <c r="C31" s="77" t="s">
        <v>249</v>
      </c>
      <c r="D31" s="78">
        <v>45261</v>
      </c>
      <c r="E31" s="79" t="s">
        <v>2</v>
      </c>
      <c r="F31" s="80">
        <v>173</v>
      </c>
      <c r="G31" s="321">
        <f>IF(OR(E31="",F31=""),"",PID_KVLohnLookup($A$1,E31,F31,LOHNTABELLE!$H$4))</f>
        <v>2900</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14">
        <v>0</v>
      </c>
      <c r="P31" s="362"/>
      <c r="Q31" s="363">
        <v>3.2258064516129031E-2</v>
      </c>
      <c r="R31" s="364"/>
      <c r="S31" s="319"/>
      <c r="T31" s="319"/>
      <c r="U31" s="319"/>
      <c r="V31" s="319"/>
    </row>
    <row r="32" spans="1:29" ht="22" customHeight="1" thickBot="1">
      <c r="A32" s="402" t="s">
        <v>91</v>
      </c>
      <c r="B32" s="128">
        <v>401670</v>
      </c>
      <c r="C32" s="69" t="s">
        <v>250</v>
      </c>
      <c r="D32" s="73">
        <v>45358</v>
      </c>
      <c r="E32" s="71" t="s">
        <v>2</v>
      </c>
      <c r="F32" s="72">
        <v>173</v>
      </c>
      <c r="G32" s="321">
        <f>IF(OR(E32="",F32=""),"",PID_KVLohnLookup($A$1,E32,F32,LOHNTABELLE!$H$4))</f>
        <v>2900</v>
      </c>
      <c r="H32" s="322">
        <f>IF(AND(ISNUMBER(D32),ISNUMBER(F32)),ROUNDDOWN(MIN(IF(OR(ISBLANK(I32),I32=""),EOMONTH(DATE(EINSTELLUNG!$C$35,$A$1,1),0),I32)-MAX(D32,DATE(EINSTELLUNG!$C$35,$A$1,1))+1)/DAY(EOMONTH(DATE(EINSTELLUNG!$C$35,$A$1,1),0))*F32,2),"")</f>
        <v>173</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19"/>
      <c r="P32" s="319"/>
      <c r="Q32" s="319"/>
      <c r="R32" s="319"/>
      <c r="S32" s="319"/>
      <c r="T32" s="319"/>
      <c r="U32" s="319"/>
      <c r="V32" s="319"/>
    </row>
    <row r="33" spans="1:22" ht="18" customHeight="1">
      <c r="A33" s="402" t="s">
        <v>92</v>
      </c>
      <c r="B33" s="129">
        <v>401678</v>
      </c>
      <c r="C33" s="77" t="s">
        <v>251</v>
      </c>
      <c r="D33" s="78">
        <v>45414</v>
      </c>
      <c r="E33" s="79" t="s">
        <v>2</v>
      </c>
      <c r="F33" s="80">
        <v>173</v>
      </c>
      <c r="G33" s="321">
        <f>IF(OR(E33="",F33=""),"",PID_KVLohnLookup($A$1,E33,F33,LOHNTABELLE!$H$4))</f>
        <v>2900</v>
      </c>
      <c r="H33" s="322">
        <f>IF(AND(ISNUMBER(D33),ISNUMBER(F33)),ROUNDDOWN(MIN(IF(OR(ISBLANK(I33),I33=""),EOMONTH(DATE(EINSTELLUNG!$C$35,$A$1,1),0),I33)-MAX(D33,DATE(EINSTELLUNG!$C$35,$A$1,1))+1)/DAY(EOMONTH(DATE(EINSTELLUNG!$C$35,$A$1,1),0))*F33,2),"")</f>
        <v>173</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401690</v>
      </c>
      <c r="C34" s="69" t="s">
        <v>253</v>
      </c>
      <c r="D34" s="70">
        <v>45536</v>
      </c>
      <c r="E34" s="71" t="s">
        <v>2</v>
      </c>
      <c r="F34" s="72">
        <v>173</v>
      </c>
      <c r="G34" s="321">
        <f>IF(OR(E34="",F34=""),"",PID_KVLohnLookup($A$1,E34,F34,LOHNTABELLE!$H$4))</f>
        <v>2900</v>
      </c>
      <c r="H34" s="322">
        <f>IF(AND(ISNUMBER(D34),ISNUMBER(F34)),ROUNDDOWN(MIN(IF(OR(ISBLANK(I34),I34=""),EOMONTH(DATE(EINSTELLUNG!$C$35,$A$1,1),0),I34)-MAX(D34,DATE(EINSTELLUNG!$C$35,$A$1,1))+1)/DAY(EOMONTH(DATE(EINSTELLUNG!$C$35,$A$1,1),0))*F34,2),"")</f>
        <v>173</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416"/>
      <c r="P34" s="368"/>
      <c r="Q34" s="369"/>
      <c r="R34" s="369"/>
      <c r="S34" s="369"/>
      <c r="T34" s="369"/>
      <c r="U34" s="369"/>
      <c r="V34" s="370"/>
    </row>
    <row r="35" spans="1:22" ht="18" customHeight="1">
      <c r="A35" s="402" t="s">
        <v>97</v>
      </c>
      <c r="B35" s="129">
        <v>401703</v>
      </c>
      <c r="C35" s="77" t="s">
        <v>254</v>
      </c>
      <c r="D35" s="78">
        <v>45616</v>
      </c>
      <c r="E35" s="79" t="s">
        <v>2</v>
      </c>
      <c r="F35" s="80">
        <v>108.13</v>
      </c>
      <c r="G35" s="321">
        <f>IF(OR(E35="",F35=""),"",PID_KVLohnLookup($A$1,E35,F35,LOHNTABELLE!$H$4))</f>
        <v>2200</v>
      </c>
      <c r="H35" s="322">
        <f>IF(AND(ISNUMBER(D35),ISNUMBER(F35)),ROUNDDOWN(MIN(IF(OR(ISBLANK(I35),I35=""),EOMONTH(DATE(EINSTELLUNG!$C$35,$A$1,1),0),I35)-MAX(D35,DATE(EINSTELLUNG!$C$35,$A$1,1))+1)/DAY(EOMONTH(DATE(EINSTELLUNG!$C$35,$A$1,1),0))*F35,2),"")</f>
        <v>6.97</v>
      </c>
      <c r="I35" s="81">
        <v>46144</v>
      </c>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417" t="s">
        <v>98</v>
      </c>
      <c r="P35" s="337"/>
      <c r="Q35" s="371">
        <f>EINSTELLUNG!C10</f>
        <v>400000</v>
      </c>
      <c r="R35" s="371"/>
      <c r="S35" s="371">
        <f>EINSTELLUNG!C26</f>
        <v>420000</v>
      </c>
      <c r="T35" s="371"/>
      <c r="U35" s="371">
        <f>S35-Q35</f>
        <v>20000</v>
      </c>
      <c r="V35" s="372"/>
    </row>
    <row r="36" spans="1:22" ht="22" customHeight="1">
      <c r="A36" s="402" t="s">
        <v>99</v>
      </c>
      <c r="B36" s="128">
        <v>401715</v>
      </c>
      <c r="C36" s="69" t="s">
        <v>256</v>
      </c>
      <c r="D36" s="70">
        <v>45755</v>
      </c>
      <c r="E36" s="71" t="s">
        <v>2</v>
      </c>
      <c r="F36" s="72">
        <v>173</v>
      </c>
      <c r="G36" s="321">
        <f>IF(OR(E36="",F36=""),"",PID_KVLohnLookup($A$1,E36,F36,LOHNTABELLE!$H$4))</f>
        <v>2900</v>
      </c>
      <c r="H36" s="322">
        <f>IF(AND(ISNUMBER(D36),ISNUMBER(F36)),ROUNDDOWN(MIN(IF(OR(ISBLANK(I36),I36=""),EOMONTH(DATE(EINSTELLUNG!$C$35,$A$1,1),0),I36)-MAX(D36,DATE(EINSTELLUNG!$C$35,$A$1,1))+1)/DAY(EOMONTH(DATE(EINSTELLUNG!$C$35,$A$1,1),0))*F36,2),"")</f>
        <v>173</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417" t="s">
        <v>100</v>
      </c>
      <c r="P36" s="337"/>
      <c r="Q36" s="371">
        <f>EINSTELLUNG!D10</f>
        <v>100000</v>
      </c>
      <c r="R36" s="371"/>
      <c r="S36" s="371">
        <f ca="1">SumMergedCells(Q17:R29)</f>
        <v>163981.4558</v>
      </c>
      <c r="T36" s="371"/>
      <c r="U36" s="371">
        <f t="shared" ref="U36:U41" ca="1" si="2">S36-Q36</f>
        <v>63981.455799999996</v>
      </c>
      <c r="V36" s="372"/>
    </row>
    <row r="37" spans="1:22" ht="22" customHeight="1">
      <c r="A37" s="402" t="s">
        <v>101</v>
      </c>
      <c r="B37" s="129">
        <v>401716</v>
      </c>
      <c r="C37" s="77" t="s">
        <v>257</v>
      </c>
      <c r="D37" s="78">
        <v>45800</v>
      </c>
      <c r="E37" s="79" t="s">
        <v>2</v>
      </c>
      <c r="F37" s="80">
        <v>173</v>
      </c>
      <c r="G37" s="321">
        <f>IF(OR(E37="",F37=""),"",PID_KVLohnLookup($A$1,E37,F37,LOHNTABELLE!$H$4))</f>
        <v>2900</v>
      </c>
      <c r="H37" s="322">
        <f>IF(AND(ISNUMBER(D37),ISNUMBER(F37)),ROUNDDOWN(MIN(IF(OR(ISBLANK(I37),I37=""),EOMONTH(DATE(EINSTELLUNG!$C$35,$A$1,1),0),I37)-MAX(D37,DATE(EINSTELLUNG!$C$35,$A$1,1))+1)/DAY(EOMONTH(DATE(EINSTELLUNG!$C$35,$A$1,1),0))*F37,2),"")</f>
        <v>173</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417" t="s">
        <v>102</v>
      </c>
      <c r="P37" s="337"/>
      <c r="Q37" s="373">
        <f>IF(ISERROR(Q36/Q35), 0, Q36/Q35)</f>
        <v>0.25</v>
      </c>
      <c r="R37" s="373"/>
      <c r="S37" s="373">
        <f ca="1">IF(ISERROR(S36/S35), 0, S36/S35)</f>
        <v>0.3904320376190476</v>
      </c>
      <c r="T37" s="373"/>
      <c r="U37" s="373">
        <f t="shared" ca="1" si="2"/>
        <v>0.1404320376190476</v>
      </c>
      <c r="V37" s="374"/>
    </row>
    <row r="38" spans="1:22" ht="22" customHeight="1">
      <c r="A38" s="402" t="s">
        <v>103</v>
      </c>
      <c r="B38" s="128">
        <v>401717</v>
      </c>
      <c r="C38" s="69" t="s">
        <v>258</v>
      </c>
      <c r="D38" s="70">
        <v>45814</v>
      </c>
      <c r="E38" s="71" t="s">
        <v>2</v>
      </c>
      <c r="F38" s="72">
        <v>173</v>
      </c>
      <c r="G38" s="321">
        <f>IF(OR(E38="",F38=""),"",PID_KVLohnLookup($A$1,E38,F38,LOHNTABELLE!$H$4))</f>
        <v>2900</v>
      </c>
      <c r="H38" s="322">
        <f>IF(AND(ISNUMBER(D38),ISNUMBER(F38)),ROUNDDOWN(MIN(IF(OR(ISBLANK(I38),I38=""),EOMONTH(DATE(EINSTELLUNG!$C$35,$A$1,1),0),I38)-MAX(D38,DATE(EINSTELLUNG!$C$35,$A$1,1))+1)/DAY(EOMONTH(DATE(EINSTELLUNG!$C$35,$A$1,1),0))*F38,2),"")</f>
        <v>173</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417" t="s">
        <v>104</v>
      </c>
      <c r="P38" s="337"/>
      <c r="Q38" s="338">
        <f>EINSTELLUNG!F10</f>
        <v>30000</v>
      </c>
      <c r="R38" s="338"/>
      <c r="S38" s="338">
        <f>EINSTELLUNG!F26</f>
        <v>31000</v>
      </c>
      <c r="T38" s="338"/>
      <c r="U38" s="338">
        <f t="shared" si="2"/>
        <v>1000</v>
      </c>
      <c r="V38" s="339"/>
    </row>
    <row r="39" spans="1:22" ht="22" customHeight="1">
      <c r="A39" s="402" t="s">
        <v>105</v>
      </c>
      <c r="B39" s="129">
        <v>401722</v>
      </c>
      <c r="C39" s="77" t="s">
        <v>259</v>
      </c>
      <c r="D39" s="78">
        <v>45848</v>
      </c>
      <c r="E39" s="79" t="s">
        <v>2</v>
      </c>
      <c r="F39" s="80">
        <v>173</v>
      </c>
      <c r="G39" s="321">
        <f>IF(OR(E39="",F39=""),"",PID_KVLohnLookup($A$1,E39,F39,LOHNTABELLE!$H$4))</f>
        <v>2900</v>
      </c>
      <c r="H39" s="322">
        <f>IF(AND(ISNUMBER(D39),ISNUMBER(F39)),ROUNDDOWN(MIN(IF(OR(ISBLANK(I39),I39=""),EOMONTH(DATE(EINSTELLUNG!$C$35,$A$1,1),0),I39)-MAX(D39,DATE(EINSTELLUNG!$C$35,$A$1,1))+1)/DAY(EOMONTH(DATE(EINSTELLUNG!$C$35,$A$1,1),0))*F39,2),"")</f>
        <v>173</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417" t="s">
        <v>106</v>
      </c>
      <c r="P39" s="337"/>
      <c r="Q39" s="371">
        <f>IF(Q38=0, 0, Q35/Q38)</f>
        <v>13.333333333333334</v>
      </c>
      <c r="R39" s="371"/>
      <c r="S39" s="371">
        <f>IF(S38=0, 0, S35/S38)</f>
        <v>13.548387096774194</v>
      </c>
      <c r="T39" s="371"/>
      <c r="U39" s="371">
        <f t="shared" si="2"/>
        <v>0.21505376344086002</v>
      </c>
      <c r="V39" s="372"/>
    </row>
    <row r="40" spans="1:22" ht="22" customHeight="1">
      <c r="A40" s="402" t="s">
        <v>107</v>
      </c>
      <c r="B40" s="128">
        <v>401723</v>
      </c>
      <c r="C40" s="69" t="s">
        <v>260</v>
      </c>
      <c r="D40" s="70">
        <v>45852</v>
      </c>
      <c r="E40" s="71" t="s">
        <v>2</v>
      </c>
      <c r="F40" s="72">
        <v>173</v>
      </c>
      <c r="G40" s="321">
        <f>IF(OR(E40="",F40=""),"",PID_KVLohnLookup($A$1,E40,F40,LOHNTABELLE!$H$4))</f>
        <v>2900</v>
      </c>
      <c r="H40" s="322">
        <f>IF(AND(ISNUMBER(D40),ISNUMBER(F40)),ROUNDDOWN(MIN(IF(OR(ISBLANK(I40),I40=""),EOMONTH(DATE(EINSTELLUNG!$C$35,$A$1,1),0),I40)-MAX(D40,DATE(EINSTELLUNG!$C$35,$A$1,1))+1)/DAY(EOMONTH(DATE(EINSTELLUNG!$C$35,$A$1,1),0))*F40,2),"")</f>
        <v>173</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417" t="s">
        <v>108</v>
      </c>
      <c r="P40" s="337"/>
      <c r="Q40" s="371">
        <f>IF(Q12=0, 0, Q35/Q12)</f>
        <v>46.647393518577914</v>
      </c>
      <c r="R40" s="371"/>
      <c r="S40" s="371">
        <f>IF(Q12=0, 0, S35/Q12)</f>
        <v>48.979763194506809</v>
      </c>
      <c r="T40" s="371"/>
      <c r="U40" s="371">
        <f t="shared" si="2"/>
        <v>2.332369675928895</v>
      </c>
      <c r="V40" s="372"/>
    </row>
    <row r="41" spans="1:22" ht="22" customHeight="1">
      <c r="A41" s="402" t="s">
        <v>109</v>
      </c>
      <c r="B41" s="129">
        <v>401726</v>
      </c>
      <c r="C41" s="77" t="s">
        <v>261</v>
      </c>
      <c r="D41" s="78">
        <v>45870</v>
      </c>
      <c r="E41" s="79" t="s">
        <v>2</v>
      </c>
      <c r="F41" s="80">
        <v>173</v>
      </c>
      <c r="G41" s="321">
        <f>IF(OR(E41="",F41=""),"",PID_KVLohnLookup($A$1,E41,F41,LOHNTABELLE!$H$4))</f>
        <v>2900</v>
      </c>
      <c r="H41" s="322">
        <f>IF(AND(ISNUMBER(D41),ISNUMBER(F41)),ROUNDDOWN(MIN(IF(OR(ISBLANK(I41),I41=""),EOMONTH(DATE(EINSTELLUNG!$C$35,$A$1,1),0),I41)-MAX(D41,DATE(EINSTELLUNG!$C$35,$A$1,1))+1)/DAY(EOMONTH(DATE(EINSTELLUNG!$C$35,$A$1,1),0))*F41,2),"")</f>
        <v>173</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417" t="s">
        <v>110</v>
      </c>
      <c r="P41" s="337"/>
      <c r="Q41" s="338">
        <f>IF(Q12=0, 0, Q38/Q12)</f>
        <v>3.4985545138933434</v>
      </c>
      <c r="R41" s="338"/>
      <c r="S41" s="338">
        <f>IF(Q12=0, 0, S38/Q12)</f>
        <v>3.6151729976897879</v>
      </c>
      <c r="T41" s="338"/>
      <c r="U41" s="338">
        <f t="shared" si="2"/>
        <v>0.11661848379644457</v>
      </c>
      <c r="V41" s="339"/>
    </row>
    <row r="42" spans="1:22" ht="22" customHeight="1">
      <c r="A42" s="402" t="s">
        <v>111</v>
      </c>
      <c r="B42" s="128">
        <v>401730</v>
      </c>
      <c r="C42" s="69" t="s">
        <v>263</v>
      </c>
      <c r="D42" s="70">
        <v>45895</v>
      </c>
      <c r="E42" s="71" t="s">
        <v>2</v>
      </c>
      <c r="F42" s="72">
        <v>173</v>
      </c>
      <c r="G42" s="321">
        <f>IF(OR(E42="",F42=""),"",PID_KVLohnLookup($A$1,E42,F42,LOHNTABELLE!$H$4))</f>
        <v>2900</v>
      </c>
      <c r="H42" s="322">
        <f>IF(AND(ISNUMBER(D42),ISNUMBER(F42)),ROUNDDOWN(MIN(IF(OR(ISBLANK(I42),I42=""),EOMONTH(DATE(EINSTELLUNG!$C$35,$A$1,1),0),I42)-MAX(D42,DATE(EINSTELLUNG!$C$35,$A$1,1))+1)/DAY(EOMONTH(DATE(EINSTELLUNG!$C$35,$A$1,1),0))*F42,2),"")</f>
        <v>173</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2900</v>
      </c>
      <c r="M42" s="75"/>
      <c r="N42" s="98"/>
      <c r="O42" s="418" t="s">
        <v>112</v>
      </c>
      <c r="P42" s="376"/>
      <c r="Q42" s="377">
        <f>IFERROR(Q17/Q8, 0)</f>
        <v>16.328550951503654</v>
      </c>
      <c r="R42" s="377"/>
      <c r="S42" s="377"/>
      <c r="T42" s="377"/>
      <c r="U42" s="377"/>
      <c r="V42" s="378"/>
    </row>
    <row r="43" spans="1:22" ht="18" customHeight="1">
      <c r="A43" s="402" t="s">
        <v>113</v>
      </c>
      <c r="B43" s="129">
        <v>401731</v>
      </c>
      <c r="C43" s="77" t="s">
        <v>262</v>
      </c>
      <c r="D43" s="78">
        <v>45899</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401734</v>
      </c>
      <c r="C44" s="69" t="s">
        <v>264</v>
      </c>
      <c r="D44" s="70">
        <v>45904</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18" customHeight="1">
      <c r="A45" s="402" t="s">
        <v>116</v>
      </c>
      <c r="B45" s="129">
        <v>401736</v>
      </c>
      <c r="C45" s="77" t="s">
        <v>265</v>
      </c>
      <c r="D45" s="78">
        <v>45906</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69.75</v>
      </c>
      <c r="I45" s="81">
        <v>46167</v>
      </c>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381" t="s">
        <v>527</v>
      </c>
      <c r="P45" s="381"/>
      <c r="Q45" s="381"/>
      <c r="R45" s="382"/>
      <c r="S45" s="382"/>
      <c r="T45" s="382"/>
      <c r="U45" s="382"/>
      <c r="V45" s="319"/>
    </row>
    <row r="46" spans="1:22" ht="22" customHeight="1">
      <c r="A46" s="402" t="s">
        <v>117</v>
      </c>
      <c r="B46" s="128">
        <v>401737</v>
      </c>
      <c r="C46" s="69" t="s">
        <v>266</v>
      </c>
      <c r="D46" s="70">
        <v>45906</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401738</v>
      </c>
      <c r="C47" s="77" t="s">
        <v>267</v>
      </c>
      <c r="D47" s="78">
        <v>45909</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401745</v>
      </c>
      <c r="C48" s="69" t="s">
        <v>271</v>
      </c>
      <c r="D48" s="70">
        <v>45934</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401746</v>
      </c>
      <c r="C49" s="77" t="s">
        <v>270</v>
      </c>
      <c r="D49" s="78">
        <v>45941</v>
      </c>
      <c r="E49" s="79" t="s">
        <v>2</v>
      </c>
      <c r="F49" s="80">
        <v>86.5</v>
      </c>
      <c r="G49" s="321">
        <f>IF(OR(E49="",F49=""),"",PID_KVLohnLookup($A$1,E49,F49,LOHNTABELLE!$H$4))</f>
        <v>2152</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19"/>
      <c r="P49" s="319"/>
      <c r="Q49" s="319"/>
      <c r="R49" s="319"/>
      <c r="S49" s="319"/>
      <c r="T49" s="319"/>
      <c r="U49" s="319"/>
      <c r="V49" s="319"/>
    </row>
    <row r="50" spans="1:22" ht="22" customHeight="1">
      <c r="A50" s="402" t="s">
        <v>121</v>
      </c>
      <c r="B50" s="128">
        <v>401747</v>
      </c>
      <c r="C50" s="69" t="s">
        <v>268</v>
      </c>
      <c r="D50" s="70">
        <v>45941</v>
      </c>
      <c r="E50" s="71" t="s">
        <v>2</v>
      </c>
      <c r="F50" s="72">
        <v>86.5</v>
      </c>
      <c r="G50" s="321">
        <f>IF(OR(E50="",F50=""),"",PID_KVLohnLookup($A$1,E50,F50,LOHNTABELLE!$H$4))</f>
        <v>2152</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19"/>
      <c r="P50" s="319"/>
      <c r="Q50" s="319"/>
      <c r="R50" s="319"/>
      <c r="S50" s="319"/>
      <c r="T50" s="319"/>
      <c r="U50" s="319"/>
      <c r="V50" s="319"/>
    </row>
    <row r="51" spans="1:22" ht="22" customHeight="1">
      <c r="A51" s="402" t="s">
        <v>122</v>
      </c>
      <c r="B51" s="129">
        <v>401748</v>
      </c>
      <c r="C51" s="77" t="s">
        <v>269</v>
      </c>
      <c r="D51" s="78">
        <v>45941</v>
      </c>
      <c r="E51" s="79" t="s">
        <v>2</v>
      </c>
      <c r="F51" s="80">
        <v>86.5</v>
      </c>
      <c r="G51" s="321">
        <f>IF(OR(E51="",F51=""),"",PID_KVLohnLookup($A$1,E51,F51,LOHNTABELLE!$H$4))</f>
        <v>2152</v>
      </c>
      <c r="H51" s="322">
        <f>IF(AND(ISNUMBER(D51),ISNUMBER(F51)),ROUNDDOWN(MIN(IF(OR(ISBLANK(I51),I51=""),EOMONTH(DATE(EINSTELLUNG!$C$35,$A$1,1),0),I51)-MAX(D51,DATE(EINSTELLUNG!$C$35,$A$1,1))+1)/DAY(EOMONTH(DATE(EINSTELLUNG!$C$35,$A$1,1),0))*F51,2),"")</f>
        <v>86.5</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402" t="s">
        <v>123</v>
      </c>
      <c r="B52" s="128">
        <v>401751</v>
      </c>
      <c r="C52" s="69" t="s">
        <v>272</v>
      </c>
      <c r="D52" s="70">
        <v>45961</v>
      </c>
      <c r="E52" s="71" t="s">
        <v>2</v>
      </c>
      <c r="F52" s="72">
        <v>86.5</v>
      </c>
      <c r="G52" s="321">
        <f>IF(OR(E52="",F52=""),"",PID_KVLohnLookup($A$1,E52,F52,LOHNTABELLE!$H$4))</f>
        <v>2152</v>
      </c>
      <c r="H52" s="322">
        <f>IF(AND(ISNUMBER(D52),ISNUMBER(F52)),ROUNDDOWN(MIN(IF(OR(ISBLANK(I52),I52=""),EOMONTH(DATE(EINSTELLUNG!$C$35,$A$1,1),0),I52)-MAX(D52,DATE(EINSTELLUNG!$C$35,$A$1,1))+1)/DAY(EOMONTH(DATE(EINSTELLUNG!$C$35,$A$1,1),0))*F52,2),"")</f>
        <v>86.5</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402" t="s">
        <v>124</v>
      </c>
      <c r="B53" s="129">
        <v>401752</v>
      </c>
      <c r="C53" s="77" t="s">
        <v>273</v>
      </c>
      <c r="D53" s="78">
        <v>45986</v>
      </c>
      <c r="E53" s="79" t="s">
        <v>2</v>
      </c>
      <c r="F53" s="80">
        <v>86.5</v>
      </c>
      <c r="G53" s="321">
        <f>IF(OR(E53="",F53=""),"",PID_KVLohnLookup($A$1,E53,F53,LOHNTABELLE!$H$4))</f>
        <v>2152</v>
      </c>
      <c r="H53" s="322">
        <f>IF(AND(ISNUMBER(D53),ISNUMBER(F53)),ROUNDDOWN(MIN(IF(OR(ISBLANK(I53),I53=""),EOMONTH(DATE(EINSTELLUNG!$C$35,$A$1,1),0),I53)-MAX(D53,DATE(EINSTELLUNG!$C$35,$A$1,1))+1)/DAY(EOMONTH(DATE(EINSTELLUNG!$C$35,$A$1,1),0))*F53,2),"")</f>
        <v>86.5</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402" t="s">
        <v>125</v>
      </c>
      <c r="B54" s="128">
        <v>401999</v>
      </c>
      <c r="C54" s="69" t="s">
        <v>423</v>
      </c>
      <c r="D54" s="70">
        <v>46041</v>
      </c>
      <c r="E54" s="71" t="s">
        <v>2</v>
      </c>
      <c r="F54" s="72">
        <v>151.38</v>
      </c>
      <c r="G54" s="321">
        <f>IF(OR(E54="",F54=""),"",PID_KVLohnLookup($A$1,E54,F54,LOHNTABELLE!$H$4))</f>
        <v>2500</v>
      </c>
      <c r="H54" s="322">
        <f>IF(AND(ISNUMBER(D54),ISNUMBER(F54)),ROUNDDOWN(MIN(IF(OR(ISBLANK(I54),I54=""),EOMONTH(DATE(EINSTELLUNG!$C$35,$A$1,1),0),I54)-MAX(D54,DATE(EINSTELLUNG!$C$35,$A$1,1))+1)/DAY(EOMONTH(DATE(EINSTELLUNG!$C$35,$A$1,1),0))*F54,2),"")</f>
        <v>151.38</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402" t="s">
        <v>126</v>
      </c>
      <c r="B55" s="129">
        <v>401999</v>
      </c>
      <c r="C55" s="77" t="s">
        <v>295</v>
      </c>
      <c r="D55" s="81">
        <v>46082</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402000</v>
      </c>
      <c r="C56" s="69" t="s">
        <v>298</v>
      </c>
      <c r="D56" s="73">
        <v>46143</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402004</v>
      </c>
      <c r="C57" s="77" t="s">
        <v>299</v>
      </c>
      <c r="D57" s="81">
        <v>46122</v>
      </c>
      <c r="E57" s="79" t="s">
        <v>2</v>
      </c>
      <c r="F57" s="80">
        <v>173</v>
      </c>
      <c r="G57" s="321">
        <f>IF(OR(E57="",F57=""),"",PID_KVLohnLookup($A$1,E57,F57,LOHNTABELLE!$H$4))</f>
        <v>2900</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2" t="s">
        <v>129</v>
      </c>
      <c r="B58" s="128">
        <v>402405</v>
      </c>
      <c r="C58" s="69" t="s">
        <v>301</v>
      </c>
      <c r="D58" s="73">
        <v>46054</v>
      </c>
      <c r="E58" s="71" t="s">
        <v>2</v>
      </c>
      <c r="F58" s="72">
        <v>173</v>
      </c>
      <c r="G58" s="321">
        <f>IF(OR(E58="",F58=""),"",PID_KVLohnLookup($A$1,E58,F58,LOHNTABELLE!$H$4))</f>
        <v>2900</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02" t="s">
        <v>130</v>
      </c>
      <c r="B59" s="129">
        <v>500600</v>
      </c>
      <c r="C59" s="77" t="s">
        <v>305</v>
      </c>
      <c r="D59" s="81">
        <v>46054</v>
      </c>
      <c r="E59" s="79" t="s">
        <v>2</v>
      </c>
      <c r="F59" s="80">
        <v>173</v>
      </c>
      <c r="G59" s="321">
        <f>IF(OR(E59="",F59=""),"",PID_KVLohnLookup($A$1,E59,F59,LOHNTABELLE!$H$4))</f>
        <v>2900</v>
      </c>
      <c r="H59" s="322">
        <f>IF(AND(ISNUMBER(D59),ISNUMBER(F59)),ROUNDDOWN(MIN(IF(OR(ISBLANK(I59),I59=""),EOMONTH(DATE(EINSTELLUNG!$C$35,$A$1,1),0),I59)-MAX(D59,DATE(EINSTELLUNG!$C$35,$A$1,1))+1)/DAY(EOMONTH(DATE(EINSTELLUNG!$C$35,$A$1,1),0))*F59,2),"")</f>
        <v>173</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402" t="s">
        <v>131</v>
      </c>
      <c r="B60" s="128">
        <v>502000</v>
      </c>
      <c r="C60" s="69" t="s">
        <v>300</v>
      </c>
      <c r="D60" s="73">
        <v>46147</v>
      </c>
      <c r="E60" s="71" t="s">
        <v>2</v>
      </c>
      <c r="F60" s="72">
        <v>173</v>
      </c>
      <c r="G60" s="321">
        <f>IF(OR(E60="",F60=""),"",PID_KVLohnLookup($A$1,E60,F60,LOHNTABELLE!$H$4))</f>
        <v>2900</v>
      </c>
      <c r="H60" s="322">
        <f>IF(AND(ISNUMBER(D60),ISNUMBER(F60)),ROUNDDOWN(MIN(IF(OR(ISBLANK(I60),I60=""),EOMONTH(DATE(EINSTELLUNG!$C$35,$A$1,1),0),I60)-MAX(D60,DATE(EINSTELLUNG!$C$35,$A$1,1))+1)/DAY(EOMONTH(DATE(EINSTELLUNG!$C$35,$A$1,1),0))*F60,2),"")</f>
        <v>150.66999999999999</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75"/>
      <c r="N60" s="98"/>
    </row>
    <row r="61" spans="1:22" ht="22" customHeight="1">
      <c r="A61" s="402" t="s">
        <v>132</v>
      </c>
      <c r="B61" s="129">
        <v>503000</v>
      </c>
      <c r="C61" s="77" t="s">
        <v>302</v>
      </c>
      <c r="D61" s="81">
        <v>42401</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173</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2" t="s">
        <v>133</v>
      </c>
      <c r="B62" s="128">
        <v>504000</v>
      </c>
      <c r="C62" s="69" t="s">
        <v>303</v>
      </c>
      <c r="D62" s="73">
        <v>46054</v>
      </c>
      <c r="E62" s="71" t="s">
        <v>3</v>
      </c>
      <c r="F62" s="72">
        <v>138.4</v>
      </c>
      <c r="G62" s="321">
        <f>IF(OR(E62="",F62=""),"",PID_KVLohnLookup($A$1,E62,F62,LOHNTABELLE!$H$4))</f>
        <v>1665.6</v>
      </c>
      <c r="H62" s="322">
        <f>IF(AND(ISNUMBER(D62),ISNUMBER(F62)),ROUNDDOWN(MIN(IF(OR(ISBLANK(I62),I62=""),EOMONTH(DATE(EINSTELLUNG!$C$35,$A$1,1),0),I62)-MAX(D62,DATE(EINSTELLUNG!$C$35,$A$1,1))+1)/DAY(EOMONTH(DATE(EINSTELLUNG!$C$35,$A$1,1),0))*F62,2),"")</f>
        <v>138.4</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402" t="s">
        <v>134</v>
      </c>
      <c r="B63" s="129">
        <v>505000</v>
      </c>
      <c r="C63" s="77" t="s">
        <v>304</v>
      </c>
      <c r="D63" s="81">
        <v>46054</v>
      </c>
      <c r="E63" s="79" t="s">
        <v>2</v>
      </c>
      <c r="F63" s="80">
        <v>138.4</v>
      </c>
      <c r="G63" s="321">
        <f>IF(OR(E63="",F63=""),"",PID_KVLohnLookup($A$1,E63,F63,LOHNTABELLE!$H$4))</f>
        <v>2400</v>
      </c>
      <c r="H63" s="322">
        <f>IF(AND(ISNUMBER(D63),ISNUMBER(F63)),ROUNDDOWN(MIN(IF(OR(ISBLANK(I63),I63=""),EOMONTH(DATE(EINSTELLUNG!$C$35,$A$1,1),0),I63)-MAX(D63,DATE(EINSTELLUNG!$C$35,$A$1,1))+1)/DAY(EOMONTH(DATE(EINSTELLUNG!$C$35,$A$1,1),0))*F63,2),"")</f>
        <v>138.4</v>
      </c>
      <c r="I63" s="81"/>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402" t="s">
        <v>135</v>
      </c>
      <c r="B64" s="128">
        <v>525025</v>
      </c>
      <c r="C64" s="69" t="s">
        <v>425</v>
      </c>
      <c r="D64" s="73">
        <v>46040</v>
      </c>
      <c r="E64" s="71" t="s">
        <v>2</v>
      </c>
      <c r="F64" s="72">
        <v>129.75</v>
      </c>
      <c r="G64" s="321">
        <f>IF(OR(E64="",F64=""),"",PID_KVLohnLookup($A$1,E64,F64,LOHNTABELLE!$H$4))</f>
        <v>2300</v>
      </c>
      <c r="H64" s="322">
        <f>IF(AND(ISNUMBER(D64),ISNUMBER(F64)),ROUNDDOWN(MIN(IF(OR(ISBLANK(I64),I64=""),EOMONTH(DATE(EINSTELLUNG!$C$35,$A$1,1),0),I64)-MAX(D64,DATE(EINSTELLUNG!$C$35,$A$1,1))+1)/DAY(EOMONTH(DATE(EINSTELLUNG!$C$35,$A$1,1),0))*F64,2),"")</f>
        <v>129.75</v>
      </c>
      <c r="I64" s="73"/>
      <c r="J64" s="74"/>
      <c r="K64" s="321">
        <f t="shared" si="1"/>
        <v>0</v>
      </c>
      <c r="L64" s="32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402" t="s">
        <v>136</v>
      </c>
      <c r="B65" s="129">
        <v>700000</v>
      </c>
      <c r="C65" s="77" t="s">
        <v>312</v>
      </c>
      <c r="D65" s="81">
        <v>46054</v>
      </c>
      <c r="E65" s="79" t="s">
        <v>2</v>
      </c>
      <c r="F65" s="80">
        <v>173</v>
      </c>
      <c r="G65" s="321">
        <f>IF(OR(E65="",F65=""),"",PID_KVLohnLookup($A$1,E65,F65,LOHNTABELLE!$H$4))</f>
        <v>2900</v>
      </c>
      <c r="H65" s="322">
        <f>IF(AND(ISNUMBER(D65),ISNUMBER(F65)),ROUNDDOWN(MIN(IF(OR(ISBLANK(I65),I65=""),EOMONTH(DATE(EINSTELLUNG!$C$35,$A$1,1),0),I65)-MAX(D65,DATE(EINSTELLUNG!$C$35,$A$1,1))+1)/DAY(EOMONTH(DATE(EINSTELLUNG!$C$35,$A$1,1),0))*F65,2),"")</f>
        <v>173</v>
      </c>
      <c r="I65" s="81"/>
      <c r="J65" s="82"/>
      <c r="K65" s="321">
        <f t="shared" si="1"/>
        <v>0</v>
      </c>
      <c r="L65" s="32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402" t="s">
        <v>137</v>
      </c>
      <c r="B66" s="128">
        <v>800000</v>
      </c>
      <c r="C66" s="69" t="s">
        <v>313</v>
      </c>
      <c r="D66" s="73">
        <v>46096</v>
      </c>
      <c r="E66" s="71" t="s">
        <v>2</v>
      </c>
      <c r="F66" s="72">
        <v>173</v>
      </c>
      <c r="G66" s="321">
        <f>IF(OR(E66="",F66=""),"",PID_KVLohnLookup($A$1,E66,F66,LOHNTABELLE!$H$4))</f>
        <v>2900</v>
      </c>
      <c r="H66" s="322">
        <f>IF(AND(ISNUMBER(D66),ISNUMBER(F66)),ROUNDDOWN(MIN(IF(OR(ISBLANK(I66),I66=""),EOMONTH(DATE(EINSTELLUNG!$C$35,$A$1,1),0),I66)-MAX(D66,DATE(EINSTELLUNG!$C$35,$A$1,1))+1)/DAY(EOMONTH(DATE(EINSTELLUNG!$C$35,$A$1,1),0))*F66,2),"")</f>
        <v>173</v>
      </c>
      <c r="I66" s="73"/>
      <c r="J66" s="74"/>
      <c r="K66" s="321">
        <f t="shared" si="1"/>
        <v>0</v>
      </c>
      <c r="L66" s="323">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3"/>
    </row>
  </sheetData>
  <sheetProtection algorithmName="SHA-512" hashValue="NmZv0xyF8N6Wdfbu7K0tth4/AEJMLtj0jnIqvSPwM44uH1GD7JF4UUM9zfT1awXSWX0M/V2JjFy2wrQYAMsSLQ==" saltValue="l7pMMWdez4QCPoYPYndzV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D7CCFA66-49BD-4D43-B055-2BEC903C7CA0}">
          <x14:formula1>
            <xm:f>KV_DROPDOWN_HELPER!$LJ$1:$LJ$13</xm:f>
          </x14:formula1>
          <xm:sqref>F6 F8 F24</xm:sqref>
        </x14:dataValidation>
        <x14:dataValidation type="list" allowBlank="1" showInputMessage="1" showErrorMessage="1" xr:uid="{B2C9CF0F-3A0B-B244-B487-998B8B6954CE}">
          <x14:formula1>
            <xm:f>KV_DROPDOWN_HELPER!$LK$1:$LK$13</xm:f>
          </x14:formula1>
          <xm:sqref>F7 F9 F10 F11 F12 F13 F14 F62</xm:sqref>
        </x14:dataValidation>
        <x14:dataValidation type="list" allowBlank="1" showInputMessage="1" showErrorMessage="1" xr:uid="{9DEE94BA-A7A1-D14C-9C03-9879E87D2A62}">
          <x14:formula1>
            <xm:f>KV_DROPDOWN_HELPER!$LI$1:$LI$14</xm:f>
          </x14:formula1>
          <xm:sqref>F3 F4 F5 F15 F17 F18 F20 F21 F25 F26 F28 F30 F31 F32 F33 F34 F35 F36 F37 F38 F39 F40 F41 F42 F43 F44 F45 F46 F47 F48 F49 F50 F51 F52 F53 F54 F55 F56 F57 F58 F59 F60 F61 F63 F64 F65 F66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F19" sqref="F19"/>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6</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46174</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46203</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18" customHeight="1">
      <c r="A4" s="402" t="s">
        <v>51</v>
      </c>
      <c r="B4" s="128">
        <v>401047</v>
      </c>
      <c r="C4" s="69" t="s">
        <v>226</v>
      </c>
      <c r="D4" s="70">
        <v>41154</v>
      </c>
      <c r="E4" s="71" t="s">
        <v>4</v>
      </c>
      <c r="F4" s="93">
        <v>151.38</v>
      </c>
      <c r="G4" s="321">
        <f>IF(OR(E4="",F4=""),"",PID_KVLohnLookup($A$1,E4,F4,LOHNTABELLE!$H$4))</f>
        <v>1857.63</v>
      </c>
      <c r="H4" s="322">
        <f>IF(AND(ISNUMBER(D4),ISNUMBER(F4)),ROUNDDOWN(MIN(IF(OR(ISBLANK(I4),I4=""),EOMONTH(DATE(EINSTELLUNG!$C$35,$A$1,1),0),I4)-MAX(D4,DATE(EINSTELLUNG!$C$35,$A$1,1))+1)/DAY(EOMONTH(DATE(EINSTELLUNG!$C$35,$A$1,1),0))*F4,2),"")</f>
        <v>100.92</v>
      </c>
      <c r="I4" s="73">
        <v>46193</v>
      </c>
      <c r="J4" s="74">
        <v>5</v>
      </c>
      <c r="K4" s="321">
        <f t="shared" si="0"/>
        <v>309.60500000000002</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324"/>
      <c r="P4" s="324"/>
      <c r="Q4" s="324"/>
      <c r="R4" s="325"/>
      <c r="S4" s="319"/>
      <c r="T4" s="319"/>
      <c r="U4" s="319"/>
      <c r="V4" s="319"/>
    </row>
    <row r="5" spans="1:28" ht="22" customHeight="1">
      <c r="A5" s="402" t="s">
        <v>52</v>
      </c>
      <c r="B5" s="129">
        <v>401049</v>
      </c>
      <c r="C5" s="77" t="s">
        <v>225</v>
      </c>
      <c r="D5" s="78">
        <v>41130</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896.73657467463192</v>
      </c>
      <c r="P5" s="327">
        <f>EINSTELLUNG!I11</f>
        <v>600</v>
      </c>
      <c r="Q5" s="327">
        <f>P5-O5</f>
        <v>-296.73657467463192</v>
      </c>
      <c r="R5" s="328">
        <f>IFERROR(Q5*Q42, 0)</f>
        <v>-4815.420626160324</v>
      </c>
      <c r="S5" s="319"/>
      <c r="T5" s="319"/>
      <c r="U5" s="319"/>
      <c r="V5" s="319"/>
    </row>
    <row r="6" spans="1:28" ht="22" customHeight="1">
      <c r="A6" s="402" t="s">
        <v>53</v>
      </c>
      <c r="B6" s="128">
        <v>401051</v>
      </c>
      <c r="C6" s="69" t="s">
        <v>227</v>
      </c>
      <c r="D6" s="70">
        <v>41176</v>
      </c>
      <c r="E6" s="71" t="s">
        <v>4</v>
      </c>
      <c r="F6" s="72">
        <v>173</v>
      </c>
      <c r="G6" s="321">
        <f>IF(OR(E6="",F6=""),"",PID_KVLohnLookup($A$1,E6,F6,LOHNTABELLE!$H$4))</f>
        <v>2123</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401089</v>
      </c>
      <c r="C7" s="77" t="s">
        <v>241</v>
      </c>
      <c r="D7" s="78">
        <v>44868</v>
      </c>
      <c r="E7" s="79" t="s">
        <v>13</v>
      </c>
      <c r="F7" s="80">
        <v>173</v>
      </c>
      <c r="G7" s="321">
        <f>IF(OR(E7="",F7=""),"",PID_KVLohnLookup($A$1,E7,F7,LOHNTABELLE!$H$4))</f>
        <v>2328</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83"/>
      <c r="N7" s="99"/>
      <c r="O7" s="319"/>
      <c r="P7" s="319"/>
      <c r="Q7" s="319"/>
      <c r="R7" s="319"/>
      <c r="S7" s="319"/>
      <c r="T7" s="319"/>
      <c r="U7" s="319"/>
      <c r="V7" s="319"/>
    </row>
    <row r="8" spans="1:28" ht="22" customHeight="1">
      <c r="A8" s="402" t="s">
        <v>55</v>
      </c>
      <c r="B8" s="128">
        <v>401138</v>
      </c>
      <c r="C8" s="69" t="s">
        <v>228</v>
      </c>
      <c r="D8" s="70">
        <v>42006</v>
      </c>
      <c r="E8" s="71" t="s">
        <v>4</v>
      </c>
      <c r="F8" s="72">
        <v>173</v>
      </c>
      <c r="G8" s="321">
        <f>IF(OR(E8="",F8=""),"",PID_KVLohnLookup($A$1,E8,F8,LOHNTABELLE!$H$4))</f>
        <v>2123</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2" t="s">
        <v>56</v>
      </c>
      <c r="P8" s="333"/>
      <c r="Q8" s="334">
        <f>SUM(H3:H82)</f>
        <v>9241.99</v>
      </c>
      <c r="R8" s="335"/>
      <c r="S8" s="319"/>
      <c r="T8" s="319"/>
      <c r="U8" s="319"/>
      <c r="V8" s="319"/>
    </row>
    <row r="9" spans="1:28" ht="22" customHeight="1">
      <c r="A9" s="402" t="s">
        <v>57</v>
      </c>
      <c r="B9" s="129">
        <v>401197</v>
      </c>
      <c r="C9" s="77" t="s">
        <v>229</v>
      </c>
      <c r="D9" s="78">
        <v>42644</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EINSTELLUNG!L27</f>
        <v>6</v>
      </c>
      <c r="R9" s="339"/>
      <c r="S9" s="340">
        <f>IFERROR(Q9/Q8, 0)</f>
        <v>6.4921083013506832E-4</v>
      </c>
      <c r="T9" s="319"/>
      <c r="U9" s="319"/>
      <c r="V9" s="319"/>
    </row>
    <row r="10" spans="1:28" ht="22" customHeight="1">
      <c r="A10" s="402" t="s">
        <v>59</v>
      </c>
      <c r="B10" s="128">
        <v>401214</v>
      </c>
      <c r="C10" s="69" t="s">
        <v>255</v>
      </c>
      <c r="D10" s="70">
        <v>45636</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EINSTELLUNG!I27</f>
        <v>150</v>
      </c>
      <c r="R10" s="339"/>
      <c r="S10" s="319"/>
      <c r="T10" s="319"/>
      <c r="U10" s="319"/>
      <c r="V10" s="319"/>
    </row>
    <row r="11" spans="1:28" ht="22" customHeight="1">
      <c r="A11" s="402" t="s">
        <v>61</v>
      </c>
      <c r="B11" s="129">
        <v>401276</v>
      </c>
      <c r="C11" s="77" t="s">
        <v>230</v>
      </c>
      <c r="D11" s="78">
        <v>43252</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401276</v>
      </c>
      <c r="C12" s="69" t="s">
        <v>472</v>
      </c>
      <c r="D12" s="70">
        <v>38899</v>
      </c>
      <c r="E12" s="71" t="s">
        <v>3</v>
      </c>
      <c r="F12" s="72">
        <v>173</v>
      </c>
      <c r="G12" s="321">
        <f>IF(OR(E12="",F12=""),"",PID_KVLohnLookup($A$1,E12,F12,LOHNTABELLE!$H$4))</f>
        <v>2082</v>
      </c>
      <c r="H12" s="322">
        <f>IF(AND(ISNUMBER(D12),ISNUMBER(F12)),ROUNDDOWN(MIN(IF(OR(ISBLANK(I12),I12=""),EOMONTH(DATE(EINSTELLUNG!$C$35,$A$1,1),0),I12)-MAX(D12,DATE(EINSTELLUNG!$C$35,$A$1,1))+1)/DAY(EOMONTH(DATE(EINSTELLUNG!$C$35,$A$1,1),0))*F12,2),"")</f>
        <v>173</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6" t="s">
        <v>64</v>
      </c>
      <c r="P12" s="337"/>
      <c r="Q12" s="177">
        <v>100</v>
      </c>
      <c r="R12" s="178"/>
      <c r="S12" s="319"/>
      <c r="T12" s="319"/>
      <c r="U12" s="319"/>
      <c r="V12" s="319"/>
    </row>
    <row r="13" spans="1:28" ht="22" customHeight="1">
      <c r="A13" s="402" t="s">
        <v>65</v>
      </c>
      <c r="B13" s="129">
        <v>401307</v>
      </c>
      <c r="C13" s="77" t="s">
        <v>231</v>
      </c>
      <c r="D13" s="78">
        <v>43571</v>
      </c>
      <c r="E13" s="79" t="s">
        <v>3</v>
      </c>
      <c r="F13" s="80">
        <v>151.38</v>
      </c>
      <c r="G13" s="321">
        <f>IF(OR(E13="",F13=""),"",PID_KVLohnLookup($A$1,E13,F13,LOHNTABELLE!$H$4))</f>
        <v>1821.75</v>
      </c>
      <c r="H13" s="322">
        <f>IF(AND(ISNUMBER(D13),ISNUMBER(F13)),ROUNDDOWN(MIN(IF(OR(ISBLANK(I13),I13=""),EOMONTH(DATE(EINSTELLUNG!$C$35,$A$1,1),0),I13)-MAX(D13,DATE(EINSTELLUNG!$C$35,$A$1,1))+1)/DAY(EOMONTH(DATE(EINSTELLUNG!$C$35,$A$1,1),0))*F13,2),"")</f>
        <v>151.38</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1821.75</v>
      </c>
      <c r="M13" s="83"/>
      <c r="N13" s="99"/>
      <c r="O13" s="336" t="s">
        <v>66</v>
      </c>
      <c r="P13" s="337"/>
      <c r="Q13" s="338">
        <f>Q8-Q9-Q10-Q11-Q12</f>
        <v>8385.99</v>
      </c>
      <c r="R13" s="339"/>
      <c r="S13" s="319"/>
      <c r="T13" s="319"/>
      <c r="U13" s="319"/>
      <c r="V13" s="319"/>
    </row>
    <row r="14" spans="1:28" ht="22" customHeight="1">
      <c r="A14" s="402" t="s">
        <v>67</v>
      </c>
      <c r="B14" s="128">
        <v>401308</v>
      </c>
      <c r="C14" s="69" t="s">
        <v>232</v>
      </c>
      <c r="D14" s="73">
        <v>43579</v>
      </c>
      <c r="E14" s="71" t="s">
        <v>3</v>
      </c>
      <c r="F14" s="72">
        <v>173</v>
      </c>
      <c r="G14" s="321">
        <f>IF(OR(E14="",F14=""),"",PID_KVLohnLookup($A$1,E14,F14,LOHNTABELLE!$H$4))</f>
        <v>2082</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36" t="s">
        <v>68</v>
      </c>
      <c r="P14" s="337"/>
      <c r="Q14" s="338">
        <f>EINSTELLUNG!L11</f>
        <v>9300</v>
      </c>
      <c r="R14" s="339"/>
      <c r="S14" s="319"/>
      <c r="T14" s="319"/>
      <c r="U14" s="319"/>
      <c r="V14" s="319"/>
    </row>
    <row r="15" spans="1:28" ht="22" customHeight="1" thickBot="1">
      <c r="A15" s="402" t="s">
        <v>69</v>
      </c>
      <c r="B15" s="129">
        <v>401394</v>
      </c>
      <c r="C15" s="77" t="s">
        <v>233</v>
      </c>
      <c r="D15" s="78">
        <v>44379</v>
      </c>
      <c r="E15" s="79" t="s">
        <v>2</v>
      </c>
      <c r="F15" s="80">
        <v>171</v>
      </c>
      <c r="G15" s="321" t="str">
        <f>IF(OR(E15="",F15=""),"",PID_KVLohnLookup($A$1,E15,F15,LOHNTABELLE!$H$4))</f>
        <v>Nicht gefunden</v>
      </c>
      <c r="H15" s="322">
        <f>IF(AND(ISNUMBER(D15),ISNUMBER(F15)),ROUNDDOWN(MIN(IF(OR(ISBLANK(I15),I15=""),EOMONTH(DATE(EINSTELLUNG!$C$35,$A$1,1),0),I15)-MAX(D15,DATE(EINSTELLUNG!$C$35,$A$1,1))+1)/DAY(EOMONTH(DATE(EINSTELLUNG!$C$35,$A$1,1),0))*F15,2),"")</f>
        <v>171</v>
      </c>
      <c r="I15" s="81"/>
      <c r="J15" s="82"/>
      <c r="K15" s="321">
        <f t="shared" si="0"/>
        <v>0</v>
      </c>
      <c r="L15" s="323"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1" t="s">
        <v>70</v>
      </c>
      <c r="P15" s="342"/>
      <c r="Q15" s="343">
        <f>Q13-Q14</f>
        <v>-914.01000000000022</v>
      </c>
      <c r="R15" s="344"/>
      <c r="S15" s="345"/>
      <c r="T15" s="345"/>
      <c r="U15" s="345"/>
      <c r="V15" s="319"/>
    </row>
    <row r="16" spans="1:28" ht="22" customHeight="1" thickBot="1">
      <c r="A16" s="402" t="s">
        <v>71</v>
      </c>
      <c r="B16" s="128">
        <v>401406</v>
      </c>
      <c r="C16" s="69" t="s">
        <v>473</v>
      </c>
      <c r="D16" s="70">
        <v>36850</v>
      </c>
      <c r="E16" s="71" t="s">
        <v>10</v>
      </c>
      <c r="F16" s="72">
        <v>151.38</v>
      </c>
      <c r="G16" s="321">
        <f>IF(OR(E16="",F16=""),"",PID_KVLohnLookup($A$1,E16,F16,LOHNTABELLE!$H$4))</f>
        <v>2012.5</v>
      </c>
      <c r="H16" s="322">
        <f>IF(AND(ISNUMBER(D16),ISNUMBER(F16)),ROUNDDOWN(MIN(IF(OR(ISBLANK(I16),I16=""),EOMONTH(DATE(EINSTELLUNG!$C$35,$A$1,1),0),I16)-MAX(D16,DATE(EINSTELLUNG!$C$35,$A$1,1))+1)/DAY(EOMONTH(DATE(EINSTELLUNG!$C$35,$A$1,1),0))*F16,2),"")</f>
        <v>151.38</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401432</v>
      </c>
      <c r="C17" s="77" t="s">
        <v>235</v>
      </c>
      <c r="D17" s="78">
        <v>44441</v>
      </c>
      <c r="E17" s="79" t="s">
        <v>2</v>
      </c>
      <c r="F17" s="80">
        <v>173</v>
      </c>
      <c r="G17" s="321">
        <f>IF(OR(E17="",F17=""),"",PID_KVLohnLookup($A$1,E17,F17,LOHNTABELLE!$H$4))</f>
        <v>2900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411" t="s">
        <v>73</v>
      </c>
      <c r="P17" s="333"/>
      <c r="Q17" s="351">
        <f>SUM(L3:L82)</f>
        <v>149978.375</v>
      </c>
      <c r="R17" s="352"/>
      <c r="S17" s="319"/>
      <c r="T17" s="319"/>
      <c r="U17" s="319"/>
      <c r="V17" s="319"/>
      <c r="W17" s="350"/>
    </row>
    <row r="18" spans="1:29" ht="22" customHeight="1">
      <c r="A18" s="402" t="s">
        <v>74</v>
      </c>
      <c r="B18" s="128">
        <v>401476</v>
      </c>
      <c r="C18" s="69" t="s">
        <v>237</v>
      </c>
      <c r="D18" s="70">
        <v>44504</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401479</v>
      </c>
      <c r="C19" s="77" t="s">
        <v>238</v>
      </c>
      <c r="D19" s="78">
        <v>44511</v>
      </c>
      <c r="E19" s="79" t="s">
        <v>2</v>
      </c>
      <c r="F19" s="80">
        <v>173</v>
      </c>
      <c r="G19" s="321">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401481</v>
      </c>
      <c r="C20" s="69" t="s">
        <v>239</v>
      </c>
      <c r="D20" s="70">
        <v>44531</v>
      </c>
      <c r="E20" s="71" t="s">
        <v>2</v>
      </c>
      <c r="F20" s="72">
        <v>173</v>
      </c>
      <c r="G20" s="321">
        <f>IF(OR(E20="",F20=""),"",PID_KVLohnLookup($A$1,E20,F20,LOHNTABELLE!$H$4))</f>
        <v>2900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12" t="s">
        <v>296</v>
      </c>
      <c r="P20" s="354"/>
      <c r="Q20" s="355">
        <v>35</v>
      </c>
      <c r="R20" s="356"/>
      <c r="S20" s="319"/>
      <c r="T20" s="319"/>
      <c r="U20" s="319"/>
      <c r="V20" s="319"/>
    </row>
    <row r="21" spans="1:29" ht="22" customHeight="1">
      <c r="A21" s="402" t="s">
        <v>77</v>
      </c>
      <c r="B21" s="129">
        <v>401558</v>
      </c>
      <c r="C21" s="77" t="s">
        <v>236</v>
      </c>
      <c r="D21" s="81">
        <v>44460</v>
      </c>
      <c r="E21" s="79" t="s">
        <v>2</v>
      </c>
      <c r="F21" s="80">
        <v>173</v>
      </c>
      <c r="G21" s="321">
        <f>IF(OR(E21="",F21=""),"",PID_KVLohnLookup($A$1,E21,F21,LOHNTABELLE!$H$4))</f>
        <v>2900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12" t="s">
        <v>296</v>
      </c>
      <c r="P21" s="354"/>
      <c r="Q21" s="355">
        <v>100</v>
      </c>
      <c r="R21" s="356"/>
      <c r="S21" s="319"/>
      <c r="T21" s="319"/>
      <c r="U21" s="319"/>
      <c r="V21" s="319"/>
    </row>
    <row r="22" spans="1:29" ht="22" customHeight="1">
      <c r="A22" s="402" t="s">
        <v>78</v>
      </c>
      <c r="B22" s="128">
        <v>401564</v>
      </c>
      <c r="C22" s="69" t="s">
        <v>240</v>
      </c>
      <c r="D22" s="70">
        <v>44824</v>
      </c>
      <c r="E22" s="71" t="s">
        <v>2</v>
      </c>
      <c r="F22" s="72">
        <v>173</v>
      </c>
      <c r="G22" s="321">
        <f>IF(OR(E22="",F22=""),"",PID_KVLohnLookup($A$1,E22,F22,LOHNTABELLE!$H$4))</f>
        <v>2900</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412" t="s">
        <v>296</v>
      </c>
      <c r="P22" s="354"/>
      <c r="Q22" s="355"/>
      <c r="R22" s="356"/>
      <c r="S22" s="319"/>
      <c r="T22" s="319"/>
      <c r="U22" s="319"/>
      <c r="V22" s="319"/>
    </row>
    <row r="23" spans="1:29" ht="22" customHeight="1">
      <c r="A23" s="402" t="s">
        <v>79</v>
      </c>
      <c r="B23" s="129">
        <v>401583</v>
      </c>
      <c r="C23" s="77" t="s">
        <v>242</v>
      </c>
      <c r="D23" s="78">
        <v>44900</v>
      </c>
      <c r="E23" s="79" t="s">
        <v>10</v>
      </c>
      <c r="F23" s="80">
        <v>173</v>
      </c>
      <c r="G23" s="321">
        <f>IF(OR(E23="",F23=""),"",PID_KVLohnLookup($A$1,E23,F23,LOHNTABELLE!$H$4))</f>
        <v>2300</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12" t="s">
        <v>296</v>
      </c>
      <c r="P23" s="354"/>
      <c r="Q23" s="355">
        <v>5000</v>
      </c>
      <c r="R23" s="356"/>
      <c r="S23" s="319"/>
      <c r="T23" s="319"/>
      <c r="U23" s="319"/>
      <c r="V23" s="319"/>
      <c r="W23" s="350"/>
    </row>
    <row r="24" spans="1:29" ht="22" customHeight="1">
      <c r="A24" s="402" t="s">
        <v>80</v>
      </c>
      <c r="B24" s="128">
        <v>401589</v>
      </c>
      <c r="C24" s="69" t="s">
        <v>243</v>
      </c>
      <c r="D24" s="70">
        <v>44926</v>
      </c>
      <c r="E24" s="71" t="s">
        <v>10</v>
      </c>
      <c r="F24" s="72">
        <v>173</v>
      </c>
      <c r="G24" s="321">
        <f>IF(OR(E24="",F24=""),"",PID_KVLohnLookup($A$1,E24,F24,LOHNTABELLE!$H$4))</f>
        <v>2300</v>
      </c>
      <c r="H24" s="322">
        <f>IF(AND(ISNUMBER(D24),ISNUMBER(F24)),ROUNDDOWN(MIN(IF(OR(ISBLANK(I24),I24=""),EOMONTH(DATE(EINSTELLUNG!$C$35,$A$1,1),0),I24)-MAX(D24,DATE(EINSTELLUNG!$C$35,$A$1,1))+1)/DAY(EOMONTH(DATE(EINSTELLUNG!$C$35,$A$1,1),0))*F24,2),"")</f>
        <v>173</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12"/>
      <c r="P24" s="354"/>
      <c r="Q24" s="355"/>
      <c r="R24" s="356"/>
      <c r="S24" s="319"/>
      <c r="T24" s="319"/>
      <c r="U24" s="319"/>
      <c r="V24" s="319"/>
      <c r="W24" s="350"/>
    </row>
    <row r="25" spans="1:29" ht="22" customHeight="1">
      <c r="A25" s="402" t="s">
        <v>81</v>
      </c>
      <c r="B25" s="129">
        <v>401602</v>
      </c>
      <c r="C25" s="77" t="s">
        <v>244</v>
      </c>
      <c r="D25" s="78">
        <v>45975</v>
      </c>
      <c r="E25" s="79" t="s">
        <v>2</v>
      </c>
      <c r="F25" s="80">
        <v>173</v>
      </c>
      <c r="G25" s="321">
        <f>IF(OR(E25="",F25=""),"",PID_KVLohnLookup($A$1,E25,F25,LOHNTABELLE!$H$4))</f>
        <v>2900</v>
      </c>
      <c r="H25" s="322">
        <f>IF(AND(ISNUMBER(D25),ISNUMBER(F25)),ROUNDDOWN(MIN(IF(OR(ISBLANK(I25),I25=""),EOMONTH(DATE(EINSTELLUNG!$C$35,$A$1,1),0),I25)-MAX(D25,DATE(EINSTELLUNG!$C$35,$A$1,1))+1)/DAY(EOMONTH(DATE(EINSTELLUNG!$C$35,$A$1,1),0))*F25,2),"")</f>
        <v>173</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12"/>
      <c r="P25" s="354"/>
      <c r="Q25" s="355"/>
      <c r="R25" s="356"/>
      <c r="S25" s="319"/>
      <c r="T25" s="319"/>
      <c r="U25" s="319"/>
      <c r="V25" s="319"/>
    </row>
    <row r="26" spans="1:29" ht="22" customHeight="1">
      <c r="A26" s="402" t="s">
        <v>82</v>
      </c>
      <c r="B26" s="128">
        <v>401605</v>
      </c>
      <c r="C26" s="69" t="s">
        <v>245</v>
      </c>
      <c r="D26" s="70">
        <v>44986</v>
      </c>
      <c r="E26" s="71" t="s">
        <v>2</v>
      </c>
      <c r="F26" s="72">
        <v>173</v>
      </c>
      <c r="G26" s="321">
        <f>IF(OR(E26="",F26=""),"",PID_KVLohnLookup($A$1,E26,F26,LOHNTABELLE!$H$4))</f>
        <v>2900</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12"/>
      <c r="P26" s="354"/>
      <c r="Q26" s="355"/>
      <c r="R26" s="356"/>
      <c r="S26" s="319"/>
      <c r="T26" s="319"/>
      <c r="U26" s="319"/>
      <c r="V26" s="319"/>
    </row>
    <row r="27" spans="1:29" ht="22" customHeight="1">
      <c r="A27" s="402" t="s">
        <v>83</v>
      </c>
      <c r="B27" s="129">
        <v>401605</v>
      </c>
      <c r="C27" s="77" t="s">
        <v>473</v>
      </c>
      <c r="D27" s="81">
        <v>36850</v>
      </c>
      <c r="E27" s="79" t="s">
        <v>10</v>
      </c>
      <c r="F27" s="80">
        <v>151.38</v>
      </c>
      <c r="G27" s="321">
        <f>IF(OR(E27="",F27=""),"",PID_KVLohnLookup($A$1,E27,F27,LOHNTABELLE!$H$4))</f>
        <v>2012.5</v>
      </c>
      <c r="H27" s="322">
        <f>IF(AND(ISNUMBER(D27),ISNUMBER(F27)),ROUNDDOWN(MIN(IF(OR(ISBLANK(I27),I27=""),EOMONTH(DATE(EINSTELLUNG!$C$35,$A$1,1),0),I27)-MAX(D27,DATE(EINSTELLUNG!$C$35,$A$1,1))+1)/DAY(EOMONTH(DATE(EINSTELLUNG!$C$35,$A$1,1),0))*F27,2),"")</f>
        <v>151.38</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412"/>
      <c r="P27" s="354"/>
      <c r="Q27" s="355"/>
      <c r="R27" s="356"/>
      <c r="S27" s="357" t="s">
        <v>84</v>
      </c>
      <c r="T27" s="357"/>
      <c r="U27" s="357"/>
      <c r="V27" s="357"/>
    </row>
    <row r="28" spans="1:29" ht="22" customHeight="1">
      <c r="A28" s="402" t="s">
        <v>85</v>
      </c>
      <c r="B28" s="128">
        <v>401626</v>
      </c>
      <c r="C28" s="69" t="s">
        <v>246</v>
      </c>
      <c r="D28" s="70">
        <v>45063</v>
      </c>
      <c r="E28" s="71" t="s">
        <v>2</v>
      </c>
      <c r="F28" s="72">
        <v>173</v>
      </c>
      <c r="G28" s="321">
        <f>IF(OR(E28="",F28=""),"",PID_KVLohnLookup($A$1,E28,F28,LOHNTABELLE!$H$4))</f>
        <v>2900</v>
      </c>
      <c r="H28" s="322">
        <f>IF(AND(ISNUMBER(D28),ISNUMBER(F28)),ROUNDDOWN(MIN(IF(OR(ISBLANK(I28),I28=""),EOMONTH(DATE(EINSTELLUNG!$C$35,$A$1,1),0),I28)-MAX(D28,DATE(EINSTELLUNG!$C$35,$A$1,1))+1)/DAY(EOMONTH(DATE(EINSTELLUNG!$C$35,$A$1,1),0))*F28,2),"")</f>
        <v>173</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412"/>
      <c r="P28" s="354"/>
      <c r="Q28" s="355"/>
      <c r="R28" s="356"/>
      <c r="S28" s="319"/>
      <c r="T28" s="319"/>
      <c r="U28" s="319"/>
      <c r="V28" s="319"/>
    </row>
    <row r="29" spans="1:29" ht="22" customHeight="1" thickBot="1">
      <c r="A29" s="402" t="s">
        <v>86</v>
      </c>
      <c r="B29" s="129">
        <v>401633</v>
      </c>
      <c r="C29" s="77" t="s">
        <v>247</v>
      </c>
      <c r="D29" s="81">
        <v>45089</v>
      </c>
      <c r="E29" s="79" t="s">
        <v>10</v>
      </c>
      <c r="F29" s="80">
        <v>173</v>
      </c>
      <c r="G29" s="321">
        <f>IF(OR(E29="",F29=""),"",PID_KVLohnLookup($A$1,E29,F29,LOHNTABELLE!$H$4))</f>
        <v>2300</v>
      </c>
      <c r="H29" s="322">
        <f>IF(AND(ISNUMBER(D29),ISNUMBER(F29)),ROUNDDOWN(MIN(IF(OR(ISBLANK(I29),I29=""),EOMONTH(DATE(EINSTELLUNG!$C$35,$A$1,1),0),I29)-MAX(D29,DATE(EINSTELLUNG!$C$35,$A$1,1))+1)/DAY(EOMONTH(DATE(EINSTELLUNG!$C$35,$A$1,1),0))*F29,2),"")</f>
        <v>173</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413" t="s">
        <v>87</v>
      </c>
      <c r="P29" s="342"/>
      <c r="Q29" s="358">
        <f>EINSTELLUNG!O11</f>
        <v>1250</v>
      </c>
      <c r="R29" s="359"/>
      <c r="S29" s="319"/>
      <c r="T29" s="319"/>
      <c r="U29" s="319"/>
      <c r="V29" s="319"/>
    </row>
    <row r="30" spans="1:29" ht="22" customHeight="1" thickBot="1">
      <c r="A30" s="402" t="s">
        <v>88</v>
      </c>
      <c r="B30" s="128">
        <v>401647</v>
      </c>
      <c r="C30" s="69" t="s">
        <v>248</v>
      </c>
      <c r="D30" s="70">
        <v>45182</v>
      </c>
      <c r="E30" s="71" t="s">
        <v>2</v>
      </c>
      <c r="F30" s="72">
        <v>173</v>
      </c>
      <c r="G30" s="321">
        <f>IF(OR(E30="",F30=""),"",PID_KVLohnLookup($A$1,E30,F30,LOHNTABELLE!$H$4))</f>
        <v>2900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401661</v>
      </c>
      <c r="C31" s="77" t="s">
        <v>249</v>
      </c>
      <c r="D31" s="78">
        <v>45261</v>
      </c>
      <c r="E31" s="79" t="s">
        <v>2</v>
      </c>
      <c r="F31" s="80">
        <v>173</v>
      </c>
      <c r="G31" s="321">
        <f>IF(OR(E31="",F31=""),"",PID_KVLohnLookup($A$1,E31,F31,LOHNTABELLE!$H$4))</f>
        <v>2900</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14">
        <v>0</v>
      </c>
      <c r="P31" s="362"/>
      <c r="Q31" s="363">
        <v>1.6393442622950821E-2</v>
      </c>
      <c r="R31" s="364"/>
      <c r="S31" s="319"/>
      <c r="T31" s="319"/>
      <c r="U31" s="319"/>
      <c r="V31" s="319"/>
    </row>
    <row r="32" spans="1:29" ht="22" customHeight="1" thickBot="1">
      <c r="A32" s="402" t="s">
        <v>91</v>
      </c>
      <c r="B32" s="128">
        <v>401670</v>
      </c>
      <c r="C32" s="84" t="s">
        <v>250</v>
      </c>
      <c r="D32" s="73">
        <v>45358</v>
      </c>
      <c r="E32" s="71" t="s">
        <v>2</v>
      </c>
      <c r="F32" s="72">
        <v>173</v>
      </c>
      <c r="G32" s="321">
        <f>IF(OR(E32="",F32=""),"",PID_KVLohnLookup($A$1,E32,F32,LOHNTABELLE!$H$4))</f>
        <v>2900</v>
      </c>
      <c r="H32" s="322">
        <f>IF(AND(ISNUMBER(D32),ISNUMBER(F32)),ROUNDDOWN(MIN(IF(OR(ISBLANK(I32),I32=""),EOMONTH(DATE(EINSTELLUNG!$C$35,$A$1,1),0),I32)-MAX(D32,DATE(EINSTELLUNG!$C$35,$A$1,1))+1)/DAY(EOMONTH(DATE(EINSTELLUNG!$C$35,$A$1,1),0))*F32,2),"")</f>
        <v>173</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19"/>
      <c r="P32" s="319"/>
      <c r="Q32" s="319"/>
      <c r="R32" s="319"/>
      <c r="S32" s="319"/>
      <c r="T32" s="319"/>
      <c r="U32" s="319"/>
      <c r="V32" s="319"/>
    </row>
    <row r="33" spans="1:22" ht="22" customHeight="1">
      <c r="A33" s="402" t="s">
        <v>92</v>
      </c>
      <c r="B33" s="129">
        <v>401678</v>
      </c>
      <c r="C33" s="77" t="s">
        <v>251</v>
      </c>
      <c r="D33" s="78">
        <v>45414</v>
      </c>
      <c r="E33" s="79" t="s">
        <v>2</v>
      </c>
      <c r="F33" s="80">
        <v>173</v>
      </c>
      <c r="G33" s="321">
        <f>IF(OR(E33="",F33=""),"",PID_KVLohnLookup($A$1,E33,F33,LOHNTABELLE!$H$4))</f>
        <v>2900</v>
      </c>
      <c r="H33" s="322">
        <f>IF(AND(ISNUMBER(D33),ISNUMBER(F33)),ROUNDDOWN(MIN(IF(OR(ISBLANK(I33),I33=""),EOMONTH(DATE(EINSTELLUNG!$C$35,$A$1,1),0),I33)-MAX(D33,DATE(EINSTELLUNG!$C$35,$A$1,1))+1)/DAY(EOMONTH(DATE(EINSTELLUNG!$C$35,$A$1,1),0))*F33,2),"")</f>
        <v>173</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401690</v>
      </c>
      <c r="C34" s="69" t="s">
        <v>253</v>
      </c>
      <c r="D34" s="70">
        <v>45536</v>
      </c>
      <c r="E34" s="71" t="s">
        <v>2</v>
      </c>
      <c r="F34" s="72">
        <v>173</v>
      </c>
      <c r="G34" s="321">
        <f>IF(OR(E34="",F34=""),"",PID_KVLohnLookup($A$1,E34,F34,LOHNTABELLE!$H$4))</f>
        <v>2900</v>
      </c>
      <c r="H34" s="322">
        <f>IF(AND(ISNUMBER(D34),ISNUMBER(F34)),ROUNDDOWN(MIN(IF(OR(ISBLANK(I34),I34=""),EOMONTH(DATE(EINSTELLUNG!$C$35,$A$1,1),0),I34)-MAX(D34,DATE(EINSTELLUNG!$C$35,$A$1,1))+1)/DAY(EOMONTH(DATE(EINSTELLUNG!$C$35,$A$1,1),0))*F34,2),"")</f>
        <v>173</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416"/>
      <c r="P34" s="368"/>
      <c r="Q34" s="369"/>
      <c r="R34" s="369"/>
      <c r="S34" s="369"/>
      <c r="T34" s="369"/>
      <c r="U34" s="369"/>
      <c r="V34" s="370"/>
    </row>
    <row r="35" spans="1:22" ht="22" customHeight="1">
      <c r="A35" s="402" t="s">
        <v>97</v>
      </c>
      <c r="B35" s="129">
        <v>401715</v>
      </c>
      <c r="C35" s="77" t="s">
        <v>256</v>
      </c>
      <c r="D35" s="78">
        <v>45755</v>
      </c>
      <c r="E35" s="79" t="s">
        <v>2</v>
      </c>
      <c r="F35" s="80">
        <v>173</v>
      </c>
      <c r="G35" s="321">
        <f>IF(OR(E35="",F35=""),"",PID_KVLohnLookup($A$1,E35,F35,LOHNTABELLE!$H$4))</f>
        <v>2900</v>
      </c>
      <c r="H35" s="322">
        <f>IF(AND(ISNUMBER(D35),ISNUMBER(F35)),ROUNDDOWN(MIN(IF(OR(ISBLANK(I35),I35=""),EOMONTH(DATE(EINSTELLUNG!$C$35,$A$1,1),0),I35)-MAX(D35,DATE(EINSTELLUNG!$C$35,$A$1,1))+1)/DAY(EOMONTH(DATE(EINSTELLUNG!$C$35,$A$1,1),0))*F35,2),"")</f>
        <v>173</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417" t="s">
        <v>98</v>
      </c>
      <c r="P35" s="337"/>
      <c r="Q35" s="371">
        <f>EINSTELLUNG!C11</f>
        <v>400000</v>
      </c>
      <c r="R35" s="371"/>
      <c r="S35" s="371">
        <f>EINSTELLUNG!C27</f>
        <v>435000</v>
      </c>
      <c r="T35" s="371"/>
      <c r="U35" s="371">
        <f>S35-Q35</f>
        <v>35000</v>
      </c>
      <c r="V35" s="372"/>
    </row>
    <row r="36" spans="1:22" ht="22" customHeight="1">
      <c r="A36" s="402" t="s">
        <v>99</v>
      </c>
      <c r="B36" s="128">
        <v>401716</v>
      </c>
      <c r="C36" s="69" t="s">
        <v>257</v>
      </c>
      <c r="D36" s="70">
        <v>45800</v>
      </c>
      <c r="E36" s="71" t="s">
        <v>2</v>
      </c>
      <c r="F36" s="72">
        <v>173</v>
      </c>
      <c r="G36" s="321">
        <f>IF(OR(E36="",F36=""),"",PID_KVLohnLookup($A$1,E36,F36,LOHNTABELLE!$H$4))</f>
        <v>2900</v>
      </c>
      <c r="H36" s="322">
        <f>IF(AND(ISNUMBER(D36),ISNUMBER(F36)),ROUNDDOWN(MIN(IF(OR(ISBLANK(I36),I36=""),EOMONTH(DATE(EINSTELLUNG!$C$35,$A$1,1),0),I36)-MAX(D36,DATE(EINSTELLUNG!$C$35,$A$1,1))+1)/DAY(EOMONTH(DATE(EINSTELLUNG!$C$35,$A$1,1),0))*F36,2),"")</f>
        <v>173</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417" t="s">
        <v>100</v>
      </c>
      <c r="P36" s="337"/>
      <c r="Q36" s="371">
        <f>EINSTELLUNG!D11</f>
        <v>100000</v>
      </c>
      <c r="R36" s="371"/>
      <c r="S36" s="371">
        <f ca="1">SumMergedCells(Q17:R29)</f>
        <v>156716.375</v>
      </c>
      <c r="T36" s="371"/>
      <c r="U36" s="371">
        <f t="shared" ref="U36:U41" ca="1" si="2">S36-Q36</f>
        <v>56716.375</v>
      </c>
      <c r="V36" s="372"/>
    </row>
    <row r="37" spans="1:22" ht="22" customHeight="1">
      <c r="A37" s="402" t="s">
        <v>101</v>
      </c>
      <c r="B37" s="129">
        <v>401717</v>
      </c>
      <c r="C37" s="77" t="s">
        <v>258</v>
      </c>
      <c r="D37" s="78">
        <v>45814</v>
      </c>
      <c r="E37" s="79" t="s">
        <v>2</v>
      </c>
      <c r="F37" s="80">
        <v>173</v>
      </c>
      <c r="G37" s="321">
        <f>IF(OR(E37="",F37=""),"",PID_KVLohnLookup($A$1,E37,F37,LOHNTABELLE!$H$4))</f>
        <v>2900</v>
      </c>
      <c r="H37" s="322">
        <f>IF(AND(ISNUMBER(D37),ISNUMBER(F37)),ROUNDDOWN(MIN(IF(OR(ISBLANK(I37),I37=""),EOMONTH(DATE(EINSTELLUNG!$C$35,$A$1,1),0),I37)-MAX(D37,DATE(EINSTELLUNG!$C$35,$A$1,1))+1)/DAY(EOMONTH(DATE(EINSTELLUNG!$C$35,$A$1,1),0))*F37,2),"")</f>
        <v>173</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417" t="s">
        <v>102</v>
      </c>
      <c r="P37" s="337"/>
      <c r="Q37" s="373">
        <f>IF(ISERROR(Q36/Q35), 0, Q36/Q35)</f>
        <v>0.25</v>
      </c>
      <c r="R37" s="373"/>
      <c r="S37" s="373">
        <f ca="1">IF(ISERROR(S36/S35), 0, S36/S35)</f>
        <v>0.36026752873563217</v>
      </c>
      <c r="T37" s="373"/>
      <c r="U37" s="373">
        <f t="shared" ca="1" si="2"/>
        <v>0.11026752873563217</v>
      </c>
      <c r="V37" s="374"/>
    </row>
    <row r="38" spans="1:22" ht="22" customHeight="1">
      <c r="A38" s="402" t="s">
        <v>103</v>
      </c>
      <c r="B38" s="128">
        <v>401722</v>
      </c>
      <c r="C38" s="69" t="s">
        <v>259</v>
      </c>
      <c r="D38" s="70">
        <v>45848</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EINSTELLUNG!F11</f>
        <v>30000</v>
      </c>
      <c r="R38" s="338"/>
      <c r="S38" s="338">
        <f>EINSTELLUNG!F27</f>
        <v>31000</v>
      </c>
      <c r="T38" s="338"/>
      <c r="U38" s="338">
        <f t="shared" si="2"/>
        <v>1000</v>
      </c>
      <c r="V38" s="339"/>
    </row>
    <row r="39" spans="1:22" ht="22" customHeight="1">
      <c r="A39" s="402" t="s">
        <v>105</v>
      </c>
      <c r="B39" s="129">
        <v>401723</v>
      </c>
      <c r="C39" s="77" t="s">
        <v>260</v>
      </c>
      <c r="D39" s="78">
        <v>45852</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14.03225806451613</v>
      </c>
      <c r="T39" s="371"/>
      <c r="U39" s="371">
        <f t="shared" si="2"/>
        <v>0.69892473118279597</v>
      </c>
      <c r="V39" s="372"/>
    </row>
    <row r="40" spans="1:22" ht="22" customHeight="1">
      <c r="A40" s="402" t="s">
        <v>107</v>
      </c>
      <c r="B40" s="128">
        <v>401726</v>
      </c>
      <c r="C40" s="69" t="s">
        <v>261</v>
      </c>
      <c r="D40" s="70">
        <v>45870</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IF(Q12=0, 0, Q35/Q12)</f>
        <v>4000</v>
      </c>
      <c r="R40" s="371"/>
      <c r="S40" s="371">
        <f>IF(Q12=0, 0, S35/Q12)</f>
        <v>4350</v>
      </c>
      <c r="T40" s="371"/>
      <c r="U40" s="371">
        <f t="shared" si="2"/>
        <v>350</v>
      </c>
      <c r="V40" s="372"/>
    </row>
    <row r="41" spans="1:22" ht="22" customHeight="1">
      <c r="A41" s="402" t="s">
        <v>109</v>
      </c>
      <c r="B41" s="129">
        <v>401730</v>
      </c>
      <c r="C41" s="77" t="s">
        <v>263</v>
      </c>
      <c r="D41" s="78">
        <v>45895</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IF(Q12=0, 0, Q38/Q12)</f>
        <v>300</v>
      </c>
      <c r="R41" s="338"/>
      <c r="S41" s="338">
        <f>IF(Q12=0, 0, S38/Q12)</f>
        <v>310</v>
      </c>
      <c r="T41" s="338"/>
      <c r="U41" s="338">
        <f t="shared" si="2"/>
        <v>10</v>
      </c>
      <c r="V41" s="339"/>
    </row>
    <row r="42" spans="1:22" ht="22" customHeight="1">
      <c r="A42" s="402" t="s">
        <v>111</v>
      </c>
      <c r="B42" s="128">
        <v>401731</v>
      </c>
      <c r="C42" s="69" t="s">
        <v>262</v>
      </c>
      <c r="D42" s="70">
        <v>45899</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16.227930889343096</v>
      </c>
      <c r="R42" s="377"/>
      <c r="S42" s="377"/>
      <c r="T42" s="377"/>
      <c r="U42" s="377"/>
      <c r="V42" s="378"/>
    </row>
    <row r="43" spans="1:22" ht="22" customHeight="1">
      <c r="A43" s="402" t="s">
        <v>113</v>
      </c>
      <c r="B43" s="129">
        <v>401734</v>
      </c>
      <c r="C43" s="77" t="s">
        <v>264</v>
      </c>
      <c r="D43" s="78">
        <v>45904</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401737</v>
      </c>
      <c r="C44" s="69" t="s">
        <v>266</v>
      </c>
      <c r="D44" s="70">
        <v>45906</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401738</v>
      </c>
      <c r="C45" s="77" t="s">
        <v>267</v>
      </c>
      <c r="D45" s="78">
        <v>45909</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401745</v>
      </c>
      <c r="C46" s="69" t="s">
        <v>271</v>
      </c>
      <c r="D46" s="70">
        <v>45934</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401746</v>
      </c>
      <c r="C47" s="77" t="s">
        <v>270</v>
      </c>
      <c r="D47" s="78">
        <v>45941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401747</v>
      </c>
      <c r="C48" s="69" t="s">
        <v>268</v>
      </c>
      <c r="D48" s="70">
        <v>45941</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401748</v>
      </c>
      <c r="C49" s="77" t="s">
        <v>269</v>
      </c>
      <c r="D49" s="78">
        <v>45941</v>
      </c>
      <c r="E49" s="79" t="s">
        <v>2</v>
      </c>
      <c r="F49" s="80">
        <v>86.5</v>
      </c>
      <c r="G49" s="321">
        <f>IF(OR(E49="",F49=""),"",PID_KVLohnLookup($A$1,E49,F49,LOHNTABELLE!$H$4))</f>
        <v>2152</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19"/>
      <c r="P49" s="319"/>
      <c r="Q49" s="319"/>
      <c r="R49" s="319"/>
      <c r="S49" s="319"/>
      <c r="T49" s="319"/>
      <c r="U49" s="319"/>
      <c r="V49" s="319"/>
    </row>
    <row r="50" spans="1:22" ht="22" customHeight="1">
      <c r="A50" s="402" t="s">
        <v>121</v>
      </c>
      <c r="B50" s="128">
        <v>401751</v>
      </c>
      <c r="C50" s="69" t="s">
        <v>272</v>
      </c>
      <c r="D50" s="70">
        <v>45961</v>
      </c>
      <c r="E50" s="71" t="s">
        <v>2</v>
      </c>
      <c r="F50" s="72">
        <v>86.5</v>
      </c>
      <c r="G50" s="321">
        <f>IF(OR(E50="",F50=""),"",PID_KVLohnLookup($A$1,E50,F50,LOHNTABELLE!$H$4))</f>
        <v>2152</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19"/>
      <c r="P50" s="319"/>
      <c r="Q50" s="319"/>
      <c r="R50" s="319"/>
      <c r="S50" s="319"/>
      <c r="T50" s="319"/>
      <c r="U50" s="319"/>
      <c r="V50" s="319"/>
    </row>
    <row r="51" spans="1:22" ht="22" customHeight="1">
      <c r="A51" s="402" t="s">
        <v>122</v>
      </c>
      <c r="B51" s="129">
        <v>401752</v>
      </c>
      <c r="C51" s="77" t="s">
        <v>273</v>
      </c>
      <c r="D51" s="78">
        <v>45986</v>
      </c>
      <c r="E51" s="79" t="s">
        <v>2</v>
      </c>
      <c r="F51" s="80">
        <v>86.5</v>
      </c>
      <c r="G51" s="321">
        <f>IF(OR(E51="",F51=""),"",PID_KVLohnLookup($A$1,E51,F51,LOHNTABELLE!$H$4))</f>
        <v>2152</v>
      </c>
      <c r="H51" s="322">
        <f>IF(AND(ISNUMBER(D51),ISNUMBER(F51)),ROUNDDOWN(MIN(IF(OR(ISBLANK(I51),I51=""),EOMONTH(DATE(EINSTELLUNG!$C$35,$A$1,1),0),I51)-MAX(D51,DATE(EINSTELLUNG!$C$35,$A$1,1))+1)/DAY(EOMONTH(DATE(EINSTELLUNG!$C$35,$A$1,1),0))*F51,2),"")</f>
        <v>86.5</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402" t="s">
        <v>123</v>
      </c>
      <c r="B52" s="128">
        <v>401999</v>
      </c>
      <c r="C52" s="69" t="s">
        <v>423</v>
      </c>
      <c r="D52" s="70">
        <v>46041</v>
      </c>
      <c r="E52" s="71" t="s">
        <v>2</v>
      </c>
      <c r="F52" s="72">
        <v>151.38</v>
      </c>
      <c r="G52" s="321">
        <f>IF(OR(E52="",F52=""),"",PID_KVLohnLookup($A$1,E52,F52,LOHNTABELLE!$H$4))</f>
        <v>2500</v>
      </c>
      <c r="H52" s="322">
        <f>IF(AND(ISNUMBER(D52),ISNUMBER(F52)),ROUNDDOWN(MIN(IF(OR(ISBLANK(I52),I52=""),EOMONTH(DATE(EINSTELLUNG!$C$35,$A$1,1),0),I52)-MAX(D52,DATE(EINSTELLUNG!$C$35,$A$1,1))+1)/DAY(EOMONTH(DATE(EINSTELLUNG!$C$35,$A$1,1),0))*F52,2),"")</f>
        <v>151.38</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402" t="s">
        <v>124</v>
      </c>
      <c r="B53" s="129">
        <v>401999</v>
      </c>
      <c r="C53" s="77" t="s">
        <v>295</v>
      </c>
      <c r="D53" s="81">
        <v>46082</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2" t="s">
        <v>125</v>
      </c>
      <c r="B54" s="128">
        <v>402000</v>
      </c>
      <c r="C54" s="69" t="s">
        <v>298</v>
      </c>
      <c r="D54" s="73">
        <v>46143</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402004</v>
      </c>
      <c r="C55" s="77" t="s">
        <v>299</v>
      </c>
      <c r="D55" s="81">
        <v>46122</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402405</v>
      </c>
      <c r="C56" s="69" t="s">
        <v>301</v>
      </c>
      <c r="D56" s="73">
        <v>46054</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500600</v>
      </c>
      <c r="C57" s="77" t="s">
        <v>305</v>
      </c>
      <c r="D57" s="81">
        <v>46054</v>
      </c>
      <c r="E57" s="79" t="s">
        <v>2</v>
      </c>
      <c r="F57" s="80">
        <v>173</v>
      </c>
      <c r="G57" s="321">
        <f>IF(OR(E57="",F57=""),"",PID_KVLohnLookup($A$1,E57,F57,LOHNTABELLE!$H$4))</f>
        <v>2900</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2" t="s">
        <v>129</v>
      </c>
      <c r="B58" s="128">
        <v>502000</v>
      </c>
      <c r="C58" s="69" t="s">
        <v>300</v>
      </c>
      <c r="D58" s="73">
        <v>46147</v>
      </c>
      <c r="E58" s="71" t="s">
        <v>2</v>
      </c>
      <c r="F58" s="72">
        <v>173</v>
      </c>
      <c r="G58" s="321">
        <f>IF(OR(E58="",F58=""),"",PID_KVLohnLookup($A$1,E58,F58,LOHNTABELLE!$H$4))</f>
        <v>2900</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02" t="s">
        <v>130</v>
      </c>
      <c r="B59" s="129">
        <v>503000</v>
      </c>
      <c r="C59" s="77" t="s">
        <v>302</v>
      </c>
      <c r="D59" s="81">
        <v>42401</v>
      </c>
      <c r="E59" s="79" t="s">
        <v>2</v>
      </c>
      <c r="F59" s="80">
        <v>173</v>
      </c>
      <c r="G59" s="321">
        <f>IF(OR(E59="",F59=""),"",PID_KVLohnLookup($A$1,E59,F59,LOHNTABELLE!$H$4))</f>
        <v>2900</v>
      </c>
      <c r="H59" s="322">
        <f>IF(AND(ISNUMBER(D59),ISNUMBER(F59)),ROUNDDOWN(MIN(IF(OR(ISBLANK(I59),I59=""),EOMONTH(DATE(EINSTELLUNG!$C$35,$A$1,1),0),I59)-MAX(D59,DATE(EINSTELLUNG!$C$35,$A$1,1))+1)/DAY(EOMONTH(DATE(EINSTELLUNG!$C$35,$A$1,1),0))*F59,2),"")</f>
        <v>173</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402" t="s">
        <v>131</v>
      </c>
      <c r="B60" s="128">
        <v>504000</v>
      </c>
      <c r="C60" s="69" t="s">
        <v>303</v>
      </c>
      <c r="D60" s="73">
        <v>46054</v>
      </c>
      <c r="E60" s="71" t="s">
        <v>3</v>
      </c>
      <c r="F60" s="72">
        <v>138.4</v>
      </c>
      <c r="G60" s="321">
        <f>IF(OR(E60="",F60=""),"",PID_KVLohnLookup($A$1,E60,F60,LOHNTABELLE!$H$4))</f>
        <v>1665.6</v>
      </c>
      <c r="H60" s="322">
        <f>IF(AND(ISNUMBER(D60),ISNUMBER(F60)),ROUNDDOWN(MIN(IF(OR(ISBLANK(I60),I60=""),EOMONTH(DATE(EINSTELLUNG!$C$35,$A$1,1),0),I60)-MAX(D60,DATE(EINSTELLUNG!$C$35,$A$1,1))+1)/DAY(EOMONTH(DATE(EINSTELLUNG!$C$35,$A$1,1),0))*F60,2),"")</f>
        <v>138.4</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402" t="s">
        <v>132</v>
      </c>
      <c r="B61" s="129">
        <v>505000</v>
      </c>
      <c r="C61" s="77" t="s">
        <v>304</v>
      </c>
      <c r="D61" s="81">
        <v>46054</v>
      </c>
      <c r="E61" s="79" t="s">
        <v>2</v>
      </c>
      <c r="F61" s="80">
        <v>138.4</v>
      </c>
      <c r="G61" s="321">
        <f>IF(OR(E61="",F61=""),"",PID_KVLohnLookup($A$1,E61,F61,LOHNTABELLE!$H$4))</f>
        <v>2400</v>
      </c>
      <c r="H61" s="322">
        <f>IF(AND(ISNUMBER(D61),ISNUMBER(F61)),ROUNDDOWN(MIN(IF(OR(ISBLANK(I61),I61=""),EOMONTH(DATE(EINSTELLUNG!$C$35,$A$1,1),0),I61)-MAX(D61,DATE(EINSTELLUNG!$C$35,$A$1,1))+1)/DAY(EOMONTH(DATE(EINSTELLUNG!$C$35,$A$1,1),0))*F61,2),"")</f>
        <v>138.4</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402" t="s">
        <v>133</v>
      </c>
      <c r="B62" s="128">
        <v>525025</v>
      </c>
      <c r="C62" s="69" t="s">
        <v>425</v>
      </c>
      <c r="D62" s="73">
        <v>46040</v>
      </c>
      <c r="E62" s="71" t="s">
        <v>2</v>
      </c>
      <c r="F62" s="72">
        <v>129.75</v>
      </c>
      <c r="G62" s="321">
        <f>IF(OR(E62="",F62=""),"",PID_KVLohnLookup($A$1,E62,F62,LOHNTABELLE!$H$4))</f>
        <v>2300</v>
      </c>
      <c r="H62" s="322">
        <f>IF(AND(ISNUMBER(D62),ISNUMBER(F62)),ROUNDDOWN(MIN(IF(OR(ISBLANK(I62),I62=""),EOMONTH(DATE(EINSTELLUNG!$C$35,$A$1,1),0),I62)-MAX(D62,DATE(EINSTELLUNG!$C$35,$A$1,1))+1)/DAY(EOMONTH(DATE(EINSTELLUNG!$C$35,$A$1,1),0))*F62,2),"")</f>
        <v>129.75</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402" t="s">
        <v>134</v>
      </c>
      <c r="B63" s="129">
        <v>700000</v>
      </c>
      <c r="C63" s="77" t="s">
        <v>312</v>
      </c>
      <c r="D63" s="81">
        <v>46054</v>
      </c>
      <c r="E63" s="79" t="s">
        <v>2</v>
      </c>
      <c r="F63" s="80">
        <v>173</v>
      </c>
      <c r="G63" s="321">
        <f>IF(OR(E63="",F63=""),"",PID_KVLohnLookup($A$1,E63,F63,LOHNTABELLE!$H$4))</f>
        <v>2900</v>
      </c>
      <c r="H63" s="322">
        <f>IF(AND(ISNUMBER(D63),ISNUMBER(F63)),ROUNDDOWN(MIN(IF(OR(ISBLANK(I63),I63=""),EOMONTH(DATE(EINSTELLUNG!$C$35,$A$1,1),0),I63)-MAX(D63,DATE(EINSTELLUNG!$C$35,$A$1,1))+1)/DAY(EOMONTH(DATE(EINSTELLUNG!$C$35,$A$1,1),0))*F63,2),"")</f>
        <v>173</v>
      </c>
      <c r="I63" s="81"/>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402" t="s">
        <v>135</v>
      </c>
      <c r="B64" s="128">
        <v>800000</v>
      </c>
      <c r="C64" s="69" t="s">
        <v>313</v>
      </c>
      <c r="D64" s="73">
        <v>46096</v>
      </c>
      <c r="E64" s="71" t="s">
        <v>2</v>
      </c>
      <c r="F64" s="72">
        <v>173</v>
      </c>
      <c r="G64" s="321">
        <f>IF(OR(E64="",F64=""),"",PID_KVLohnLookup($A$1,E64,F64,LOHNTABELLE!$H$4))</f>
        <v>2900</v>
      </c>
      <c r="H64" s="322">
        <f>IF(AND(ISNUMBER(D64),ISNUMBER(F64)),ROUNDDOWN(MIN(IF(OR(ISBLANK(I64),I64=""),EOMONTH(DATE(EINSTELLUNG!$C$35,$A$1,1),0),I64)-MAX(D64,DATE(EINSTELLUNG!$C$35,$A$1,1))+1)/DAY(EOMONTH(DATE(EINSTELLUNG!$C$35,$A$1,1),0))*F64,2),"")</f>
        <v>173</v>
      </c>
      <c r="I64" s="73"/>
      <c r="J64" s="74"/>
      <c r="K64" s="321">
        <f t="shared" si="1"/>
        <v>0</v>
      </c>
      <c r="L64" s="32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3"/>
    </row>
  </sheetData>
  <sheetProtection algorithmName="SHA-512" hashValue="kSdiO54umkbdiR+CoV0U/81IPc2HF5792zwvYJPvRmie9/em/5NGrUW2xxlgmsjwlTDHnexnY9MFCxmm3yZYJw==" saltValue="ul3cOCiZVhHqlNBp3RB5Qw=="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F14 F60</xm:sqref>
        </x14:dataValidation>
        <x14:dataValidation type="list" allowBlank="1" showInputMessage="1" showErrorMessage="1" xr:uid="{60D04F49-F6E2-DE4E-81B8-D126292D1FC0}">
          <x14:formula1>
            <xm:f>KV_DROPDOWN_HELPER!$OP$1:$OP$13</xm:f>
          </x14:formula1>
          <xm:sqref>F16 F23 F24 F27 F29</xm:sqref>
        </x14:dataValidation>
        <x14:dataValidation type="list" allowBlank="1" showInputMessage="1" showErrorMessage="1" xr:uid="{566C7518-D2BE-AE46-9EE4-AE298ACF30C6}">
          <x14:formula1>
            <xm:f>KV_DROPDOWN_HELPER!$OQ$1:$OQ$13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089B3498-B57B-43BB-AEA3-866095129EDA}">
          <x14:formula1>
            <xm:f>KV_DROPDOWN_HELPER!$OO$1:$OO$14</xm:f>
          </x14:formula1>
          <xm:sqref>F15 F17 F18 F19 F20 F21 F22 F25 F26 F28 F30 F31 F32 F33 F34 F35 F36 F37 F38 F39 F40 F41 F42 F43 F44 F45 F46 F47 F48 F49 F50 F51 F52 F53 F54 F55 F56 F57 F58 F59 F61 F62 F63 F64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tabSelected="1" zoomScaleNormal="100" workbookViewId="0">
      <pane ySplit="2" topLeftCell="A3" activePane="bottomLeft" state="frozen"/>
      <selection activeCell="T24" sqref="T24"/>
      <selection pane="bottomLeft" activeCell="J8" sqref="J8"/>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7</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46204</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46234</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2</v>
      </c>
      <c r="F5" s="80">
        <v>166</v>
      </c>
      <c r="G5" s="321">
        <v>2454</v>
      </c>
      <c r="H5" s="322">
        <f>IF(AND(ISNUMBER(D5),ISNUMBER(F5)),ROUNDDOWN(MIN(IF(OR(ISBLANK(I5),I5=""),EOMONTH(DATE(EINSTELLUNG!$C$35,$A$1,1),0),I5)-MAX(D5,DATE(EINSTELLUNG!$C$35,$A$1,1))+1)/DAY(EOMONTH(DATE(EINSTELLUNG!$C$35,$A$1,1),0))*F5,2),"")</f>
        <v>166</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2454</v>
      </c>
      <c r="M5" s="83"/>
      <c r="N5" s="99"/>
      <c r="O5" s="326" cm="1">
        <f t="array" ref="O5">SUMPRODUCT((F3:F82/4.310808)/5*2.08)</f>
        <v>797.26655420515192</v>
      </c>
      <c r="P5" s="327">
        <f>EINSTELLUNG!I12</f>
        <v>600</v>
      </c>
      <c r="Q5" s="327">
        <f>P5-O5</f>
        <v>-197.26655420515192</v>
      </c>
      <c r="R5" s="328">
        <f>IFERROR(Q5*Q42, 0)</f>
        <v>-3469.0718557307746</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2</v>
      </c>
      <c r="F7" s="80">
        <v>166</v>
      </c>
      <c r="G7" s="321">
        <v>2454</v>
      </c>
      <c r="H7" s="322">
        <f>IF(AND(ISNUMBER(D7),ISNUMBER(F7)),ROUNDDOWN(MIN(IF(OR(ISBLANK(I7),I7=""),EOMONTH(DATE(EINSTELLUNG!$C$35,$A$1,1),0),I7)-MAX(D7,DATE(EINSTELLUNG!$C$35,$A$1,1))+1)/DAY(EOMONTH(DATE(EINSTELLUNG!$C$35,$A$1,1),0))*F7,2),"")</f>
        <v>166</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2454</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8229.56</v>
      </c>
      <c r="R8" s="335"/>
      <c r="S8" s="319"/>
      <c r="T8" s="319"/>
      <c r="U8" s="319"/>
      <c r="V8" s="319"/>
    </row>
    <row r="9" spans="1:28" ht="22" customHeight="1">
      <c r="A9" s="402" t="s">
        <v>57</v>
      </c>
      <c r="B9" s="129">
        <v>401214</v>
      </c>
      <c r="C9" s="77" t="s">
        <v>255</v>
      </c>
      <c r="D9" s="78">
        <v>45636</v>
      </c>
      <c r="E9" s="79" t="s">
        <v>2</v>
      </c>
      <c r="F9" s="80">
        <v>173</v>
      </c>
      <c r="G9" s="321">
        <v>2900</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336" t="s">
        <v>58</v>
      </c>
      <c r="P9" s="337"/>
      <c r="Q9" s="338">
        <f>EINSTELLUNG!L28</f>
        <v>7</v>
      </c>
      <c r="R9" s="339"/>
      <c r="S9" s="340">
        <f>IFERROR(Q9/Q8, 0)</f>
        <v>8.5059225523600296E-4</v>
      </c>
      <c r="T9" s="319"/>
      <c r="U9" s="319"/>
      <c r="V9" s="319"/>
    </row>
    <row r="10" spans="1:28" ht="22" customHeight="1">
      <c r="A10" s="402" t="s">
        <v>59</v>
      </c>
      <c r="B10" s="128">
        <v>401276</v>
      </c>
      <c r="C10" s="69" t="s">
        <v>230</v>
      </c>
      <c r="D10" s="70">
        <v>43252</v>
      </c>
      <c r="E10" s="71" t="s">
        <v>2</v>
      </c>
      <c r="F10" s="72">
        <v>173</v>
      </c>
      <c r="G10" s="321">
        <f>IF(OR(E10="",F10=""),"",PID_KVLohnLookup($A$1,E10,F10,LOHNTABELLE!$H$4))</f>
        <v>2900</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336" t="s">
        <v>60</v>
      </c>
      <c r="P10" s="337"/>
      <c r="Q10" s="338">
        <f>EINSTELLUNG!I28</f>
        <v>0</v>
      </c>
      <c r="R10" s="339"/>
      <c r="S10" s="319"/>
      <c r="T10" s="319"/>
      <c r="U10" s="319"/>
      <c r="V10" s="319"/>
    </row>
    <row r="11" spans="1:28" ht="22" customHeight="1">
      <c r="A11" s="402" t="s">
        <v>61</v>
      </c>
      <c r="B11" s="129">
        <v>401276</v>
      </c>
      <c r="C11" s="77" t="s">
        <v>472</v>
      </c>
      <c r="D11" s="78">
        <v>38899</v>
      </c>
      <c r="E11" s="79" t="s">
        <v>2</v>
      </c>
      <c r="F11" s="80">
        <v>173</v>
      </c>
      <c r="G11" s="321">
        <v>2900</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336" t="s">
        <v>62</v>
      </c>
      <c r="P11" s="337"/>
      <c r="Q11" s="338">
        <f>P5</f>
        <v>600</v>
      </c>
      <c r="R11" s="339"/>
      <c r="S11" s="319"/>
      <c r="T11" s="319"/>
      <c r="U11" s="319"/>
      <c r="V11" s="319"/>
    </row>
    <row r="12" spans="1:28" ht="22" customHeight="1">
      <c r="A12" s="402" t="s">
        <v>63</v>
      </c>
      <c r="B12" s="128">
        <v>401307</v>
      </c>
      <c r="C12" s="69" t="s">
        <v>231</v>
      </c>
      <c r="D12" s="70">
        <v>43571</v>
      </c>
      <c r="E12" s="71" t="s">
        <v>2</v>
      </c>
      <c r="F12" s="72">
        <v>151.38</v>
      </c>
      <c r="G12" s="321">
        <v>2500</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2500</v>
      </c>
      <c r="M12" s="75"/>
      <c r="N12" s="98"/>
      <c r="O12" s="336" t="s">
        <v>64</v>
      </c>
      <c r="P12" s="337"/>
      <c r="Q12" s="177">
        <v>-50</v>
      </c>
      <c r="R12" s="178"/>
      <c r="S12" s="319"/>
      <c r="T12" s="319"/>
      <c r="U12" s="319"/>
      <c r="V12" s="319"/>
    </row>
    <row r="13" spans="1:28" ht="22" customHeight="1">
      <c r="A13" s="402" t="s">
        <v>65</v>
      </c>
      <c r="B13" s="129">
        <v>401308</v>
      </c>
      <c r="C13" s="77" t="s">
        <v>232</v>
      </c>
      <c r="D13" s="78">
        <v>43579</v>
      </c>
      <c r="E13" s="79" t="s">
        <v>2</v>
      </c>
      <c r="F13" s="80">
        <v>166</v>
      </c>
      <c r="G13" s="321">
        <v>2454</v>
      </c>
      <c r="H13" s="322">
        <f>IF(AND(ISNUMBER(D13),ISNUMBER(F13)),ROUNDDOWN(MIN(IF(OR(ISBLANK(I13),I13=""),EOMONTH(DATE(EINSTELLUNG!$C$35,$A$1,1),0),I13)-MAX(D13,DATE(EINSTELLUNG!$C$35,$A$1,1))+1)/DAY(EOMONTH(DATE(EINSTELLUNG!$C$35,$A$1,1),0))*F13,2),"")</f>
        <v>166</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2454</v>
      </c>
      <c r="M13" s="83"/>
      <c r="N13" s="99"/>
      <c r="O13" s="336" t="s">
        <v>66</v>
      </c>
      <c r="P13" s="337"/>
      <c r="Q13" s="338">
        <f>Q8-Q9-Q10-Q11-Q12</f>
        <v>7672.5599999999995</v>
      </c>
      <c r="R13" s="339"/>
      <c r="S13" s="319"/>
      <c r="T13" s="319"/>
      <c r="U13" s="319"/>
      <c r="V13" s="319"/>
    </row>
    <row r="14" spans="1:28" ht="22" customHeigh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36" t="s">
        <v>68</v>
      </c>
      <c r="P14" s="337"/>
      <c r="Q14" s="338">
        <f>EINSTELLUNG!L12</f>
        <v>9300</v>
      </c>
      <c r="R14" s="339"/>
      <c r="S14" s="319"/>
      <c r="T14" s="319"/>
      <c r="U14" s="319"/>
      <c r="V14" s="319"/>
    </row>
    <row r="15" spans="1:28" ht="22" customHeight="1" thickBot="1">
      <c r="A15" s="402" t="s">
        <v>69</v>
      </c>
      <c r="B15" s="129">
        <v>401406</v>
      </c>
      <c r="C15" s="77" t="s">
        <v>473</v>
      </c>
      <c r="D15" s="78">
        <v>36850</v>
      </c>
      <c r="E15" s="79" t="s">
        <v>2</v>
      </c>
      <c r="F15" s="80">
        <v>151.38</v>
      </c>
      <c r="G15" s="321">
        <v>2500</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2500</v>
      </c>
      <c r="M15" s="83"/>
      <c r="N15" s="99"/>
      <c r="O15" s="341" t="s">
        <v>70</v>
      </c>
      <c r="P15" s="342"/>
      <c r="Q15" s="343">
        <f>Q13-Q14</f>
        <v>-1627.4400000000005</v>
      </c>
      <c r="R15" s="344"/>
      <c r="S15" s="345"/>
      <c r="T15" s="345"/>
      <c r="U15" s="345"/>
      <c r="V15" s="319"/>
    </row>
    <row r="16" spans="1:28" ht="18" customHeight="1" thickBot="1">
      <c r="A16" s="402" t="s">
        <v>71</v>
      </c>
      <c r="B16" s="128">
        <v>401432</v>
      </c>
      <c r="C16" s="69" t="s">
        <v>235</v>
      </c>
      <c r="D16" s="70">
        <v>44441</v>
      </c>
      <c r="E16" s="71" t="s">
        <v>2</v>
      </c>
      <c r="F16" s="72">
        <v>166</v>
      </c>
      <c r="G16" s="321">
        <f>IF(OR(E16="",F16=""),"",PID_KVLohnLookup($A$1,E16,F16,LOHNTABELLE!$H$4))</f>
        <v>2454</v>
      </c>
      <c r="H16" s="322">
        <f>IF(AND(ISNUMBER(D16),ISNUMBER(F16)),ROUNDDOWN(MIN(IF(OR(ISBLANK(I16),I16=""),EOMONTH(DATE(EINSTELLUNG!$C$35,$A$1,1),0),I16)-MAX(D16,DATE(EINSTELLUNG!$C$35,$A$1,1))+1)/DAY(EOMONTH(DATE(EINSTELLUNG!$C$35,$A$1,1),0))*F16,2),"")</f>
        <v>166</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18" customHeight="1">
      <c r="A17" s="402" t="s">
        <v>72</v>
      </c>
      <c r="B17" s="129">
        <v>401476</v>
      </c>
      <c r="C17" s="77" t="s">
        <v>237</v>
      </c>
      <c r="D17" s="78">
        <v>44504</v>
      </c>
      <c r="E17" s="79" t="s">
        <v>2</v>
      </c>
      <c r="F17" s="80">
        <v>166</v>
      </c>
      <c r="G17" s="321">
        <v>2454</v>
      </c>
      <c r="H17" s="322">
        <f>IF(AND(ISNUMBER(D17),ISNUMBER(F17)),ROUNDDOWN(MIN(IF(OR(ISBLANK(I17),I17=""),EOMONTH(DATE(EINSTELLUNG!$C$35,$A$1,1),0),I17)-MAX(D17,DATE(EINSTELLUNG!$C$35,$A$1,1))+1)/DAY(EOMONTH(DATE(EINSTELLUNG!$C$35,$A$1,1),0))*F17,2),"")</f>
        <v>133.87</v>
      </c>
      <c r="I17" s="81">
        <v>46228</v>
      </c>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1979.0322580645161</v>
      </c>
      <c r="M17" s="83"/>
      <c r="N17" s="99" t="s">
        <v>195</v>
      </c>
      <c r="O17" s="411" t="s">
        <v>73</v>
      </c>
      <c r="P17" s="333"/>
      <c r="Q17" s="351">
        <f>SUM(L3:L82)</f>
        <v>144722.63225806452</v>
      </c>
      <c r="R17" s="352"/>
      <c r="S17" s="319"/>
      <c r="T17" s="319"/>
      <c r="U17" s="319"/>
      <c r="V17" s="319"/>
      <c r="W17" s="350"/>
    </row>
    <row r="18" spans="1:29" ht="22" customHeight="1">
      <c r="A18" s="402" t="s">
        <v>74</v>
      </c>
      <c r="B18" s="128">
        <v>401479</v>
      </c>
      <c r="C18" s="69" t="s">
        <v>238</v>
      </c>
      <c r="D18" s="70">
        <v>44511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401481</v>
      </c>
      <c r="C19" s="77" t="s">
        <v>239</v>
      </c>
      <c r="D19" s="78">
        <v>44531</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401558</v>
      </c>
      <c r="C20" s="69" t="s">
        <v>236</v>
      </c>
      <c r="D20" s="73">
        <v>44460</v>
      </c>
      <c r="E20" s="71" t="s">
        <v>2</v>
      </c>
      <c r="F20" s="72">
        <v>173</v>
      </c>
      <c r="G20" s="321">
        <f>IF(OR(E20="",F20=""),"",PID_KVLohnLookup($A$1,E20,F20,LOHNTABELLE!$H$4))</f>
        <v>2900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12" t="s">
        <v>296</v>
      </c>
      <c r="P20" s="354"/>
      <c r="Q20" s="355">
        <v>35</v>
      </c>
      <c r="R20" s="356"/>
      <c r="S20" s="319"/>
      <c r="T20" s="319"/>
      <c r="U20" s="319"/>
      <c r="V20" s="319"/>
    </row>
    <row r="21" spans="1:29" ht="22" customHeight="1">
      <c r="A21" s="402" t="s">
        <v>77</v>
      </c>
      <c r="B21" s="129">
        <v>401564</v>
      </c>
      <c r="C21" s="77" t="s">
        <v>240</v>
      </c>
      <c r="D21" s="78">
        <v>44824</v>
      </c>
      <c r="E21" s="79" t="s">
        <v>2</v>
      </c>
      <c r="F21" s="80">
        <v>173</v>
      </c>
      <c r="G21" s="321">
        <f>IF(OR(E21="",F21=""),"",PID_KVLohnLookup($A$1,E21,F21,LOHNTABELLE!$H$4))</f>
        <v>2900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12" t="s">
        <v>296</v>
      </c>
      <c r="P21" s="354"/>
      <c r="Q21" s="355">
        <v>100</v>
      </c>
      <c r="R21" s="356"/>
      <c r="S21" s="319"/>
      <c r="T21" s="319"/>
      <c r="U21" s="319"/>
      <c r="V21" s="319"/>
    </row>
    <row r="22" spans="1:29" ht="22" customHeight="1">
      <c r="A22" s="402" t="s">
        <v>78</v>
      </c>
      <c r="B22" s="128">
        <v>401583</v>
      </c>
      <c r="C22" s="69" t="s">
        <v>242</v>
      </c>
      <c r="D22" s="70">
        <v>44900</v>
      </c>
      <c r="E22" s="71" t="s">
        <v>10</v>
      </c>
      <c r="F22" s="93">
        <v>173</v>
      </c>
      <c r="G22" s="321">
        <f>IF(OR(E22="",F22=""),"",PID_KVLohnLookup($A$1,E22,F22,LOHNTABELLE!$H$4))</f>
        <v>2300</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12" t="s">
        <v>296</v>
      </c>
      <c r="P22" s="354"/>
      <c r="Q22" s="355"/>
      <c r="R22" s="356"/>
      <c r="S22" s="319"/>
      <c r="T22" s="319"/>
      <c r="U22" s="319"/>
      <c r="V22" s="319"/>
    </row>
    <row r="23" spans="1:29" ht="22" customHeight="1">
      <c r="A23" s="402" t="s">
        <v>79</v>
      </c>
      <c r="B23" s="129">
        <v>401589</v>
      </c>
      <c r="C23" s="77" t="s">
        <v>243</v>
      </c>
      <c r="D23" s="78">
        <v>44926</v>
      </c>
      <c r="E23" s="79" t="s">
        <v>10</v>
      </c>
      <c r="F23" s="80">
        <v>173</v>
      </c>
      <c r="G23" s="321">
        <f>IF(OR(E23="",F23=""),"",PID_KVLohnLookup($A$1,E23,F23,LOHNTABELLE!$H$4))</f>
        <v>2300</v>
      </c>
      <c r="H23" s="322">
        <f>IF(AND(ISNUMBER(D23),ISNUMBER(F23)),ROUNDDOWN(MIN(IF(OR(ISBLANK(I23),I23=""),EOMONTH(DATE(EINSTELLUNG!$C$35,$A$1,1),0),I23)-MAX(D23,DATE(EINSTELLUNG!$C$35,$A$1,1))+1)/DAY(EOMONTH(DATE(EINSTELLUNG!$C$35,$A$1,1),0))*F23,2),"")</f>
        <v>173</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12" t="s">
        <v>296</v>
      </c>
      <c r="P23" s="354"/>
      <c r="Q23" s="355">
        <v>5000</v>
      </c>
      <c r="R23" s="356"/>
      <c r="S23" s="319"/>
      <c r="T23" s="319"/>
      <c r="U23" s="319"/>
      <c r="V23" s="319"/>
      <c r="W23" s="350"/>
    </row>
    <row r="24" spans="1:29" ht="22" customHeight="1">
      <c r="A24" s="402" t="s">
        <v>80</v>
      </c>
      <c r="B24" s="128">
        <v>401602</v>
      </c>
      <c r="C24" s="69" t="s">
        <v>244</v>
      </c>
      <c r="D24" s="70">
        <v>45975</v>
      </c>
      <c r="E24" s="71" t="s">
        <v>2</v>
      </c>
      <c r="F24" s="72">
        <v>86.5</v>
      </c>
      <c r="G24" s="321">
        <f>IF(OR(E24="",F24=""),"",PID_KVLohnLookup($A$1,E24,F24,LOHNTABELLE!$H$4))</f>
        <v>2152</v>
      </c>
      <c r="H24" s="322">
        <f>IF(AND(ISNUMBER(D24),ISNUMBER(F24)),ROUNDDOWN(MIN(IF(OR(ISBLANK(I24),I24=""),EOMONTH(DATE(EINSTELLUNG!$C$35,$A$1,1),0),I24)-MAX(D24,DATE(EINSTELLUNG!$C$35,$A$1,1))+1)/DAY(EOMONTH(DATE(EINSTELLUNG!$C$35,$A$1,1),0))*F24,2),"")</f>
        <v>86.5</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12"/>
      <c r="P24" s="354"/>
      <c r="Q24" s="355"/>
      <c r="R24" s="356"/>
      <c r="S24" s="319"/>
      <c r="T24" s="319"/>
      <c r="U24" s="319"/>
      <c r="V24" s="319"/>
      <c r="W24" s="350"/>
    </row>
    <row r="25" spans="1:29" ht="22" customHeight="1">
      <c r="A25" s="402" t="s">
        <v>81</v>
      </c>
      <c r="B25" s="129">
        <v>401605</v>
      </c>
      <c r="C25" s="77" t="s">
        <v>245</v>
      </c>
      <c r="D25" s="78">
        <v>44986</v>
      </c>
      <c r="E25" s="79" t="s">
        <v>2</v>
      </c>
      <c r="F25" s="80">
        <v>86.5</v>
      </c>
      <c r="G25" s="321">
        <f>IF(OR(E25="",F25=""),"",PID_KVLohnLookup($A$1,E25,F25,LOHNTABELLE!$H$4))</f>
        <v>2152</v>
      </c>
      <c r="H25" s="322">
        <f>IF(AND(ISNUMBER(D25),ISNUMBER(F25)),ROUNDDOWN(MIN(IF(OR(ISBLANK(I25),I25=""),EOMONTH(DATE(EINSTELLUNG!$C$35,$A$1,1),0),I25)-MAX(D25,DATE(EINSTELLUNG!$C$35,$A$1,1))+1)/DAY(EOMONTH(DATE(EINSTELLUNG!$C$35,$A$1,1),0))*F25,2),"")</f>
        <v>86.5</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12"/>
      <c r="P25" s="354"/>
      <c r="Q25" s="355"/>
      <c r="R25" s="356"/>
      <c r="S25" s="319"/>
      <c r="T25" s="319"/>
      <c r="U25" s="319"/>
      <c r="V25" s="319"/>
    </row>
    <row r="26" spans="1:29" ht="22" customHeight="1">
      <c r="A26" s="402" t="s">
        <v>82</v>
      </c>
      <c r="B26" s="128">
        <v>401605</v>
      </c>
      <c r="C26" s="69" t="s">
        <v>473</v>
      </c>
      <c r="D26" s="73">
        <v>36850</v>
      </c>
      <c r="E26" s="71" t="s">
        <v>2</v>
      </c>
      <c r="F26" s="72">
        <v>173</v>
      </c>
      <c r="G26" s="321">
        <f>IF(OR(E26="",F26=""),"",PID_KVLohnLookup($A$1,E26,F26,LOHNTABELLE!$H$4))</f>
        <v>2900</v>
      </c>
      <c r="H26" s="322">
        <f>IF(AND(ISNUMBER(D26),ISNUMBER(F26)),ROUNDDOWN(MIN(IF(OR(ISBLANK(I26),I26=""),EOMONTH(DATE(EINSTELLUNG!$C$35,$A$1,1),0),I26)-MAX(D26,DATE(EINSTELLUNG!$C$35,$A$1,1))+1)/DAY(EOMONTH(DATE(EINSTELLUNG!$C$35,$A$1,1),0))*F26,2),"")</f>
        <v>173</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12"/>
      <c r="P26" s="354"/>
      <c r="Q26" s="355"/>
      <c r="R26" s="356"/>
      <c r="S26" s="319"/>
      <c r="T26" s="319"/>
      <c r="U26" s="319"/>
      <c r="V26" s="319"/>
    </row>
    <row r="27" spans="1:29" ht="22" customHeight="1">
      <c r="A27" s="402" t="s">
        <v>83</v>
      </c>
      <c r="B27" s="129">
        <v>401626</v>
      </c>
      <c r="C27" s="77" t="s">
        <v>246</v>
      </c>
      <c r="D27" s="78">
        <v>45063</v>
      </c>
      <c r="E27" s="79" t="s">
        <v>2</v>
      </c>
      <c r="F27" s="80">
        <v>170</v>
      </c>
      <c r="G27" s="321" t="str">
        <f>IF(OR(E27="",F27=""),"",PID_KVLohnLookup($A$1,E27,F27,LOHNTABELLE!$H$4))</f>
        <v>Nicht gefunden</v>
      </c>
      <c r="H27" s="322">
        <f>IF(AND(ISNUMBER(D27),ISNUMBER(F27)),ROUNDDOWN(MIN(IF(OR(ISBLANK(I27),I27=""),EOMONTH(DATE(EINSTELLUNG!$C$35,$A$1,1),0),I27)-MAX(D27,DATE(EINSTELLUNG!$C$35,$A$1,1))+1)/DAY(EOMONTH(DATE(EINSTELLUNG!$C$35,$A$1,1),0))*F27,2),"")</f>
        <v>170</v>
      </c>
      <c r="I27" s="81"/>
      <c r="J27" s="82"/>
      <c r="K27" s="321">
        <f t="shared" si="0"/>
        <v>0</v>
      </c>
      <c r="L27" s="323"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2"/>
      <c r="P27" s="354"/>
      <c r="Q27" s="355"/>
      <c r="R27" s="356"/>
      <c r="S27" s="357" t="s">
        <v>84</v>
      </c>
      <c r="T27" s="357"/>
      <c r="U27" s="357"/>
      <c r="V27" s="357"/>
    </row>
    <row r="28" spans="1:29" ht="22" customHeight="1">
      <c r="A28" s="402" t="s">
        <v>85</v>
      </c>
      <c r="B28" s="128">
        <v>401633</v>
      </c>
      <c r="C28" s="69" t="s">
        <v>247</v>
      </c>
      <c r="D28" s="73">
        <v>45089</v>
      </c>
      <c r="E28" s="71" t="s">
        <v>10</v>
      </c>
      <c r="F28" s="72">
        <v>86.5</v>
      </c>
      <c r="G28" s="321">
        <f>IF(OR(E28="",F28=""),"",PID_KVLohnLookup($A$1,E28,F28,LOHNTABELLE!$H$4))</f>
        <v>1150</v>
      </c>
      <c r="H28" s="322">
        <f>IF(AND(ISNUMBER(D28),ISNUMBER(F28)),ROUNDDOWN(MIN(IF(OR(ISBLANK(I28),I28=""),EOMONTH(DATE(EINSTELLUNG!$C$35,$A$1,1),0),I28)-MAX(D28,DATE(EINSTELLUNG!$C$35,$A$1,1))+1)/DAY(EOMONTH(DATE(EINSTELLUNG!$C$35,$A$1,1),0))*F28,2),"")</f>
        <v>86.5</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75"/>
      <c r="N28" s="98"/>
      <c r="O28" s="412"/>
      <c r="P28" s="354"/>
      <c r="Q28" s="355"/>
      <c r="R28" s="356"/>
      <c r="S28" s="319"/>
      <c r="T28" s="319"/>
      <c r="U28" s="319"/>
      <c r="V28" s="319"/>
    </row>
    <row r="29" spans="1:29" ht="22" customHeight="1" thickBot="1">
      <c r="A29" s="402" t="s">
        <v>86</v>
      </c>
      <c r="B29" s="129">
        <v>401647</v>
      </c>
      <c r="C29" s="77" t="s">
        <v>248</v>
      </c>
      <c r="D29" s="78">
        <v>45182</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EINSTELLUNG!O12</f>
        <v>1250</v>
      </c>
      <c r="R29" s="359"/>
      <c r="S29" s="319"/>
      <c r="T29" s="319"/>
      <c r="U29" s="319"/>
      <c r="V29" s="319"/>
    </row>
    <row r="30" spans="1:29" ht="22" customHeight="1" thickBot="1">
      <c r="A30" s="402" t="s">
        <v>88</v>
      </c>
      <c r="B30" s="128">
        <v>401661</v>
      </c>
      <c r="C30" s="69" t="s">
        <v>249</v>
      </c>
      <c r="D30" s="70">
        <v>45261</v>
      </c>
      <c r="E30" s="71" t="s">
        <v>2</v>
      </c>
      <c r="F30" s="72">
        <v>86.5</v>
      </c>
      <c r="G30" s="321">
        <f>IF(OR(E30="",F30=""),"",PID_KVLohnLookup($A$1,E30,F30,LOHNTABELLE!$H$4))</f>
        <v>2152</v>
      </c>
      <c r="H30" s="322">
        <f>IF(AND(ISNUMBER(D30),ISNUMBER(F30)),ROUNDDOWN(MIN(IF(OR(ISBLANK(I30),I30=""),EOMONTH(DATE(EINSTELLUNG!$C$35,$A$1,1),0),I30)-MAX(D30,DATE(EINSTELLUNG!$C$35,$A$1,1))+1)/DAY(EOMONTH(DATE(EINSTELLUNG!$C$35,$A$1,1),0))*F30,2),"")</f>
        <v>86.5</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401670</v>
      </c>
      <c r="C31" s="77" t="s">
        <v>250</v>
      </c>
      <c r="D31" s="81">
        <v>45358</v>
      </c>
      <c r="E31" s="79" t="s">
        <v>2</v>
      </c>
      <c r="F31" s="80">
        <v>86.5</v>
      </c>
      <c r="G31" s="321">
        <f>IF(OR(E31="",F31=""),"",PID_KVLohnLookup($A$1,E31,F31,LOHNTABELLE!$H$4))</f>
        <v>2152</v>
      </c>
      <c r="H31" s="322">
        <f>IF(AND(ISNUMBER(D31),ISNUMBER(F31)),ROUNDDOWN(MIN(IF(OR(ISBLANK(I31),I31=""),EOMONTH(DATE(EINSTELLUNG!$C$35,$A$1,1),0),I31)-MAX(D31,DATE(EINSTELLUNG!$C$35,$A$1,1))+1)/DAY(EOMONTH(DATE(EINSTELLUNG!$C$35,$A$1,1),0))*F31,2),"")</f>
        <v>86.5</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14">
        <v>0</v>
      </c>
      <c r="P31" s="362"/>
      <c r="Q31" s="363">
        <v>1.6666666666666666E-2</v>
      </c>
      <c r="R31" s="364"/>
      <c r="S31" s="319"/>
      <c r="T31" s="319"/>
      <c r="U31" s="319"/>
      <c r="V31" s="319"/>
    </row>
    <row r="32" spans="1:29" ht="22" customHeight="1" thickBot="1">
      <c r="A32" s="402" t="s">
        <v>91</v>
      </c>
      <c r="B32" s="128">
        <v>401678</v>
      </c>
      <c r="C32" s="69" t="s">
        <v>251</v>
      </c>
      <c r="D32" s="70">
        <v>45414</v>
      </c>
      <c r="E32" s="71" t="s">
        <v>2</v>
      </c>
      <c r="F32" s="72">
        <v>173</v>
      </c>
      <c r="G32" s="321">
        <f>IF(OR(E32="",F32=""),"",PID_KVLohnLookup($A$1,E32,F32,LOHNTABELLE!$H$4))</f>
        <v>2900</v>
      </c>
      <c r="H32" s="322">
        <f>IF(AND(ISNUMBER(D32),ISNUMBER(F32)),ROUNDDOWN(MIN(IF(OR(ISBLANK(I32),I32=""),EOMONTH(DATE(EINSTELLUNG!$C$35,$A$1,1),0),I32)-MAX(D32,DATE(EINSTELLUNG!$C$35,$A$1,1))+1)/DAY(EOMONTH(DATE(EINSTELLUNG!$C$35,$A$1,1),0))*F32,2),"")</f>
        <v>173</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19"/>
      <c r="P32" s="319"/>
      <c r="Q32" s="319"/>
      <c r="R32" s="319"/>
      <c r="S32" s="319"/>
      <c r="T32" s="319"/>
      <c r="U32" s="319"/>
      <c r="V32" s="319"/>
    </row>
    <row r="33" spans="1:22" ht="22" customHeight="1">
      <c r="A33" s="402" t="s">
        <v>92</v>
      </c>
      <c r="B33" s="129">
        <v>401690</v>
      </c>
      <c r="C33" s="77" t="s">
        <v>253</v>
      </c>
      <c r="D33" s="78">
        <v>45536</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401715</v>
      </c>
      <c r="C34" s="69" t="s">
        <v>256</v>
      </c>
      <c r="D34" s="70">
        <v>45755</v>
      </c>
      <c r="E34" s="71" t="s">
        <v>2</v>
      </c>
      <c r="F34" s="72">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401716</v>
      </c>
      <c r="C35" s="77" t="s">
        <v>257</v>
      </c>
      <c r="D35" s="78">
        <v>45800</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EINSTELLUNG!C12</f>
        <v>400000</v>
      </c>
      <c r="R35" s="371"/>
      <c r="S35" s="371">
        <f>EINSTELLUNG!C28</f>
        <v>435000</v>
      </c>
      <c r="T35" s="371"/>
      <c r="U35" s="371">
        <f>S35-Q35</f>
        <v>35000</v>
      </c>
      <c r="V35" s="372"/>
    </row>
    <row r="36" spans="1:22" ht="22" customHeight="1">
      <c r="A36" s="402" t="s">
        <v>99</v>
      </c>
      <c r="B36" s="128">
        <v>401717</v>
      </c>
      <c r="C36" s="69" t="s">
        <v>258</v>
      </c>
      <c r="D36" s="70">
        <v>45814</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EINSTELLUNG!D12</f>
        <v>100000</v>
      </c>
      <c r="R36" s="371"/>
      <c r="S36" s="371">
        <f ca="1">SumMergedCells(Q17:R29)</f>
        <v>151460.6323</v>
      </c>
      <c r="T36" s="371"/>
      <c r="U36" s="371">
        <f t="shared" ref="U36:U41" ca="1" si="2">S36-Q36</f>
        <v>51460.632299999997</v>
      </c>
      <c r="V36" s="372"/>
    </row>
    <row r="37" spans="1:22" ht="22" customHeight="1">
      <c r="A37" s="402" t="s">
        <v>101</v>
      </c>
      <c r="B37" s="129">
        <v>401722</v>
      </c>
      <c r="C37" s="77" t="s">
        <v>259</v>
      </c>
      <c r="D37" s="78">
        <v>45848</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0.34818536160919539</v>
      </c>
      <c r="T37" s="373"/>
      <c r="U37" s="373">
        <f t="shared" ca="1" si="2"/>
        <v>9.8185361609195387E-2</v>
      </c>
      <c r="V37" s="374"/>
    </row>
    <row r="38" spans="1:22" ht="22" customHeight="1">
      <c r="A38" s="402" t="s">
        <v>103</v>
      </c>
      <c r="B38" s="128">
        <v>401723</v>
      </c>
      <c r="C38" s="69" t="s">
        <v>260</v>
      </c>
      <c r="D38" s="70">
        <v>45852</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EINSTELLUNG!F12</f>
        <v>30000</v>
      </c>
      <c r="R38" s="338"/>
      <c r="S38" s="338">
        <f>EINSTELLUNG!F28</f>
        <v>31000</v>
      </c>
      <c r="T38" s="338"/>
      <c r="U38" s="338">
        <f t="shared" si="2"/>
        <v>1000</v>
      </c>
      <c r="V38" s="339"/>
    </row>
    <row r="39" spans="1:22" ht="22" customHeight="1">
      <c r="A39" s="402" t="s">
        <v>105</v>
      </c>
      <c r="B39" s="129">
        <v>401726</v>
      </c>
      <c r="C39" s="77" t="s">
        <v>261</v>
      </c>
      <c r="D39" s="78">
        <v>45870</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14.03225806451613</v>
      </c>
      <c r="T39" s="371"/>
      <c r="U39" s="371">
        <f t="shared" si="2"/>
        <v>0.69892473118279597</v>
      </c>
      <c r="V39" s="372"/>
    </row>
    <row r="40" spans="1:22" ht="22" customHeight="1">
      <c r="A40" s="402" t="s">
        <v>107</v>
      </c>
      <c r="B40" s="128">
        <v>401730</v>
      </c>
      <c r="C40" s="69" t="s">
        <v>263</v>
      </c>
      <c r="D40" s="70">
        <v>45895</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IF(Q13=0, 0, Q35/Q13)</f>
        <v>52.13383798888507</v>
      </c>
      <c r="R40" s="371"/>
      <c r="S40" s="371">
        <f>IF(Q13=0, 0, S35/Q13)</f>
        <v>56.695548812912513</v>
      </c>
      <c r="T40" s="371"/>
      <c r="U40" s="371">
        <f t="shared" si="2"/>
        <v>4.5617108240274433</v>
      </c>
      <c r="V40" s="372"/>
    </row>
    <row r="41" spans="1:22" ht="22" customHeight="1">
      <c r="A41" s="402" t="s">
        <v>109</v>
      </c>
      <c r="B41" s="129">
        <v>401731</v>
      </c>
      <c r="C41" s="77" t="s">
        <v>262</v>
      </c>
      <c r="D41" s="78">
        <v>45899</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IF(Q13=0, 0, Q38/Q13)</f>
        <v>3.9100378491663803</v>
      </c>
      <c r="R41" s="338"/>
      <c r="S41" s="338">
        <f>IF(Q13=0, 0, S38/Q13)</f>
        <v>4.0403724441385931</v>
      </c>
      <c r="T41" s="338"/>
      <c r="U41" s="338">
        <f t="shared" si="2"/>
        <v>0.13033459497221278</v>
      </c>
      <c r="V41" s="339"/>
    </row>
    <row r="42" spans="1:22" ht="22" customHeight="1">
      <c r="A42" s="402" t="s">
        <v>111</v>
      </c>
      <c r="B42" s="128">
        <v>401734</v>
      </c>
      <c r="C42" s="69" t="s">
        <v>264</v>
      </c>
      <c r="D42" s="70">
        <v>45904</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17.585707165153973</v>
      </c>
      <c r="R42" s="377"/>
      <c r="S42" s="377"/>
      <c r="T42" s="377"/>
      <c r="U42" s="377"/>
      <c r="V42" s="378"/>
    </row>
    <row r="43" spans="1:22" ht="22" customHeight="1">
      <c r="A43" s="402" t="s">
        <v>113</v>
      </c>
      <c r="B43" s="129">
        <v>401737</v>
      </c>
      <c r="C43" s="77" t="s">
        <v>266</v>
      </c>
      <c r="D43" s="78">
        <v>45906</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401738</v>
      </c>
      <c r="C44" s="69" t="s">
        <v>267</v>
      </c>
      <c r="D44" s="70">
        <v>45909</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401745</v>
      </c>
      <c r="C45" s="77" t="s">
        <v>271</v>
      </c>
      <c r="D45" s="78">
        <v>45934</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401746</v>
      </c>
      <c r="C46" s="69" t="s">
        <v>270</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401747</v>
      </c>
      <c r="C47" s="77" t="s">
        <v>268</v>
      </c>
      <c r="D47" s="78">
        <v>45941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401748</v>
      </c>
      <c r="C48" s="69" t="s">
        <v>269</v>
      </c>
      <c r="D48" s="70">
        <v>45941</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401751</v>
      </c>
      <c r="C49" s="77" t="s">
        <v>272</v>
      </c>
      <c r="D49" s="78">
        <v>45961</v>
      </c>
      <c r="E49" s="79" t="s">
        <v>2</v>
      </c>
      <c r="F49" s="80">
        <v>86.5</v>
      </c>
      <c r="G49" s="321">
        <f>IF(OR(E49="",F49=""),"",PID_KVLohnLookup($A$1,E49,F49,LOHNTABELLE!$H$4))</f>
        <v>2152</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19"/>
      <c r="P49" s="319"/>
      <c r="Q49" s="319"/>
      <c r="R49" s="319"/>
      <c r="S49" s="319"/>
      <c r="T49" s="319"/>
      <c r="U49" s="319"/>
      <c r="V49" s="319"/>
    </row>
    <row r="50" spans="1:22" ht="22" customHeight="1">
      <c r="A50" s="402" t="s">
        <v>121</v>
      </c>
      <c r="B50" s="128">
        <v>401752</v>
      </c>
      <c r="C50" s="69" t="s">
        <v>273</v>
      </c>
      <c r="D50" s="70">
        <v>45986</v>
      </c>
      <c r="E50" s="71" t="s">
        <v>2</v>
      </c>
      <c r="F50" s="72">
        <v>86.5</v>
      </c>
      <c r="G50" s="321">
        <f>IF(OR(E50="",F50=""),"",PID_KVLohnLookup($A$1,E50,F50,LOHNTABELLE!$H$4))</f>
        <v>2152</v>
      </c>
      <c r="H50" s="322">
        <f>IF(AND(ISNUMBER(D50),ISNUMBER(F50)),ROUNDDOWN(MIN(IF(OR(ISBLANK(I50),I50=""),EOMONTH(DATE(EINSTELLUNG!$C$35,$A$1,1),0),I50)-MAX(D50,DATE(EINSTELLUNG!$C$35,$A$1,1))+1)/DAY(EOMONTH(DATE(EINSTELLUNG!$C$35,$A$1,1),0))*F50,2),"")</f>
        <v>86.5</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19"/>
      <c r="P50" s="319"/>
      <c r="Q50" s="319"/>
      <c r="R50" s="319"/>
      <c r="S50" s="319"/>
      <c r="T50" s="319"/>
      <c r="U50" s="319"/>
      <c r="V50" s="319"/>
    </row>
    <row r="51" spans="1:22" ht="22" customHeight="1">
      <c r="A51" s="402" t="s">
        <v>122</v>
      </c>
      <c r="B51" s="129">
        <v>401999</v>
      </c>
      <c r="C51" s="77" t="s">
        <v>423</v>
      </c>
      <c r="D51" s="78">
        <v>46041</v>
      </c>
      <c r="E51" s="79" t="s">
        <v>2</v>
      </c>
      <c r="F51" s="80">
        <v>151.38</v>
      </c>
      <c r="G51" s="321">
        <f>IF(OR(E51="",F51=""),"",PID_KVLohnLookup($A$1,E51,F51,LOHNTABELLE!$H$4))</f>
        <v>2500</v>
      </c>
      <c r="H51" s="322">
        <f>IF(AND(ISNUMBER(D51),ISNUMBER(F51)),ROUNDDOWN(MIN(IF(OR(ISBLANK(I51),I51=""),EOMONTH(DATE(EINSTELLUNG!$C$35,$A$1,1),0),I51)-MAX(D51,DATE(EINSTELLUNG!$C$35,$A$1,1))+1)/DAY(EOMONTH(DATE(EINSTELLUNG!$C$35,$A$1,1),0))*F51,2),"")</f>
        <v>151.38</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402" t="s">
        <v>123</v>
      </c>
      <c r="B52" s="128">
        <v>401999</v>
      </c>
      <c r="C52" s="69" t="s">
        <v>295</v>
      </c>
      <c r="D52" s="73">
        <v>46082</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2" t="s">
        <v>124</v>
      </c>
      <c r="B53" s="129">
        <v>402000</v>
      </c>
      <c r="C53" s="77" t="s">
        <v>298</v>
      </c>
      <c r="D53" s="81">
        <v>46143</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2" t="s">
        <v>125</v>
      </c>
      <c r="B54" s="128">
        <v>402004</v>
      </c>
      <c r="C54" s="69" t="s">
        <v>299</v>
      </c>
      <c r="D54" s="73">
        <v>46122</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402405</v>
      </c>
      <c r="C55" s="77" t="s">
        <v>301</v>
      </c>
      <c r="D55" s="81">
        <v>46054</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500600</v>
      </c>
      <c r="C56" s="69" t="s">
        <v>305</v>
      </c>
      <c r="D56" s="73">
        <v>46054</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502000</v>
      </c>
      <c r="C57" s="77" t="s">
        <v>300</v>
      </c>
      <c r="D57" s="81">
        <v>46147</v>
      </c>
      <c r="E57" s="79" t="s">
        <v>2</v>
      </c>
      <c r="F57" s="80">
        <v>173</v>
      </c>
      <c r="G57" s="321">
        <f>IF(OR(E57="",F57=""),"",PID_KVLohnLookup($A$1,E57,F57,LOHNTABELLE!$H$4))</f>
        <v>2900</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2" t="s">
        <v>129</v>
      </c>
      <c r="B58" s="128">
        <v>503000</v>
      </c>
      <c r="C58" s="69" t="s">
        <v>302</v>
      </c>
      <c r="D58" s="73">
        <v>42401</v>
      </c>
      <c r="E58" s="71" t="s">
        <v>2</v>
      </c>
      <c r="F58" s="72">
        <v>173</v>
      </c>
      <c r="G58" s="321">
        <f>IF(OR(E58="",F58=""),"",PID_KVLohnLookup($A$1,E58,F58,LOHNTABELLE!$H$4))</f>
        <v>2900</v>
      </c>
      <c r="H58" s="322">
        <f>IF(AND(ISNUMBER(D58),ISNUMBER(F58)),ROUNDDOWN(MIN(IF(OR(ISBLANK(I58),I58=""),EOMONTH(DATE(EINSTELLUNG!$C$35,$A$1,1),0),I58)-MAX(D58,DATE(EINSTELLUNG!$C$35,$A$1,1))+1)/DAY(EOMONTH(DATE(EINSTELLUNG!$C$35,$A$1,1),0))*F58,2),"")</f>
        <v>173</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02" t="s">
        <v>130</v>
      </c>
      <c r="B59" s="129">
        <v>504000</v>
      </c>
      <c r="C59" s="77" t="s">
        <v>303</v>
      </c>
      <c r="D59" s="81">
        <v>46054</v>
      </c>
      <c r="E59" s="79" t="s">
        <v>3</v>
      </c>
      <c r="F59" s="80">
        <v>138.4</v>
      </c>
      <c r="G59" s="321">
        <f>IF(OR(E59="",F59=""),"",PID_KVLohnLookup($A$1,E59,F59,LOHNTABELLE!$H$4))</f>
        <v>1665.6</v>
      </c>
      <c r="H59" s="322">
        <f>IF(AND(ISNUMBER(D59),ISNUMBER(F59)),ROUNDDOWN(MIN(IF(OR(ISBLANK(I59),I59=""),EOMONTH(DATE(EINSTELLUNG!$C$35,$A$1,1),0),I59)-MAX(D59,DATE(EINSTELLUNG!$C$35,$A$1,1))+1)/DAY(EOMONTH(DATE(EINSTELLUNG!$C$35,$A$1,1),0))*F59,2),"")</f>
        <v>138.4</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402" t="s">
        <v>131</v>
      </c>
      <c r="B60" s="128">
        <v>505000</v>
      </c>
      <c r="C60" s="69" t="s">
        <v>304</v>
      </c>
      <c r="D60" s="73">
        <v>46054</v>
      </c>
      <c r="E60" s="71" t="s">
        <v>2</v>
      </c>
      <c r="F60" s="72">
        <v>138.4</v>
      </c>
      <c r="G60" s="321">
        <f>IF(OR(E60="",F60=""),"",PID_KVLohnLookup($A$1,E60,F60,LOHNTABELLE!$H$4))</f>
        <v>2400</v>
      </c>
      <c r="H60" s="322">
        <f>IF(AND(ISNUMBER(D60),ISNUMBER(F60)),ROUNDDOWN(MIN(IF(OR(ISBLANK(I60),I60=""),EOMONTH(DATE(EINSTELLUNG!$C$35,$A$1,1),0),I60)-MAX(D60,DATE(EINSTELLUNG!$C$35,$A$1,1))+1)/DAY(EOMONTH(DATE(EINSTELLUNG!$C$35,$A$1,1),0))*F60,2),"")</f>
        <v>138.4</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402" t="s">
        <v>132</v>
      </c>
      <c r="B61" s="129">
        <v>525025</v>
      </c>
      <c r="C61" s="94" t="s">
        <v>425</v>
      </c>
      <c r="D61" s="81">
        <v>46040</v>
      </c>
      <c r="E61" s="79" t="s">
        <v>2</v>
      </c>
      <c r="F61" s="80">
        <v>129.75</v>
      </c>
      <c r="G61" s="321">
        <f>IF(OR(E61="",F61=""),"",PID_KVLohnLookup($A$1,E61,F61,LOHNTABELLE!$H$4))</f>
        <v>2300</v>
      </c>
      <c r="H61" s="322">
        <f>IF(AND(ISNUMBER(D61),ISNUMBER(F61)),ROUNDDOWN(MIN(IF(OR(ISBLANK(I61),I61=""),EOMONTH(DATE(EINSTELLUNG!$C$35,$A$1,1),0),I61)-MAX(D61,DATE(EINSTELLUNG!$C$35,$A$1,1))+1)/DAY(EOMONTH(DATE(EINSTELLUNG!$C$35,$A$1,1),0))*F61,2),"")</f>
        <v>129.75</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402" t="s">
        <v>133</v>
      </c>
      <c r="B62" s="128">
        <v>700000</v>
      </c>
      <c r="C62" s="69" t="s">
        <v>312</v>
      </c>
      <c r="D62" s="73">
        <v>46054</v>
      </c>
      <c r="E62" s="71" t="s">
        <v>2</v>
      </c>
      <c r="F62" s="72">
        <v>173</v>
      </c>
      <c r="G62" s="321">
        <f>IF(OR(E62="",F62=""),"",PID_KVLohnLookup($A$1,E62,F62,LOHNTABELLE!$H$4))</f>
        <v>2900</v>
      </c>
      <c r="H62" s="322">
        <f>IF(AND(ISNUMBER(D62),ISNUMBER(F62)),ROUNDDOWN(MIN(IF(OR(ISBLANK(I62),I62=""),EOMONTH(DATE(EINSTELLUNG!$C$35,$A$1,1),0),I62)-MAX(D62,DATE(EINSTELLUNG!$C$35,$A$1,1))+1)/DAY(EOMONTH(DATE(EINSTELLUNG!$C$35,$A$1,1),0))*F62,2),"")</f>
        <v>173</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02" t="s">
        <v>134</v>
      </c>
      <c r="B63" s="129">
        <v>800000</v>
      </c>
      <c r="C63" s="77" t="s">
        <v>313</v>
      </c>
      <c r="D63" s="81">
        <v>46096</v>
      </c>
      <c r="E63" s="79" t="s">
        <v>2</v>
      </c>
      <c r="F63" s="80">
        <v>173</v>
      </c>
      <c r="G63" s="321">
        <f>IF(OR(E63="",F63=""),"",PID_KVLohnLookup($A$1,E63,F63,LOHNTABELLE!$H$4))</f>
        <v>2900</v>
      </c>
      <c r="H63" s="322">
        <f>IF(AND(ISNUMBER(D63),ISNUMBER(F63)),ROUNDDOWN(MIN(IF(OR(ISBLANK(I63),I63=""),EOMONTH(DATE(EINSTELLUNG!$C$35,$A$1,1),0),I63)-MAX(D63,DATE(EINSTELLUNG!$C$35,$A$1,1))+1)/DAY(EOMONTH(DATE(EINSTELLUNG!$C$35,$A$1,1),0))*F63,2),"")</f>
        <v>173</v>
      </c>
      <c r="I63" s="81"/>
      <c r="J63" s="82"/>
      <c r="K63" s="321">
        <f t="shared" si="1"/>
        <v>0</v>
      </c>
      <c r="L63" s="32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8QNijOp74HKXQSIqjlDqhv/bk5TGhA20gmKlUAfLH0U1O9OI3fL3NX8htv5Ps/X51Xa41xpgL7al93bROaJoww==" saltValue="65rHuDov5U/jb3YX1reIi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9011624A-4A56-604D-B98F-66CB4B571FCD}">
          <x14:formula1>
            <xm:f>KV_DROPDOWN_HELPER!$RP$1:$RP$13</xm:f>
          </x14:formula1>
          <xm:sqref>F6</xm:sqref>
        </x14:dataValidation>
        <x14:dataValidation type="list" allowBlank="1" showInputMessage="1" showErrorMessage="1" xr:uid="{B9ABD554-0AD5-1F4D-85DC-2B115FAE3575}">
          <x14:formula1>
            <xm:f>KV_DROPDOWN_HELPER!$RR$1:$RR$13</xm:f>
          </x14:formula1>
          <xm:sqref>F22 F23 F28</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925EEDC0-6279-534C-8047-2C9AEDAE0300}">
          <x14:formula1>
            <xm:f>KV_DROPDOWN_HELPER!$RQ$1:$RQ$13</xm:f>
          </x14:formula1>
          <xm:sqref>F8 F59</xm:sqref>
        </x14:dataValidation>
        <x14:dataValidation type="list" allowBlank="1" showInputMessage="1" showErrorMessage="1" xr:uid="{0007BA7D-D1D5-7346-B550-F4BB5AEA9C56}">
          <x14:formula1>
            <xm:f>KV_DROPDOWN_HELPER!$RO$1:$RO$14</xm:f>
          </x14:formula1>
          <xm:sqref>F5 F7 F9 F10 F11 F12 F13 F14 F15 F16 F17 F18 F19 F20 F21 F24 F25 F26 F27 F29 F30 F31 F32 F33 F34 F35 F36 F37 F38 F39 F40 F41 F42 F43 F44 F45 F46 F47 F48 F49 F50 F51 F52 F53 F54 F55 F56 F57 F58 F60 F61 F62 F63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8</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46235</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46265</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773.80507784155623</v>
      </c>
      <c r="P5" s="327">
        <f>EINSTELLUNG!I13</f>
        <v>620</v>
      </c>
      <c r="Q5" s="327">
        <f>P5-O5</f>
        <v>-153.80507784155623</v>
      </c>
      <c r="R5" s="328">
        <f>IFERROR(Q5*Q42, 0)</f>
        <v>-2667.3319502634581</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4</v>
      </c>
      <c r="F7" s="80">
        <v>173</v>
      </c>
      <c r="G7" s="321">
        <f>IF(OR(E7="",F7=""),"",PID_KVLohnLookup($A$1,E7,F7,LOHNTABELLE!$H$4))</f>
        <v>2123</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8018.57</v>
      </c>
      <c r="R8" s="335"/>
      <c r="S8" s="319"/>
      <c r="T8" s="319"/>
      <c r="U8" s="319"/>
      <c r="V8" s="319"/>
    </row>
    <row r="9" spans="1:28" ht="22" customHeight="1">
      <c r="A9" s="402" t="s">
        <v>57</v>
      </c>
      <c r="B9" s="129">
        <v>401214</v>
      </c>
      <c r="C9" s="77" t="s">
        <v>255</v>
      </c>
      <c r="D9" s="78">
        <v>45636</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EINSTELLUNG!L29</f>
        <v>8</v>
      </c>
      <c r="R9" s="339"/>
      <c r="S9" s="340">
        <f>IFERROR(Q9/Q8, 0)</f>
        <v>9.9768412572316515E-4</v>
      </c>
      <c r="T9" s="319"/>
      <c r="U9" s="319"/>
      <c r="V9" s="319"/>
    </row>
    <row r="10" spans="1:28" ht="22" customHeight="1">
      <c r="A10" s="402" t="s">
        <v>59</v>
      </c>
      <c r="B10" s="128">
        <v>401276</v>
      </c>
      <c r="C10" s="69" t="s">
        <v>230</v>
      </c>
      <c r="D10" s="70">
        <v>43252</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EINSTELLUNG!I29</f>
        <v>150</v>
      </c>
      <c r="R10" s="339"/>
      <c r="S10" s="319"/>
      <c r="T10" s="319"/>
      <c r="U10" s="319"/>
      <c r="V10" s="319"/>
    </row>
    <row r="11" spans="1:28" ht="22" customHeight="1">
      <c r="A11" s="402" t="s">
        <v>61</v>
      </c>
      <c r="B11" s="129">
        <v>401276</v>
      </c>
      <c r="C11" s="77" t="s">
        <v>472</v>
      </c>
      <c r="D11" s="78">
        <v>38899</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620</v>
      </c>
      <c r="R11" s="339"/>
      <c r="S11" s="319"/>
      <c r="T11" s="319"/>
      <c r="U11" s="319"/>
      <c r="V11" s="319"/>
    </row>
    <row r="12" spans="1:28" ht="22" customHeight="1">
      <c r="A12" s="402" t="s">
        <v>63</v>
      </c>
      <c r="B12" s="128">
        <v>401307</v>
      </c>
      <c r="C12" s="69" t="s">
        <v>231</v>
      </c>
      <c r="D12" s="70">
        <v>43571</v>
      </c>
      <c r="E12" s="71" t="s">
        <v>3</v>
      </c>
      <c r="F12" s="93">
        <v>151.38</v>
      </c>
      <c r="G12" s="321">
        <f>IF(OR(E12="",F12=""),"",PID_KVLohnLookup($A$1,E12,F12,LOHNTABELLE!$H$4))</f>
        <v>1821.75</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6" t="s">
        <v>66</v>
      </c>
      <c r="P12" s="337"/>
      <c r="Q12" s="338">
        <f>Q8-Q9-Q10-Q11</f>
        <v>7240.57</v>
      </c>
      <c r="R12" s="339"/>
      <c r="S12" s="319"/>
      <c r="T12" s="319"/>
      <c r="U12" s="319"/>
      <c r="V12" s="319"/>
    </row>
    <row r="13" spans="1:28" ht="22" customHeight="1">
      <c r="A13" s="402" t="s">
        <v>65</v>
      </c>
      <c r="B13" s="129">
        <v>401308</v>
      </c>
      <c r="C13" s="77" t="s">
        <v>232</v>
      </c>
      <c r="D13" s="78">
        <v>43579</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68</v>
      </c>
      <c r="P13" s="337"/>
      <c r="Q13" s="338">
        <f>EINSTELLUNG!L13</f>
        <v>9300</v>
      </c>
      <c r="R13" s="339"/>
      <c r="S13" s="319"/>
      <c r="T13" s="319"/>
      <c r="U13" s="319"/>
      <c r="V13" s="319"/>
    </row>
    <row r="14" spans="1:28" ht="22" customHeight="1" thickBo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41" t="s">
        <v>70</v>
      </c>
      <c r="P14" s="342"/>
      <c r="Q14" s="343">
        <f>Q12-Q13</f>
        <v>-2059.4300000000003</v>
      </c>
      <c r="R14" s="344"/>
      <c r="S14" s="319"/>
      <c r="T14" s="319"/>
      <c r="U14" s="319"/>
      <c r="V14" s="319"/>
    </row>
    <row r="15" spans="1:28" ht="22" customHeight="1">
      <c r="A15" s="402" t="s">
        <v>69</v>
      </c>
      <c r="B15" s="129">
        <v>401406</v>
      </c>
      <c r="C15" s="77" t="s">
        <v>473</v>
      </c>
      <c r="D15" s="78">
        <v>36850</v>
      </c>
      <c r="E15" s="79" t="s">
        <v>10</v>
      </c>
      <c r="F15" s="80">
        <v>151.38</v>
      </c>
      <c r="G15" s="321">
        <f>IF(OR(E15="",F15=""),"",PID_KVLohnLookup($A$1,E15,F15,LOHNTABELLE!$H$4))</f>
        <v>2012.5</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06" t="str">
        <f>IF(Q14&lt;0, "Schlecht! Zu wenig Stunden für Dienstplan.", IF(Q14&gt;0, "Du hast mehr als genug Stunden für Dienstplan.", ""))</f>
        <v>Schlecht! Zu wenig Stunden für Dienstplan.</v>
      </c>
      <c r="P15" s="407"/>
      <c r="Q15" s="407"/>
      <c r="R15" s="407"/>
      <c r="S15" s="345"/>
      <c r="T15" s="345"/>
      <c r="U15" s="345"/>
      <c r="V15" s="319"/>
    </row>
    <row r="16" spans="1:28" ht="22" customHeight="1" thickBot="1">
      <c r="A16" s="402" t="s">
        <v>71</v>
      </c>
      <c r="B16" s="128">
        <v>401432</v>
      </c>
      <c r="C16" s="69" t="s">
        <v>235</v>
      </c>
      <c r="D16" s="70">
        <v>44441</v>
      </c>
      <c r="E16" s="71" t="s">
        <v>2</v>
      </c>
      <c r="F16" s="72">
        <v>173</v>
      </c>
      <c r="G16" s="321">
        <f>IF(OR(E16="",F16=""),"",PID_KVLohnLookup($A$1,E16,F16,LOHNTABELLE!$H$4))</f>
        <v>2900</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08"/>
      <c r="P16" s="409"/>
      <c r="Q16" s="409"/>
      <c r="R16" s="410"/>
      <c r="S16" s="349"/>
      <c r="T16" s="349"/>
      <c r="U16" s="349"/>
      <c r="V16" s="349"/>
      <c r="W16" s="350"/>
    </row>
    <row r="17" spans="1:29" ht="22" customHeight="1">
      <c r="A17" s="402" t="s">
        <v>72</v>
      </c>
      <c r="B17" s="129">
        <v>401479</v>
      </c>
      <c r="C17" s="77" t="s">
        <v>238</v>
      </c>
      <c r="D17" s="78">
        <v>44511</v>
      </c>
      <c r="E17" s="79" t="s">
        <v>6</v>
      </c>
      <c r="F17" s="80">
        <v>173</v>
      </c>
      <c r="G17" s="321">
        <f>IF(OR(E17="",F17=""),"",PID_KVLohnLookup($A$1,E17,F17,LOHNTABELLE!$H$4))</f>
        <v>2160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11" t="s">
        <v>73</v>
      </c>
      <c r="P17" s="333"/>
      <c r="Q17" s="351">
        <f>SUM(L3:L82)</f>
        <v>139060.35</v>
      </c>
      <c r="R17" s="352"/>
      <c r="S17" s="319"/>
      <c r="T17" s="319"/>
      <c r="U17" s="319"/>
      <c r="V17" s="319"/>
      <c r="W17" s="350"/>
    </row>
    <row r="18" spans="1:29" ht="22" customHeight="1">
      <c r="A18" s="402" t="s">
        <v>74</v>
      </c>
      <c r="B18" s="128">
        <v>401481</v>
      </c>
      <c r="C18" s="69" t="s">
        <v>239</v>
      </c>
      <c r="D18" s="70">
        <v>44531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401558</v>
      </c>
      <c r="C19" s="77" t="s">
        <v>236</v>
      </c>
      <c r="D19" s="78">
        <v>44460</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401564</v>
      </c>
      <c r="C20" s="69" t="s">
        <v>240</v>
      </c>
      <c r="D20" s="70">
        <v>44824</v>
      </c>
      <c r="E20" s="71" t="s">
        <v>2</v>
      </c>
      <c r="F20" s="72">
        <v>173</v>
      </c>
      <c r="G20" s="321">
        <f>IF(OR(E20="",F20=""),"",PID_KVLohnLookup($A$1,E20,F20,LOHNTABELLE!$H$4))</f>
        <v>2900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12" t="s">
        <v>296</v>
      </c>
      <c r="P20" s="354"/>
      <c r="Q20" s="355">
        <v>35</v>
      </c>
      <c r="R20" s="356"/>
      <c r="S20" s="319"/>
      <c r="T20" s="319"/>
      <c r="U20" s="319"/>
      <c r="V20" s="319"/>
    </row>
    <row r="21" spans="1:29" ht="22" customHeight="1">
      <c r="A21" s="402" t="s">
        <v>77</v>
      </c>
      <c r="B21" s="129">
        <v>401583</v>
      </c>
      <c r="C21" s="77" t="s">
        <v>242</v>
      </c>
      <c r="D21" s="78">
        <v>44900</v>
      </c>
      <c r="E21" s="79" t="s">
        <v>10</v>
      </c>
      <c r="F21" s="80">
        <v>173</v>
      </c>
      <c r="G21" s="321">
        <f>IF(OR(E21="",F21=""),"",PID_KVLohnLookup($A$1,E21,F21,LOHNTABELLE!$H$4))</f>
        <v>2300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12" t="s">
        <v>296</v>
      </c>
      <c r="P21" s="354"/>
      <c r="Q21" s="355">
        <v>100</v>
      </c>
      <c r="R21" s="356"/>
      <c r="S21" s="319"/>
      <c r="T21" s="319"/>
      <c r="U21" s="319"/>
      <c r="V21" s="319"/>
    </row>
    <row r="22" spans="1:29" ht="22" customHeight="1">
      <c r="A22" s="402" t="s">
        <v>78</v>
      </c>
      <c r="B22" s="128">
        <v>401589</v>
      </c>
      <c r="C22" s="69" t="s">
        <v>243</v>
      </c>
      <c r="D22" s="70">
        <v>44926</v>
      </c>
      <c r="E22" s="71" t="s">
        <v>10</v>
      </c>
      <c r="F22" s="72">
        <v>173</v>
      </c>
      <c r="G22" s="321">
        <f>IF(OR(E22="",F22=""),"",PID_KVLohnLookup($A$1,E22,F22,LOHNTABELLE!$H$4))</f>
        <v>2300</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12" t="s">
        <v>296</v>
      </c>
      <c r="P22" s="354"/>
      <c r="Q22" s="355"/>
      <c r="R22" s="356"/>
      <c r="S22" s="319"/>
      <c r="T22" s="319"/>
      <c r="U22" s="319"/>
      <c r="V22" s="319"/>
    </row>
    <row r="23" spans="1:29" ht="22" customHeight="1">
      <c r="A23" s="402" t="s">
        <v>79</v>
      </c>
      <c r="B23" s="129">
        <v>401602</v>
      </c>
      <c r="C23" s="77" t="s">
        <v>244</v>
      </c>
      <c r="D23" s="78">
        <v>45975</v>
      </c>
      <c r="E23" s="79" t="s">
        <v>2</v>
      </c>
      <c r="F23" s="80">
        <v>86.5</v>
      </c>
      <c r="G23" s="321">
        <f>IF(OR(E23="",F23=""),"",PID_KVLohnLookup($A$1,E23,F23,LOHNTABELLE!$H$4))</f>
        <v>2152</v>
      </c>
      <c r="H23" s="322">
        <f>IF(AND(ISNUMBER(D23),ISNUMBER(F23)),ROUNDDOWN(MIN(IF(OR(ISBLANK(I23),I23=""),EOMONTH(DATE(EINSTELLUNG!$C$35,$A$1,1),0),I23)-MAX(D23,DATE(EINSTELLUNG!$C$35,$A$1,1))+1)/DAY(EOMONTH(DATE(EINSTELLUNG!$C$35,$A$1,1),0))*F23,2),"")</f>
        <v>86.5</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12" t="s">
        <v>296</v>
      </c>
      <c r="P23" s="354"/>
      <c r="Q23" s="355">
        <v>5000</v>
      </c>
      <c r="R23" s="356"/>
      <c r="S23" s="319"/>
      <c r="T23" s="319"/>
      <c r="U23" s="319"/>
      <c r="V23" s="319"/>
      <c r="W23" s="350"/>
    </row>
    <row r="24" spans="1:29" ht="22" customHeight="1">
      <c r="A24" s="402" t="s">
        <v>80</v>
      </c>
      <c r="B24" s="128">
        <v>401605</v>
      </c>
      <c r="C24" s="69" t="s">
        <v>245</v>
      </c>
      <c r="D24" s="70">
        <v>44986</v>
      </c>
      <c r="E24" s="71" t="s">
        <v>2</v>
      </c>
      <c r="F24" s="72">
        <v>86.5</v>
      </c>
      <c r="G24" s="321">
        <f>IF(OR(E24="",F24=""),"",PID_KVLohnLookup($A$1,E24,F24,LOHNTABELLE!$H$4))</f>
        <v>2152</v>
      </c>
      <c r="H24" s="322">
        <f>IF(AND(ISNUMBER(D24),ISNUMBER(F24)),ROUNDDOWN(MIN(IF(OR(ISBLANK(I24),I24=""),EOMONTH(DATE(EINSTELLUNG!$C$35,$A$1,1),0),I24)-MAX(D24,DATE(EINSTELLUNG!$C$35,$A$1,1))+1)/DAY(EOMONTH(DATE(EINSTELLUNG!$C$35,$A$1,1),0))*F24,2),"")</f>
        <v>86.5</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12"/>
      <c r="P24" s="354"/>
      <c r="Q24" s="355"/>
      <c r="R24" s="356"/>
      <c r="S24" s="319"/>
      <c r="T24" s="319"/>
      <c r="U24" s="319"/>
      <c r="V24" s="319"/>
      <c r="W24" s="350"/>
    </row>
    <row r="25" spans="1:29" ht="22" customHeight="1">
      <c r="A25" s="402" t="s">
        <v>81</v>
      </c>
      <c r="B25" s="129">
        <v>401605</v>
      </c>
      <c r="C25" s="77" t="s">
        <v>473</v>
      </c>
      <c r="D25" s="81">
        <v>36850</v>
      </c>
      <c r="E25" s="79" t="s">
        <v>10</v>
      </c>
      <c r="F25" s="80">
        <v>151.38</v>
      </c>
      <c r="G25" s="321">
        <f>IF(OR(E25="",F25=""),"",PID_KVLohnLookup($A$1,E25,F25,LOHNTABELLE!$H$4))</f>
        <v>2012.5</v>
      </c>
      <c r="H25" s="322">
        <f>IF(AND(ISNUMBER(D25),ISNUMBER(F25)),ROUNDDOWN(MIN(IF(OR(ISBLANK(I25),I25=""),EOMONTH(DATE(EINSTELLUNG!$C$35,$A$1,1),0),I25)-MAX(D25,DATE(EINSTELLUNG!$C$35,$A$1,1))+1)/DAY(EOMONTH(DATE(EINSTELLUNG!$C$35,$A$1,1),0))*F25,2),"")</f>
        <v>151.38</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12"/>
      <c r="P25" s="354"/>
      <c r="Q25" s="355"/>
      <c r="R25" s="356"/>
      <c r="S25" s="319"/>
      <c r="T25" s="319"/>
      <c r="U25" s="319"/>
      <c r="V25" s="319"/>
    </row>
    <row r="26" spans="1:29" ht="22" customHeight="1">
      <c r="A26" s="402" t="s">
        <v>82</v>
      </c>
      <c r="B26" s="128">
        <v>401626</v>
      </c>
      <c r="C26" s="69" t="s">
        <v>246</v>
      </c>
      <c r="D26" s="70">
        <v>45063</v>
      </c>
      <c r="E26" s="71" t="s">
        <v>2</v>
      </c>
      <c r="F26" s="72">
        <v>86.5</v>
      </c>
      <c r="G26" s="321">
        <f>IF(OR(E26="",F26=""),"",PID_KVLohnLookup($A$1,E26,F26,LOHNTABELLE!$H$4))</f>
        <v>2152</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412"/>
      <c r="P26" s="354"/>
      <c r="Q26" s="355"/>
      <c r="R26" s="356"/>
      <c r="S26" s="319"/>
      <c r="T26" s="319"/>
      <c r="U26" s="319"/>
      <c r="V26" s="319"/>
    </row>
    <row r="27" spans="1:29" ht="22" customHeight="1">
      <c r="A27" s="402" t="s">
        <v>83</v>
      </c>
      <c r="B27" s="129">
        <v>401633</v>
      </c>
      <c r="C27" s="77" t="s">
        <v>247</v>
      </c>
      <c r="D27" s="81">
        <v>45089</v>
      </c>
      <c r="E27" s="79" t="s">
        <v>10</v>
      </c>
      <c r="F27" s="80">
        <v>86.5</v>
      </c>
      <c r="G27" s="321">
        <f>IF(OR(E27="",F27=""),"",PID_KVLohnLookup($A$1,E27,F27,LOHNTABELLE!$H$4))</f>
        <v>1150</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412"/>
      <c r="P27" s="354"/>
      <c r="Q27" s="355"/>
      <c r="R27" s="356"/>
      <c r="S27" s="357" t="s">
        <v>84</v>
      </c>
      <c r="T27" s="357"/>
      <c r="U27" s="357"/>
      <c r="V27" s="357"/>
    </row>
    <row r="28" spans="1:29" ht="22" customHeight="1">
      <c r="A28" s="402" t="s">
        <v>85</v>
      </c>
      <c r="B28" s="128">
        <v>401647</v>
      </c>
      <c r="C28" s="69" t="s">
        <v>248</v>
      </c>
      <c r="D28" s="70">
        <v>45182</v>
      </c>
      <c r="E28" s="71" t="s">
        <v>2</v>
      </c>
      <c r="F28" s="72">
        <v>86.5</v>
      </c>
      <c r="G28" s="321">
        <f>IF(OR(E28="",F28=""),"",PID_KVLohnLookup($A$1,E28,F28,LOHNTABELLE!$H$4))</f>
        <v>2152</v>
      </c>
      <c r="H28" s="322">
        <f>IF(AND(ISNUMBER(D28),ISNUMBER(F28)),ROUNDDOWN(MIN(IF(OR(ISBLANK(I28),I28=""),EOMONTH(DATE(EINSTELLUNG!$C$35,$A$1,1),0),I28)-MAX(D28,DATE(EINSTELLUNG!$C$35,$A$1,1))+1)/DAY(EOMONTH(DATE(EINSTELLUNG!$C$35,$A$1,1),0))*F28,2),"")</f>
        <v>86.5</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12"/>
      <c r="P28" s="354"/>
      <c r="Q28" s="355"/>
      <c r="R28" s="356"/>
      <c r="S28" s="319"/>
      <c r="T28" s="319"/>
      <c r="U28" s="319"/>
      <c r="V28" s="319"/>
    </row>
    <row r="29" spans="1:29" ht="22" customHeight="1" thickBot="1">
      <c r="A29" s="402" t="s">
        <v>86</v>
      </c>
      <c r="B29" s="129">
        <v>401661</v>
      </c>
      <c r="C29" s="77" t="s">
        <v>249</v>
      </c>
      <c r="D29" s="78">
        <v>45261</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EINSTELLUNG!O13</f>
        <v>1250</v>
      </c>
      <c r="R29" s="359"/>
      <c r="S29" s="319"/>
      <c r="T29" s="319"/>
      <c r="U29" s="319"/>
      <c r="V29" s="319"/>
    </row>
    <row r="30" spans="1:29" ht="22" customHeight="1" thickBot="1">
      <c r="A30" s="402" t="s">
        <v>88</v>
      </c>
      <c r="B30" s="128">
        <v>401670</v>
      </c>
      <c r="C30" s="69" t="s">
        <v>250</v>
      </c>
      <c r="D30" s="73">
        <v>45358</v>
      </c>
      <c r="E30" s="71" t="s">
        <v>2</v>
      </c>
      <c r="F30" s="72">
        <v>86.5</v>
      </c>
      <c r="G30" s="321">
        <f>IF(OR(E30="",F30=""),"",PID_KVLohnLookup($A$1,E30,F30,LOHNTABELLE!$H$4))</f>
        <v>2152</v>
      </c>
      <c r="H30" s="322">
        <f>IF(AND(ISNUMBER(D30),ISNUMBER(F30)),ROUNDDOWN(MIN(IF(OR(ISBLANK(I30),I30=""),EOMONTH(DATE(EINSTELLUNG!$C$35,$A$1,1),0),I30)-MAX(D30,DATE(EINSTELLUNG!$C$35,$A$1,1))+1)/DAY(EOMONTH(DATE(EINSTELLUNG!$C$35,$A$1,1),0))*F30,2),"")</f>
        <v>86.5</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401678</v>
      </c>
      <c r="C31" s="77" t="s">
        <v>251</v>
      </c>
      <c r="D31" s="78">
        <v>45414</v>
      </c>
      <c r="E31" s="79" t="s">
        <v>2</v>
      </c>
      <c r="F31" s="80">
        <v>173</v>
      </c>
      <c r="G31" s="321">
        <f>IF(OR(E31="",F31=""),"",PID_KVLohnLookup($A$1,E31,F31,LOHNTABELLE!$H$4))</f>
        <v>2900</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14">
        <v>0</v>
      </c>
      <c r="P31" s="362"/>
      <c r="Q31" s="363">
        <v>0</v>
      </c>
      <c r="R31" s="364"/>
      <c r="S31" s="319"/>
      <c r="T31" s="319"/>
      <c r="U31" s="319"/>
      <c r="V31" s="319"/>
    </row>
    <row r="32" spans="1:29" ht="22" customHeight="1" thickBot="1">
      <c r="A32" s="402" t="s">
        <v>91</v>
      </c>
      <c r="B32" s="128">
        <v>401690</v>
      </c>
      <c r="C32" s="69" t="s">
        <v>253</v>
      </c>
      <c r="D32" s="70">
        <v>45536</v>
      </c>
      <c r="E32" s="71" t="s">
        <v>2</v>
      </c>
      <c r="F32" s="72">
        <v>86.5</v>
      </c>
      <c r="G32" s="321">
        <f>IF(OR(E32="",F32=""),"",PID_KVLohnLookup($A$1,E32,F32,LOHNTABELLE!$H$4))</f>
        <v>2152</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9"/>
      <c r="P32" s="319"/>
      <c r="Q32" s="319"/>
      <c r="R32" s="319"/>
      <c r="S32" s="319"/>
      <c r="T32" s="319"/>
      <c r="U32" s="319"/>
      <c r="V32" s="319"/>
    </row>
    <row r="33" spans="1:22" ht="22" customHeight="1">
      <c r="A33" s="402" t="s">
        <v>92</v>
      </c>
      <c r="B33" s="129">
        <v>401715</v>
      </c>
      <c r="C33" s="77" t="s">
        <v>256</v>
      </c>
      <c r="D33" s="78">
        <v>45755</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401716</v>
      </c>
      <c r="C34" s="69" t="s">
        <v>257</v>
      </c>
      <c r="D34" s="70">
        <v>45800</v>
      </c>
      <c r="E34" s="71" t="s">
        <v>2</v>
      </c>
      <c r="F34" s="72">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401717</v>
      </c>
      <c r="C35" s="77" t="s">
        <v>258</v>
      </c>
      <c r="D35" s="78">
        <v>45814</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EINSTELLUNG!C13</f>
        <v>400000</v>
      </c>
      <c r="R35" s="371"/>
      <c r="S35" s="371">
        <f>EINSTELLUNG!C29</f>
        <v>435000</v>
      </c>
      <c r="T35" s="371"/>
      <c r="U35" s="371">
        <f>S35-Q35</f>
        <v>35000</v>
      </c>
      <c r="V35" s="372"/>
    </row>
    <row r="36" spans="1:22" ht="22" customHeight="1">
      <c r="A36" s="402" t="s">
        <v>99</v>
      </c>
      <c r="B36" s="128">
        <v>401722</v>
      </c>
      <c r="C36" s="69" t="s">
        <v>259</v>
      </c>
      <c r="D36" s="70">
        <v>45848</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EINSTELLUNG!D13</f>
        <v>100000</v>
      </c>
      <c r="R36" s="371"/>
      <c r="S36" s="371">
        <f ca="1">SumMergedCells(Q17:R29)</f>
        <v>145798.35</v>
      </c>
      <c r="T36" s="371"/>
      <c r="U36" s="371">
        <f t="shared" ref="U36:U41" ca="1" si="2">S36-Q36</f>
        <v>45798.350000000006</v>
      </c>
      <c r="V36" s="372"/>
    </row>
    <row r="37" spans="1:22" ht="22" customHeight="1">
      <c r="A37" s="402" t="s">
        <v>101</v>
      </c>
      <c r="B37" s="129">
        <v>401723</v>
      </c>
      <c r="C37" s="77" t="s">
        <v>260</v>
      </c>
      <c r="D37" s="78">
        <v>45852</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0.33516862068965519</v>
      </c>
      <c r="T37" s="373"/>
      <c r="U37" s="373">
        <f t="shared" ca="1" si="2"/>
        <v>8.5168620689655195E-2</v>
      </c>
      <c r="V37" s="374"/>
    </row>
    <row r="38" spans="1:22" ht="22" customHeight="1">
      <c r="A38" s="402" t="s">
        <v>103</v>
      </c>
      <c r="B38" s="128">
        <v>401726</v>
      </c>
      <c r="C38" s="69" t="s">
        <v>261</v>
      </c>
      <c r="D38" s="70">
        <v>45870</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EINSTELLUNG!F13</f>
        <v>30000</v>
      </c>
      <c r="R38" s="338"/>
      <c r="S38" s="338">
        <f>EINSTELLUNG!F29</f>
        <v>31000</v>
      </c>
      <c r="T38" s="338"/>
      <c r="U38" s="338">
        <f t="shared" si="2"/>
        <v>1000</v>
      </c>
      <c r="V38" s="339"/>
    </row>
    <row r="39" spans="1:22" ht="22" customHeight="1">
      <c r="A39" s="402" t="s">
        <v>105</v>
      </c>
      <c r="B39" s="129">
        <v>401730</v>
      </c>
      <c r="C39" s="77" t="s">
        <v>263</v>
      </c>
      <c r="D39" s="78">
        <v>45895</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14.03225806451613</v>
      </c>
      <c r="T39" s="371"/>
      <c r="U39" s="371">
        <f t="shared" si="2"/>
        <v>0.69892473118279597</v>
      </c>
      <c r="V39" s="372"/>
    </row>
    <row r="40" spans="1:22" ht="22" customHeight="1">
      <c r="A40" s="402" t="s">
        <v>107</v>
      </c>
      <c r="B40" s="128">
        <v>401731</v>
      </c>
      <c r="C40" s="69" t="s">
        <v>262</v>
      </c>
      <c r="D40" s="70">
        <v>45899</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IF(Q12=0, 0, Q35/Q12)</f>
        <v>55.244269442875357</v>
      </c>
      <c r="R40" s="371"/>
      <c r="S40" s="371">
        <f>IF(Q12=0, 0, S35/Q12)</f>
        <v>60.078143019126948</v>
      </c>
      <c r="T40" s="371"/>
      <c r="U40" s="371">
        <f t="shared" si="2"/>
        <v>4.833873576251591</v>
      </c>
      <c r="V40" s="372"/>
    </row>
    <row r="41" spans="1:22" ht="22" customHeight="1">
      <c r="A41" s="402" t="s">
        <v>109</v>
      </c>
      <c r="B41" s="129">
        <v>401734</v>
      </c>
      <c r="C41" s="77" t="s">
        <v>264</v>
      </c>
      <c r="D41" s="78">
        <v>45904</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IF(Q12=0, 0, Q38/Q12)</f>
        <v>4.1433202082156519</v>
      </c>
      <c r="R41" s="338"/>
      <c r="S41" s="338">
        <f>IF(Q12=0, 0, S38/Q12)</f>
        <v>4.2814308818228399</v>
      </c>
      <c r="T41" s="338"/>
      <c r="U41" s="338">
        <f t="shared" si="2"/>
        <v>0.13811067360718798</v>
      </c>
      <c r="V41" s="339"/>
    </row>
    <row r="42" spans="1:22" ht="22" customHeight="1">
      <c r="A42" s="402" t="s">
        <v>111</v>
      </c>
      <c r="B42" s="128">
        <v>401737</v>
      </c>
      <c r="C42" s="69" t="s">
        <v>266</v>
      </c>
      <c r="D42" s="70">
        <v>45906</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17.34228796406342</v>
      </c>
      <c r="R42" s="377"/>
      <c r="S42" s="377"/>
      <c r="T42" s="377"/>
      <c r="U42" s="377"/>
      <c r="V42" s="378"/>
    </row>
    <row r="43" spans="1:22" ht="22" customHeight="1">
      <c r="A43" s="402" t="s">
        <v>113</v>
      </c>
      <c r="B43" s="129">
        <v>401738</v>
      </c>
      <c r="C43" s="77" t="s">
        <v>267</v>
      </c>
      <c r="D43" s="78">
        <v>45909</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401745</v>
      </c>
      <c r="C44" s="69" t="s">
        <v>271</v>
      </c>
      <c r="D44" s="70">
        <v>45934</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401746</v>
      </c>
      <c r="C45" s="77" t="s">
        <v>270</v>
      </c>
      <c r="D45" s="78">
        <v>45941</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401747</v>
      </c>
      <c r="C46" s="69" t="s">
        <v>268</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401748</v>
      </c>
      <c r="C47" s="77" t="s">
        <v>269</v>
      </c>
      <c r="D47" s="78">
        <v>45941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401751</v>
      </c>
      <c r="C48" s="69" t="s">
        <v>272</v>
      </c>
      <c r="D48" s="70">
        <v>45961</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401752</v>
      </c>
      <c r="C49" s="77" t="s">
        <v>273</v>
      </c>
      <c r="D49" s="78">
        <v>45986</v>
      </c>
      <c r="E49" s="79" t="s">
        <v>2</v>
      </c>
      <c r="F49" s="80">
        <v>86.5</v>
      </c>
      <c r="G49" s="321">
        <f>IF(OR(E49="",F49=""),"",PID_KVLohnLookup($A$1,E49,F49,LOHNTABELLE!$H$4))</f>
        <v>2152</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19"/>
      <c r="P49" s="319"/>
      <c r="Q49" s="319"/>
      <c r="R49" s="319"/>
      <c r="S49" s="319"/>
      <c r="T49" s="319"/>
      <c r="U49" s="319"/>
      <c r="V49" s="319"/>
    </row>
    <row r="50" spans="1:22" ht="22" customHeight="1">
      <c r="A50" s="402" t="s">
        <v>121</v>
      </c>
      <c r="B50" s="128">
        <v>401999</v>
      </c>
      <c r="C50" s="69" t="s">
        <v>423</v>
      </c>
      <c r="D50" s="70">
        <v>46041</v>
      </c>
      <c r="E50" s="71" t="s">
        <v>2</v>
      </c>
      <c r="F50" s="72">
        <v>151.38</v>
      </c>
      <c r="G50" s="321">
        <f>IF(OR(E50="",F50=""),"",PID_KVLohnLookup($A$1,E50,F50,LOHNTABELLE!$H$4))</f>
        <v>2500</v>
      </c>
      <c r="H50" s="322">
        <f>IF(AND(ISNUMBER(D50),ISNUMBER(F50)),ROUNDDOWN(MIN(IF(OR(ISBLANK(I50),I50=""),EOMONTH(DATE(EINSTELLUNG!$C$35,$A$1,1),0),I50)-MAX(D50,DATE(EINSTELLUNG!$C$35,$A$1,1))+1)/DAY(EOMONTH(DATE(EINSTELLUNG!$C$35,$A$1,1),0))*F50,2),"")</f>
        <v>151.38</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19"/>
      <c r="P50" s="319"/>
      <c r="Q50" s="319"/>
      <c r="R50" s="319"/>
      <c r="S50" s="319"/>
      <c r="T50" s="319"/>
      <c r="U50" s="319"/>
      <c r="V50" s="319"/>
    </row>
    <row r="51" spans="1:22" ht="22" customHeight="1">
      <c r="A51" s="402" t="s">
        <v>122</v>
      </c>
      <c r="B51" s="129">
        <v>401999</v>
      </c>
      <c r="C51" s="77" t="s">
        <v>295</v>
      </c>
      <c r="D51" s="81">
        <v>46082</v>
      </c>
      <c r="E51" s="79" t="s">
        <v>2</v>
      </c>
      <c r="F51" s="80">
        <v>173</v>
      </c>
      <c r="G51" s="321">
        <f>IF(OR(E51="",F51=""),"",PID_KVLohnLookup($A$1,E51,F51,LOHNTABELLE!$H$4))</f>
        <v>2900</v>
      </c>
      <c r="H51" s="322">
        <f>IF(AND(ISNUMBER(D51),ISNUMBER(F51)),ROUNDDOWN(MIN(IF(OR(ISBLANK(I51),I51=""),EOMONTH(DATE(EINSTELLUNG!$C$35,$A$1,1),0),I51)-MAX(D51,DATE(EINSTELLUNG!$C$35,$A$1,1))+1)/DAY(EOMONTH(DATE(EINSTELLUNG!$C$35,$A$1,1),0))*F51,2),"")</f>
        <v>173</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02" t="s">
        <v>123</v>
      </c>
      <c r="B52" s="128">
        <v>402000</v>
      </c>
      <c r="C52" s="69" t="s">
        <v>298</v>
      </c>
      <c r="D52" s="73">
        <v>46143</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2" t="s">
        <v>124</v>
      </c>
      <c r="B53" s="129">
        <v>402004</v>
      </c>
      <c r="C53" s="77" t="s">
        <v>299</v>
      </c>
      <c r="D53" s="81">
        <v>46122</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2" t="s">
        <v>125</v>
      </c>
      <c r="B54" s="128">
        <v>402405</v>
      </c>
      <c r="C54" s="69" t="s">
        <v>301</v>
      </c>
      <c r="D54" s="73">
        <v>46054</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500600</v>
      </c>
      <c r="C55" s="77" t="s">
        <v>305</v>
      </c>
      <c r="D55" s="81">
        <v>46054</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502000</v>
      </c>
      <c r="C56" s="69" t="s">
        <v>300</v>
      </c>
      <c r="D56" s="73">
        <v>46147</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503000</v>
      </c>
      <c r="C57" s="77" t="s">
        <v>302</v>
      </c>
      <c r="D57" s="81">
        <v>42401</v>
      </c>
      <c r="E57" s="79" t="s">
        <v>2</v>
      </c>
      <c r="F57" s="80">
        <v>173</v>
      </c>
      <c r="G57" s="321">
        <f>IF(OR(E57="",F57=""),"",PID_KVLohnLookup($A$1,E57,F57,LOHNTABELLE!$H$4))</f>
        <v>2900</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2" t="s">
        <v>129</v>
      </c>
      <c r="B58" s="128">
        <v>504000</v>
      </c>
      <c r="C58" s="69" t="s">
        <v>303</v>
      </c>
      <c r="D58" s="73">
        <v>46054</v>
      </c>
      <c r="E58" s="71" t="s">
        <v>3</v>
      </c>
      <c r="F58" s="72">
        <v>138.4</v>
      </c>
      <c r="G58" s="321">
        <f>IF(OR(E58="",F58=""),"",PID_KVLohnLookup($A$1,E58,F58,LOHNTABELLE!$H$4))</f>
        <v>1665.6</v>
      </c>
      <c r="H58" s="322">
        <f>IF(AND(ISNUMBER(D58),ISNUMBER(F58)),ROUNDDOWN(MIN(IF(OR(ISBLANK(I58),I58=""),EOMONTH(DATE(EINSTELLUNG!$C$35,$A$1,1),0),I58)-MAX(D58,DATE(EINSTELLUNG!$C$35,$A$1,1))+1)/DAY(EOMONTH(DATE(EINSTELLUNG!$C$35,$A$1,1),0))*F58,2),"")</f>
        <v>138.4</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02" t="s">
        <v>130</v>
      </c>
      <c r="B59" s="129">
        <v>505000</v>
      </c>
      <c r="C59" s="77" t="s">
        <v>304</v>
      </c>
      <c r="D59" s="81">
        <v>46054</v>
      </c>
      <c r="E59" s="79" t="s">
        <v>2</v>
      </c>
      <c r="F59" s="80">
        <v>138.4</v>
      </c>
      <c r="G59" s="321">
        <f>IF(OR(E59="",F59=""),"",PID_KVLohnLookup($A$1,E59,F59,LOHNTABELLE!$H$4))</f>
        <v>2400</v>
      </c>
      <c r="H59" s="322">
        <f>IF(AND(ISNUMBER(D59),ISNUMBER(F59)),ROUNDDOWN(MIN(IF(OR(ISBLANK(I59),I59=""),EOMONTH(DATE(EINSTELLUNG!$C$35,$A$1,1),0),I59)-MAX(D59,DATE(EINSTELLUNG!$C$35,$A$1,1))+1)/DAY(EOMONTH(DATE(EINSTELLUNG!$C$35,$A$1,1),0))*F59,2),"")</f>
        <v>138.4</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02" t="s">
        <v>131</v>
      </c>
      <c r="B60" s="128">
        <v>525025</v>
      </c>
      <c r="C60" s="69" t="s">
        <v>425</v>
      </c>
      <c r="D60" s="73">
        <v>46040</v>
      </c>
      <c r="E60" s="71" t="s">
        <v>2</v>
      </c>
      <c r="F60" s="72">
        <v>129.75</v>
      </c>
      <c r="G60" s="321">
        <f>IF(OR(E60="",F60=""),"",PID_KVLohnLookup($A$1,E60,F60,LOHNTABELLE!$H$4))</f>
        <v>2300</v>
      </c>
      <c r="H60" s="322">
        <f>IF(AND(ISNUMBER(D60),ISNUMBER(F60)),ROUNDDOWN(MIN(IF(OR(ISBLANK(I60),I60=""),EOMONTH(DATE(EINSTELLUNG!$C$35,$A$1,1),0),I60)-MAX(D60,DATE(EINSTELLUNG!$C$35,$A$1,1))+1)/DAY(EOMONTH(DATE(EINSTELLUNG!$C$35,$A$1,1),0))*F60,2),"")</f>
        <v>129.75</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02" t="s">
        <v>132</v>
      </c>
      <c r="B61" s="129">
        <v>700000</v>
      </c>
      <c r="C61" s="94" t="s">
        <v>312</v>
      </c>
      <c r="D61" s="81">
        <v>46054</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173</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2" t="s">
        <v>133</v>
      </c>
      <c r="B62" s="128">
        <v>800000</v>
      </c>
      <c r="C62" s="69" t="s">
        <v>313</v>
      </c>
      <c r="D62" s="73">
        <v>46096</v>
      </c>
      <c r="E62" s="71" t="s">
        <v>2</v>
      </c>
      <c r="F62" s="72">
        <v>173</v>
      </c>
      <c r="G62" s="321">
        <f>IF(OR(E62="",F62=""),"",PID_KVLohnLookup($A$1,E62,F62,LOHNTABELLE!$H$4))</f>
        <v>2900</v>
      </c>
      <c r="H62" s="322">
        <f>IF(AND(ISNUMBER(D62),ISNUMBER(F62)),ROUNDDOWN(MIN(IF(OR(ISBLANK(I62),I62=""),EOMONTH(DATE(EINSTELLUNG!$C$35,$A$1,1),0),I62)-MAX(D62,DATE(EINSTELLUNG!$C$35,$A$1,1))+1)/DAY(EOMONTH(DATE(EINSTELLUNG!$C$35,$A$1,1),0))*F62,2),"")</f>
        <v>173</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02" t="s">
        <v>134</v>
      </c>
      <c r="B63" s="129"/>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g+0BJVct6LGs0dpTG7Cn8daxyd4I3Gz/WuRO3j7m1afzhvurcS8Jpy7TEsOYA7znOv5/Y2fXQUgWfLEEKhqgeg==" saltValue="8Bu3q4mYO+j3cOa8VtnM2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CC2C2037-C5EC-4462-83D0-EF2ACBC060E8}">
          <x14:formula1>
            <xm:f>KV_DROPDOWN_HELPER!$US$1:$US$14</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C7" sqref="C7"/>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9</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46266</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46295</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781.86296397334399</v>
      </c>
      <c r="P5" s="327">
        <f>EINSTELLUNG!I14</f>
        <v>600</v>
      </c>
      <c r="Q5" s="327">
        <f>P5-O5</f>
        <v>-181.86296397334399</v>
      </c>
      <c r="R5" s="328">
        <f>IFERROR(Q5*Q42, 0)</f>
        <v>-3118.5915095362789</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2</v>
      </c>
      <c r="F7" s="80">
        <v>173</v>
      </c>
      <c r="G7" s="321">
        <v>2900</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2900</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7986.73</v>
      </c>
      <c r="R8" s="335"/>
      <c r="S8" s="319"/>
      <c r="T8" s="319"/>
      <c r="U8" s="319"/>
      <c r="V8" s="319"/>
    </row>
    <row r="9" spans="1:28" ht="22" customHeight="1">
      <c r="A9" s="402" t="s">
        <v>57</v>
      </c>
      <c r="B9" s="129">
        <v>401214</v>
      </c>
      <c r="C9" s="77" t="s">
        <v>255</v>
      </c>
      <c r="D9" s="78">
        <v>45636</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EINSTELLUNG!L30</f>
        <v>9</v>
      </c>
      <c r="R9" s="339"/>
      <c r="S9" s="340">
        <f>IFERROR(Q9/Q8, 0)</f>
        <v>1.1268691942760054E-3</v>
      </c>
      <c r="T9" s="319"/>
      <c r="U9" s="319"/>
      <c r="V9" s="319"/>
    </row>
    <row r="10" spans="1:28" ht="22" customHeight="1">
      <c r="A10" s="402" t="s">
        <v>59</v>
      </c>
      <c r="B10" s="128">
        <v>401276</v>
      </c>
      <c r="C10" s="69" t="s">
        <v>230</v>
      </c>
      <c r="D10" s="70">
        <v>43252</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EINSTELLUNG!I30</f>
        <v>0</v>
      </c>
      <c r="R10" s="339"/>
      <c r="S10" s="319"/>
      <c r="T10" s="319"/>
      <c r="U10" s="319"/>
      <c r="V10" s="319"/>
    </row>
    <row r="11" spans="1:28" ht="22" customHeight="1">
      <c r="A11" s="402" t="s">
        <v>61</v>
      </c>
      <c r="B11" s="129">
        <v>401276</v>
      </c>
      <c r="C11" s="77" t="s">
        <v>472</v>
      </c>
      <c r="D11" s="78">
        <v>38899</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401307</v>
      </c>
      <c r="C12" s="69" t="s">
        <v>231</v>
      </c>
      <c r="D12" s="70">
        <v>43571</v>
      </c>
      <c r="E12" s="71" t="s">
        <v>3</v>
      </c>
      <c r="F12" s="93">
        <v>151.38</v>
      </c>
      <c r="G12" s="321">
        <f>IF(OR(E12="",F12=""),"",PID_KVLohnLookup($A$1,E12,F12,LOHNTABELLE!$H$4))</f>
        <v>1821.75</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6" t="s">
        <v>64</v>
      </c>
      <c r="P12" s="337"/>
      <c r="Q12" s="177">
        <v>167</v>
      </c>
      <c r="R12" s="178"/>
      <c r="S12" s="319"/>
      <c r="T12" s="319"/>
      <c r="U12" s="319"/>
      <c r="V12" s="319"/>
    </row>
    <row r="13" spans="1:28" ht="22" customHeight="1">
      <c r="A13" s="402" t="s">
        <v>65</v>
      </c>
      <c r="B13" s="129">
        <v>401308</v>
      </c>
      <c r="C13" s="77" t="s">
        <v>232</v>
      </c>
      <c r="D13" s="78">
        <v>43579</v>
      </c>
      <c r="E13" s="79" t="s">
        <v>2</v>
      </c>
      <c r="F13" s="80">
        <v>173</v>
      </c>
      <c r="G13" s="321">
        <v>2900</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336" t="s">
        <v>66</v>
      </c>
      <c r="P13" s="337"/>
      <c r="Q13" s="338">
        <f>Q8-Q9-Q10-Q11-Q12</f>
        <v>7210.73</v>
      </c>
      <c r="R13" s="339"/>
      <c r="S13" s="319"/>
      <c r="T13" s="319"/>
      <c r="U13" s="319"/>
      <c r="V13" s="319"/>
    </row>
    <row r="14" spans="1:28" ht="22" customHeigh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36" t="s">
        <v>68</v>
      </c>
      <c r="P14" s="337"/>
      <c r="Q14" s="338">
        <f>EINSTELLUNG!L14</f>
        <v>9300</v>
      </c>
      <c r="R14" s="339"/>
      <c r="S14" s="319"/>
      <c r="T14" s="319"/>
      <c r="U14" s="319"/>
      <c r="V14" s="319"/>
    </row>
    <row r="15" spans="1:28" ht="22" customHeight="1" thickBot="1">
      <c r="A15" s="402" t="s">
        <v>69</v>
      </c>
      <c r="B15" s="129">
        <v>401406</v>
      </c>
      <c r="C15" s="77" t="s">
        <v>473</v>
      </c>
      <c r="D15" s="78">
        <v>36850</v>
      </c>
      <c r="E15" s="79" t="s">
        <v>10</v>
      </c>
      <c r="F15" s="80">
        <v>151.38</v>
      </c>
      <c r="G15" s="321">
        <f>IF(OR(E15="",F15=""),"",PID_KVLohnLookup($A$1,E15,F15,LOHNTABELLE!$H$4))</f>
        <v>2012.5</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1" t="s">
        <v>70</v>
      </c>
      <c r="P15" s="342"/>
      <c r="Q15" s="343">
        <f>Q13-Q14</f>
        <v>-2089.2700000000004</v>
      </c>
      <c r="R15" s="344"/>
      <c r="S15" s="345"/>
      <c r="T15" s="345"/>
      <c r="U15" s="345"/>
      <c r="V15" s="319"/>
    </row>
    <row r="16" spans="1:28" ht="22" customHeight="1" thickBot="1">
      <c r="A16" s="402" t="s">
        <v>71</v>
      </c>
      <c r="B16" s="128">
        <v>401432</v>
      </c>
      <c r="C16" s="69" t="s">
        <v>235</v>
      </c>
      <c r="D16" s="70">
        <v>44441</v>
      </c>
      <c r="E16" s="71" t="s">
        <v>2</v>
      </c>
      <c r="F16" s="72">
        <v>173</v>
      </c>
      <c r="G16" s="321">
        <f>IF(OR(E16="",F16=""),"",PID_KVLohnLookup($A$1,E16,F16,LOHNTABELLE!$H$4))</f>
        <v>2900</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401479</v>
      </c>
      <c r="C17" s="77" t="s">
        <v>238</v>
      </c>
      <c r="D17" s="78">
        <v>44511</v>
      </c>
      <c r="E17" s="79" t="s">
        <v>6</v>
      </c>
      <c r="F17" s="80">
        <v>173</v>
      </c>
      <c r="G17" s="321">
        <f>IF(OR(E17="",F17=""),"",PID_KVLohnLookup($A$1,E17,F17,LOHNTABELLE!$H$4))</f>
        <v>2160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11" t="s">
        <v>73</v>
      </c>
      <c r="P17" s="333"/>
      <c r="Q17" s="351">
        <f>SUM(L3:L82)</f>
        <v>136956.68333333335</v>
      </c>
      <c r="R17" s="352"/>
      <c r="S17" s="319"/>
      <c r="T17" s="319"/>
      <c r="U17" s="319"/>
      <c r="V17" s="319"/>
      <c r="W17" s="350"/>
    </row>
    <row r="18" spans="1:29" ht="18" customHeight="1">
      <c r="A18" s="402" t="s">
        <v>74</v>
      </c>
      <c r="B18" s="128">
        <v>401481</v>
      </c>
      <c r="C18" s="69" t="s">
        <v>239</v>
      </c>
      <c r="D18" s="70">
        <v>44531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18" customHeight="1">
      <c r="A19" s="402" t="s">
        <v>75</v>
      </c>
      <c r="B19" s="129">
        <v>401558</v>
      </c>
      <c r="C19" s="77" t="s">
        <v>236</v>
      </c>
      <c r="D19" s="78">
        <v>44460</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57.66</v>
      </c>
      <c r="I19" s="81">
        <v>46275</v>
      </c>
      <c r="J19" s="82">
        <v>4</v>
      </c>
      <c r="K19" s="321">
        <f t="shared" si="0"/>
        <v>386.66666666666669</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412" t="s">
        <v>296</v>
      </c>
      <c r="P19" s="354"/>
      <c r="Q19" s="355">
        <v>333</v>
      </c>
      <c r="R19" s="356"/>
      <c r="S19" s="319"/>
      <c r="T19" s="319"/>
      <c r="U19" s="319"/>
      <c r="V19" s="319"/>
    </row>
    <row r="20" spans="1:29" ht="22" customHeight="1">
      <c r="A20" s="402" t="s">
        <v>76</v>
      </c>
      <c r="B20" s="128">
        <v>401564</v>
      </c>
      <c r="C20" s="69" t="s">
        <v>240</v>
      </c>
      <c r="D20" s="70">
        <v>44824</v>
      </c>
      <c r="E20" s="71" t="s">
        <v>2</v>
      </c>
      <c r="F20" s="72">
        <v>173</v>
      </c>
      <c r="G20" s="321">
        <f>IF(OR(E20="",F20=""),"",PID_KVLohnLookup($A$1,E20,F20,LOHNTABELLE!$H$4))</f>
        <v>2900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12" t="s">
        <v>296</v>
      </c>
      <c r="P20" s="354"/>
      <c r="Q20" s="355">
        <v>35</v>
      </c>
      <c r="R20" s="356"/>
      <c r="S20" s="319"/>
      <c r="T20" s="319"/>
      <c r="U20" s="319"/>
      <c r="V20" s="319"/>
    </row>
    <row r="21" spans="1:29" ht="22" customHeight="1">
      <c r="A21" s="402" t="s">
        <v>77</v>
      </c>
      <c r="B21" s="129">
        <v>401583</v>
      </c>
      <c r="C21" s="77" t="s">
        <v>242</v>
      </c>
      <c r="D21" s="78">
        <v>44900</v>
      </c>
      <c r="E21" s="79" t="s">
        <v>10</v>
      </c>
      <c r="F21" s="80">
        <v>173</v>
      </c>
      <c r="G21" s="321">
        <f>IF(OR(E21="",F21=""),"",PID_KVLohnLookup($A$1,E21,F21,LOHNTABELLE!$H$4))</f>
        <v>2300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12" t="s">
        <v>296</v>
      </c>
      <c r="P21" s="354"/>
      <c r="Q21" s="355">
        <v>100</v>
      </c>
      <c r="R21" s="356"/>
      <c r="S21" s="319"/>
      <c r="T21" s="319"/>
      <c r="U21" s="319"/>
      <c r="V21" s="319"/>
    </row>
    <row r="22" spans="1:29" ht="22" customHeight="1">
      <c r="A22" s="402" t="s">
        <v>78</v>
      </c>
      <c r="B22" s="128">
        <v>401589</v>
      </c>
      <c r="C22" s="69" t="s">
        <v>243</v>
      </c>
      <c r="D22" s="70">
        <v>44926</v>
      </c>
      <c r="E22" s="71" t="s">
        <v>10</v>
      </c>
      <c r="F22" s="72">
        <v>173</v>
      </c>
      <c r="G22" s="321">
        <f>IF(OR(E22="",F22=""),"",PID_KVLohnLookup($A$1,E22,F22,LOHNTABELLE!$H$4))</f>
        <v>2300</v>
      </c>
      <c r="H22" s="322">
        <f>IF(AND(ISNUMBER(D22),ISNUMBER(F22)),ROUNDDOWN(MIN(IF(OR(ISBLANK(I22),I22=""),EOMONTH(DATE(EINSTELLUNG!$C$35,$A$1,1),0),I22)-MAX(D22,DATE(EINSTELLUNG!$C$35,$A$1,1))+1)/DAY(EOMONTH(DATE(EINSTELLUNG!$C$35,$A$1,1),0))*F22,2),"")</f>
        <v>173</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12" t="s">
        <v>296</v>
      </c>
      <c r="P22" s="354"/>
      <c r="Q22" s="355"/>
      <c r="R22" s="356"/>
      <c r="S22" s="319"/>
      <c r="T22" s="319"/>
      <c r="U22" s="319"/>
      <c r="V22" s="319"/>
    </row>
    <row r="23" spans="1:29" ht="22" customHeight="1">
      <c r="A23" s="402" t="s">
        <v>79</v>
      </c>
      <c r="B23" s="129">
        <v>401602</v>
      </c>
      <c r="C23" s="77" t="s">
        <v>244</v>
      </c>
      <c r="D23" s="78">
        <v>45975</v>
      </c>
      <c r="E23" s="79" t="s">
        <v>2</v>
      </c>
      <c r="F23" s="80">
        <v>86.5</v>
      </c>
      <c r="G23" s="321">
        <f>IF(OR(E23="",F23=""),"",PID_KVLohnLookup($A$1,E23,F23,LOHNTABELLE!$H$4))</f>
        <v>2152</v>
      </c>
      <c r="H23" s="322">
        <f>IF(AND(ISNUMBER(D23),ISNUMBER(F23)),ROUNDDOWN(MIN(IF(OR(ISBLANK(I23),I23=""),EOMONTH(DATE(EINSTELLUNG!$C$35,$A$1,1),0),I23)-MAX(D23,DATE(EINSTELLUNG!$C$35,$A$1,1))+1)/DAY(EOMONTH(DATE(EINSTELLUNG!$C$35,$A$1,1),0))*F23,2),"")</f>
        <v>86.5</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12" t="s">
        <v>296</v>
      </c>
      <c r="P23" s="354"/>
      <c r="Q23" s="355">
        <v>5000</v>
      </c>
      <c r="R23" s="356"/>
      <c r="S23" s="319"/>
      <c r="T23" s="319"/>
      <c r="U23" s="319"/>
      <c r="V23" s="319"/>
      <c r="W23" s="350"/>
    </row>
    <row r="24" spans="1:29" ht="22" customHeight="1">
      <c r="A24" s="402" t="s">
        <v>80</v>
      </c>
      <c r="B24" s="128">
        <v>401605</v>
      </c>
      <c r="C24" s="69" t="s">
        <v>245</v>
      </c>
      <c r="D24" s="70">
        <v>44986</v>
      </c>
      <c r="E24" s="71" t="s">
        <v>2</v>
      </c>
      <c r="F24" s="72">
        <v>86.5</v>
      </c>
      <c r="G24" s="321">
        <f>IF(OR(E24="",F24=""),"",PID_KVLohnLookup($A$1,E24,F24,LOHNTABELLE!$H$4))</f>
        <v>2152</v>
      </c>
      <c r="H24" s="322">
        <f>IF(AND(ISNUMBER(D24),ISNUMBER(F24)),ROUNDDOWN(MIN(IF(OR(ISBLANK(I24),I24=""),EOMONTH(DATE(EINSTELLUNG!$C$35,$A$1,1),0),I24)-MAX(D24,DATE(EINSTELLUNG!$C$35,$A$1,1))+1)/DAY(EOMONTH(DATE(EINSTELLUNG!$C$35,$A$1,1),0))*F24,2),"")</f>
        <v>86.5</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12"/>
      <c r="P24" s="354"/>
      <c r="Q24" s="355"/>
      <c r="R24" s="356"/>
      <c r="S24" s="319"/>
      <c r="T24" s="319"/>
      <c r="U24" s="319"/>
      <c r="V24" s="319"/>
      <c r="W24" s="350"/>
    </row>
    <row r="25" spans="1:29" ht="22" customHeight="1">
      <c r="A25" s="402" t="s">
        <v>81</v>
      </c>
      <c r="B25" s="129">
        <v>401605</v>
      </c>
      <c r="C25" s="77" t="s">
        <v>473</v>
      </c>
      <c r="D25" s="81">
        <v>36850</v>
      </c>
      <c r="E25" s="79" t="s">
        <v>10</v>
      </c>
      <c r="F25" s="80">
        <v>151.38</v>
      </c>
      <c r="G25" s="321">
        <f>IF(OR(E25="",F25=""),"",PID_KVLohnLookup($A$1,E25,F25,LOHNTABELLE!$H$4))</f>
        <v>2012.5</v>
      </c>
      <c r="H25" s="322">
        <f>IF(AND(ISNUMBER(D25),ISNUMBER(F25)),ROUNDDOWN(MIN(IF(OR(ISBLANK(I25),I25=""),EOMONTH(DATE(EINSTELLUNG!$C$35,$A$1,1),0),I25)-MAX(D25,DATE(EINSTELLUNG!$C$35,$A$1,1))+1)/DAY(EOMONTH(DATE(EINSTELLUNG!$C$35,$A$1,1),0))*F25,2),"")</f>
        <v>151.38</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12"/>
      <c r="P25" s="354"/>
      <c r="Q25" s="355"/>
      <c r="R25" s="356"/>
      <c r="S25" s="319"/>
      <c r="T25" s="319"/>
      <c r="U25" s="319"/>
      <c r="V25" s="319"/>
    </row>
    <row r="26" spans="1:29" ht="22" customHeight="1">
      <c r="A26" s="402" t="s">
        <v>82</v>
      </c>
      <c r="B26" s="128">
        <v>401626</v>
      </c>
      <c r="C26" s="69" t="s">
        <v>246</v>
      </c>
      <c r="D26" s="70">
        <v>45063</v>
      </c>
      <c r="E26" s="71" t="s">
        <v>2</v>
      </c>
      <c r="F26" s="72">
        <v>86.5</v>
      </c>
      <c r="G26" s="321">
        <f>IF(OR(E26="",F26=""),"",PID_KVLohnLookup($A$1,E26,F26,LOHNTABELLE!$H$4))</f>
        <v>2152</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412"/>
      <c r="P26" s="354"/>
      <c r="Q26" s="355"/>
      <c r="R26" s="356"/>
      <c r="S26" s="319"/>
      <c r="T26" s="319"/>
      <c r="U26" s="319"/>
      <c r="V26" s="319"/>
    </row>
    <row r="27" spans="1:29" ht="22" customHeight="1">
      <c r="A27" s="402" t="s">
        <v>83</v>
      </c>
      <c r="B27" s="129">
        <v>401633</v>
      </c>
      <c r="C27" s="77" t="s">
        <v>247</v>
      </c>
      <c r="D27" s="81">
        <v>45089</v>
      </c>
      <c r="E27" s="79" t="s">
        <v>10</v>
      </c>
      <c r="F27" s="80">
        <v>86.5</v>
      </c>
      <c r="G27" s="321">
        <f>IF(OR(E27="",F27=""),"",PID_KVLohnLookup($A$1,E27,F27,LOHNTABELLE!$H$4))</f>
        <v>1150</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412"/>
      <c r="P27" s="354"/>
      <c r="Q27" s="355"/>
      <c r="R27" s="356"/>
      <c r="S27" s="357" t="s">
        <v>84</v>
      </c>
      <c r="T27" s="357"/>
      <c r="U27" s="357"/>
      <c r="V27" s="357"/>
    </row>
    <row r="28" spans="1:29" ht="22" customHeight="1">
      <c r="A28" s="402" t="s">
        <v>85</v>
      </c>
      <c r="B28" s="128">
        <v>401647</v>
      </c>
      <c r="C28" s="69" t="s">
        <v>248</v>
      </c>
      <c r="D28" s="70">
        <v>45182</v>
      </c>
      <c r="E28" s="71" t="s">
        <v>2</v>
      </c>
      <c r="F28" s="72">
        <v>170</v>
      </c>
      <c r="G28" s="321" t="str">
        <f>IF(OR(E28="",F28=""),"",PID_KVLohnLookup($A$1,E28,F28,LOHNTABELLE!$H$4))</f>
        <v>Nicht gefunden</v>
      </c>
      <c r="H28" s="322">
        <f>IF(AND(ISNUMBER(D28),ISNUMBER(F28)),ROUNDDOWN(MIN(IF(OR(ISBLANK(I28),I28=""),EOMONTH(DATE(EINSTELLUNG!$C$35,$A$1,1),0),I28)-MAX(D28,DATE(EINSTELLUNG!$C$35,$A$1,1))+1)/DAY(EOMONTH(DATE(EINSTELLUNG!$C$35,$A$1,1),0))*F28,2),"")</f>
        <v>170</v>
      </c>
      <c r="I28" s="73"/>
      <c r="J28" s="74"/>
      <c r="K28" s="321">
        <f t="shared" si="0"/>
        <v>0</v>
      </c>
      <c r="L28" s="323"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2"/>
      <c r="P28" s="354"/>
      <c r="Q28" s="355"/>
      <c r="R28" s="356"/>
      <c r="S28" s="319"/>
      <c r="T28" s="319"/>
      <c r="U28" s="319"/>
      <c r="V28" s="319"/>
    </row>
    <row r="29" spans="1:29" ht="22" customHeight="1" thickBot="1">
      <c r="A29" s="402" t="s">
        <v>86</v>
      </c>
      <c r="B29" s="129">
        <v>401661</v>
      </c>
      <c r="C29" s="77" t="s">
        <v>249</v>
      </c>
      <c r="D29" s="78">
        <v>45261</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EINSTELLUNG!O14</f>
        <v>1250</v>
      </c>
      <c r="R29" s="359"/>
      <c r="S29" s="319"/>
      <c r="T29" s="319"/>
      <c r="U29" s="319"/>
      <c r="V29" s="319"/>
    </row>
    <row r="30" spans="1:29" ht="22" customHeight="1" thickBot="1">
      <c r="A30" s="402" t="s">
        <v>88</v>
      </c>
      <c r="B30" s="128">
        <v>401670</v>
      </c>
      <c r="C30" s="69" t="s">
        <v>250</v>
      </c>
      <c r="D30" s="73">
        <v>45358</v>
      </c>
      <c r="E30" s="71" t="s">
        <v>2</v>
      </c>
      <c r="F30" s="72">
        <v>86.5</v>
      </c>
      <c r="G30" s="321">
        <f>IF(OR(E30="",F30=""),"",PID_KVLohnLookup($A$1,E30,F30,LOHNTABELLE!$H$4))</f>
        <v>2152</v>
      </c>
      <c r="H30" s="322">
        <f>IF(AND(ISNUMBER(D30),ISNUMBER(F30)),ROUNDDOWN(MIN(IF(OR(ISBLANK(I30),I30=""),EOMONTH(DATE(EINSTELLUNG!$C$35,$A$1,1),0),I30)-MAX(D30,DATE(EINSTELLUNG!$C$35,$A$1,1))+1)/DAY(EOMONTH(DATE(EINSTELLUNG!$C$35,$A$1,1),0))*F30,2),"")</f>
        <v>86.5</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401678</v>
      </c>
      <c r="C31" s="77" t="s">
        <v>251</v>
      </c>
      <c r="D31" s="78">
        <v>45414</v>
      </c>
      <c r="E31" s="79" t="s">
        <v>2</v>
      </c>
      <c r="F31" s="80">
        <v>173</v>
      </c>
      <c r="G31" s="321">
        <f>IF(OR(E31="",F31=""),"",PID_KVLohnLookup($A$1,E31,F31,LOHNTABELLE!$H$4))</f>
        <v>2900</v>
      </c>
      <c r="H31" s="322">
        <f>IF(AND(ISNUMBER(D31),ISNUMBER(F31)),ROUNDDOWN(MIN(IF(OR(ISBLANK(I31),I31=""),EOMONTH(DATE(EINSTELLUNG!$C$35,$A$1,1),0),I31)-MAX(D31,DATE(EINSTELLUNG!$C$35,$A$1,1))+1)/DAY(EOMONTH(DATE(EINSTELLUNG!$C$35,$A$1,1),0))*F31,2),"")</f>
        <v>173</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14">
        <v>0</v>
      </c>
      <c r="P31" s="362"/>
      <c r="Q31" s="363">
        <v>1.6949152542372881E-2</v>
      </c>
      <c r="R31" s="364"/>
      <c r="S31" s="319"/>
      <c r="T31" s="319"/>
      <c r="U31" s="319"/>
      <c r="V31" s="319"/>
    </row>
    <row r="32" spans="1:29" ht="22" customHeight="1" thickBot="1">
      <c r="A32" s="402" t="s">
        <v>91</v>
      </c>
      <c r="B32" s="128">
        <v>401690</v>
      </c>
      <c r="C32" s="69" t="s">
        <v>253</v>
      </c>
      <c r="D32" s="70">
        <v>45536</v>
      </c>
      <c r="E32" s="71" t="s">
        <v>2</v>
      </c>
      <c r="F32" s="72">
        <v>86.5</v>
      </c>
      <c r="G32" s="321">
        <f>IF(OR(E32="",F32=""),"",PID_KVLohnLookup($A$1,E32,F32,LOHNTABELLE!$H$4))</f>
        <v>2152</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9"/>
      <c r="P32" s="319"/>
      <c r="Q32" s="319"/>
      <c r="R32" s="319"/>
      <c r="S32" s="319"/>
      <c r="T32" s="319"/>
      <c r="U32" s="319"/>
      <c r="V32" s="319"/>
    </row>
    <row r="33" spans="1:22" ht="22" customHeight="1">
      <c r="A33" s="402" t="s">
        <v>92</v>
      </c>
      <c r="B33" s="129">
        <v>401715</v>
      </c>
      <c r="C33" s="77" t="s">
        <v>256</v>
      </c>
      <c r="D33" s="78">
        <v>45755</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401716</v>
      </c>
      <c r="C34" s="69" t="s">
        <v>257</v>
      </c>
      <c r="D34" s="70">
        <v>45800</v>
      </c>
      <c r="E34" s="71" t="s">
        <v>2</v>
      </c>
      <c r="F34" s="72">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401717</v>
      </c>
      <c r="C35" s="77" t="s">
        <v>258</v>
      </c>
      <c r="D35" s="78">
        <v>45814</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EINSTELLUNG!C14</f>
        <v>400000</v>
      </c>
      <c r="R35" s="371"/>
      <c r="S35" s="371">
        <f>EINSTELLUNG!C30</f>
        <v>450000</v>
      </c>
      <c r="T35" s="371"/>
      <c r="U35" s="371">
        <f>S35-Q35</f>
        <v>50000</v>
      </c>
      <c r="V35" s="372"/>
    </row>
    <row r="36" spans="1:22" ht="22" customHeight="1">
      <c r="A36" s="402" t="s">
        <v>99</v>
      </c>
      <c r="B36" s="128">
        <v>401722</v>
      </c>
      <c r="C36" s="69" t="s">
        <v>259</v>
      </c>
      <c r="D36" s="70">
        <v>45848</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EINSTELLUNG!D14</f>
        <v>100000</v>
      </c>
      <c r="R36" s="371"/>
      <c r="S36" s="371">
        <f ca="1">SumMergedCells(Q17:R29)</f>
        <v>143694.6833</v>
      </c>
      <c r="T36" s="371"/>
      <c r="U36" s="371">
        <f t="shared" ref="U36:U41" ca="1" si="2">S36-Q36</f>
        <v>43694.683300000004</v>
      </c>
      <c r="V36" s="372"/>
    </row>
    <row r="37" spans="1:22" ht="22" customHeight="1">
      <c r="A37" s="402" t="s">
        <v>101</v>
      </c>
      <c r="B37" s="129">
        <v>401723</v>
      </c>
      <c r="C37" s="77" t="s">
        <v>260</v>
      </c>
      <c r="D37" s="78">
        <v>45852</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0.31932151844444445</v>
      </c>
      <c r="T37" s="373"/>
      <c r="U37" s="373">
        <f t="shared" ca="1" si="2"/>
        <v>6.9321518444444452E-2</v>
      </c>
      <c r="V37" s="374"/>
    </row>
    <row r="38" spans="1:22" ht="22" customHeight="1">
      <c r="A38" s="402" t="s">
        <v>103</v>
      </c>
      <c r="B38" s="128">
        <v>401726</v>
      </c>
      <c r="C38" s="69" t="s">
        <v>261</v>
      </c>
      <c r="D38" s="70">
        <v>45870</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EINSTELLUNG!F14</f>
        <v>30000</v>
      </c>
      <c r="R38" s="338"/>
      <c r="S38" s="338">
        <f>EINSTELLUNG!F30</f>
        <v>31000</v>
      </c>
      <c r="T38" s="338"/>
      <c r="U38" s="338">
        <f t="shared" si="2"/>
        <v>1000</v>
      </c>
      <c r="V38" s="339"/>
    </row>
    <row r="39" spans="1:22" ht="22" customHeight="1">
      <c r="A39" s="402" t="s">
        <v>105</v>
      </c>
      <c r="B39" s="129">
        <v>401730</v>
      </c>
      <c r="C39" s="77" t="s">
        <v>263</v>
      </c>
      <c r="D39" s="78">
        <v>45895</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14.516129032258064</v>
      </c>
      <c r="T39" s="371"/>
      <c r="U39" s="371">
        <f t="shared" si="2"/>
        <v>1.1827956989247301</v>
      </c>
      <c r="V39" s="372"/>
    </row>
    <row r="40" spans="1:22" ht="22" customHeight="1">
      <c r="A40" s="402" t="s">
        <v>107</v>
      </c>
      <c r="B40" s="128">
        <v>401731</v>
      </c>
      <c r="C40" s="69" t="s">
        <v>262</v>
      </c>
      <c r="D40" s="70">
        <v>45899</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IF(Q13=0, 0, Q35/Q13)</f>
        <v>55.472885546955723</v>
      </c>
      <c r="R40" s="371"/>
      <c r="S40" s="371">
        <f>IF(Q13=0, 0, S35/Q13)</f>
        <v>62.406996240325185</v>
      </c>
      <c r="T40" s="371"/>
      <c r="U40" s="371">
        <f t="shared" si="2"/>
        <v>6.9341106933694618</v>
      </c>
      <c r="V40" s="372"/>
    </row>
    <row r="41" spans="1:22" ht="22" customHeight="1">
      <c r="A41" s="402" t="s">
        <v>109</v>
      </c>
      <c r="B41" s="129">
        <v>401734</v>
      </c>
      <c r="C41" s="77" t="s">
        <v>264</v>
      </c>
      <c r="D41" s="78">
        <v>45904</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IF(Q13=0, 0, Q38/Q13)</f>
        <v>4.1604664160216789</v>
      </c>
      <c r="R41" s="338"/>
      <c r="S41" s="338">
        <f>IF(Q13=0, 0, S38/Q13)</f>
        <v>4.2991486298890687</v>
      </c>
      <c r="T41" s="338"/>
      <c r="U41" s="338">
        <f t="shared" si="2"/>
        <v>0.13868221386738977</v>
      </c>
      <c r="V41" s="339"/>
    </row>
    <row r="42" spans="1:22" ht="22" customHeight="1">
      <c r="A42" s="402" t="s">
        <v>111</v>
      </c>
      <c r="B42" s="128">
        <v>401737</v>
      </c>
      <c r="C42" s="69" t="s">
        <v>266</v>
      </c>
      <c r="D42" s="70">
        <v>45906</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17.148029710949707</v>
      </c>
      <c r="R42" s="377"/>
      <c r="S42" s="377"/>
      <c r="T42" s="377"/>
      <c r="U42" s="377"/>
      <c r="V42" s="378"/>
    </row>
    <row r="43" spans="1:22" ht="22" customHeight="1">
      <c r="A43" s="402" t="s">
        <v>113</v>
      </c>
      <c r="B43" s="129">
        <v>401738</v>
      </c>
      <c r="C43" s="77" t="s">
        <v>267</v>
      </c>
      <c r="D43" s="78">
        <v>45909</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401745</v>
      </c>
      <c r="C44" s="69" t="s">
        <v>271</v>
      </c>
      <c r="D44" s="70">
        <v>45934</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401746</v>
      </c>
      <c r="C45" s="77" t="s">
        <v>270</v>
      </c>
      <c r="D45" s="78">
        <v>45941</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401747</v>
      </c>
      <c r="C46" s="69" t="s">
        <v>268</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401748</v>
      </c>
      <c r="C47" s="77" t="s">
        <v>269</v>
      </c>
      <c r="D47" s="78">
        <v>45941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401751</v>
      </c>
      <c r="C48" s="69" t="s">
        <v>272</v>
      </c>
      <c r="D48" s="70">
        <v>45961</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401752</v>
      </c>
      <c r="C49" s="77" t="s">
        <v>273</v>
      </c>
      <c r="D49" s="78">
        <v>45986</v>
      </c>
      <c r="E49" s="79" t="s">
        <v>2</v>
      </c>
      <c r="F49" s="80">
        <v>86.5</v>
      </c>
      <c r="G49" s="321">
        <f>IF(OR(E49="",F49=""),"",PID_KVLohnLookup($A$1,E49,F49,LOHNTABELLE!$H$4))</f>
        <v>2152</v>
      </c>
      <c r="H49" s="322">
        <f>IF(AND(ISNUMBER(D49),ISNUMBER(F49)),ROUNDDOWN(MIN(IF(OR(ISBLANK(I49),I49=""),EOMONTH(DATE(EINSTELLUNG!$C$35,$A$1,1),0),I49)-MAX(D49,DATE(EINSTELLUNG!$C$35,$A$1,1))+1)/DAY(EOMONTH(DATE(EINSTELLUNG!$C$35,$A$1,1),0))*F49,2),"")</f>
        <v>86.5</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19"/>
      <c r="P49" s="319"/>
      <c r="Q49" s="319"/>
      <c r="R49" s="319"/>
      <c r="S49" s="319"/>
      <c r="T49" s="319"/>
      <c r="U49" s="319"/>
      <c r="V49" s="319"/>
    </row>
    <row r="50" spans="1:22" ht="22" customHeight="1">
      <c r="A50" s="402" t="s">
        <v>121</v>
      </c>
      <c r="B50" s="128">
        <v>401999</v>
      </c>
      <c r="C50" s="69" t="s">
        <v>423</v>
      </c>
      <c r="D50" s="70">
        <v>46041</v>
      </c>
      <c r="E50" s="71" t="s">
        <v>2</v>
      </c>
      <c r="F50" s="72">
        <v>151.38</v>
      </c>
      <c r="G50" s="321">
        <f>IF(OR(E50="",F50=""),"",PID_KVLohnLookup($A$1,E50,F50,LOHNTABELLE!$H$4))</f>
        <v>2500</v>
      </c>
      <c r="H50" s="322">
        <f>IF(AND(ISNUMBER(D50),ISNUMBER(F50)),ROUNDDOWN(MIN(IF(OR(ISBLANK(I50),I50=""),EOMONTH(DATE(EINSTELLUNG!$C$35,$A$1,1),0),I50)-MAX(D50,DATE(EINSTELLUNG!$C$35,$A$1,1))+1)/DAY(EOMONTH(DATE(EINSTELLUNG!$C$35,$A$1,1),0))*F50,2),"")</f>
        <v>151.38</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19"/>
      <c r="P50" s="319"/>
      <c r="Q50" s="319"/>
      <c r="R50" s="319"/>
      <c r="S50" s="319"/>
      <c r="T50" s="319"/>
      <c r="U50" s="319"/>
      <c r="V50" s="319"/>
    </row>
    <row r="51" spans="1:22" ht="22" customHeight="1">
      <c r="A51" s="402" t="s">
        <v>122</v>
      </c>
      <c r="B51" s="129">
        <v>401999</v>
      </c>
      <c r="C51" s="77" t="s">
        <v>295</v>
      </c>
      <c r="D51" s="81">
        <v>46082</v>
      </c>
      <c r="E51" s="79" t="s">
        <v>2</v>
      </c>
      <c r="F51" s="80">
        <v>173</v>
      </c>
      <c r="G51" s="321">
        <f>IF(OR(E51="",F51=""),"",PID_KVLohnLookup($A$1,E51,F51,LOHNTABELLE!$H$4))</f>
        <v>2900</v>
      </c>
      <c r="H51" s="322">
        <f>IF(AND(ISNUMBER(D51),ISNUMBER(F51)),ROUNDDOWN(MIN(IF(OR(ISBLANK(I51),I51=""),EOMONTH(DATE(EINSTELLUNG!$C$35,$A$1,1),0),I51)-MAX(D51,DATE(EINSTELLUNG!$C$35,$A$1,1))+1)/DAY(EOMONTH(DATE(EINSTELLUNG!$C$35,$A$1,1),0))*F51,2),"")</f>
        <v>173</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02" t="s">
        <v>123</v>
      </c>
      <c r="B52" s="128">
        <v>402000</v>
      </c>
      <c r="C52" s="69" t="s">
        <v>298</v>
      </c>
      <c r="D52" s="73">
        <v>46143</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2" t="s">
        <v>124</v>
      </c>
      <c r="B53" s="129">
        <v>402004</v>
      </c>
      <c r="C53" s="77" t="s">
        <v>299</v>
      </c>
      <c r="D53" s="81">
        <v>46122</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2" t="s">
        <v>125</v>
      </c>
      <c r="B54" s="128">
        <v>402405</v>
      </c>
      <c r="C54" s="69" t="s">
        <v>301</v>
      </c>
      <c r="D54" s="73">
        <v>46054</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500600</v>
      </c>
      <c r="C55" s="77" t="s">
        <v>305</v>
      </c>
      <c r="D55" s="81">
        <v>46054</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502000</v>
      </c>
      <c r="C56" s="69" t="s">
        <v>300</v>
      </c>
      <c r="D56" s="73">
        <v>46147</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503000</v>
      </c>
      <c r="C57" s="77" t="s">
        <v>302</v>
      </c>
      <c r="D57" s="81">
        <v>42401</v>
      </c>
      <c r="E57" s="79" t="s">
        <v>2</v>
      </c>
      <c r="F57" s="80">
        <v>173</v>
      </c>
      <c r="G57" s="321">
        <f>IF(OR(E57="",F57=""),"",PID_KVLohnLookup($A$1,E57,F57,LOHNTABELLE!$H$4))</f>
        <v>2900</v>
      </c>
      <c r="H57" s="322">
        <f>IF(AND(ISNUMBER(D57),ISNUMBER(F57)),ROUNDDOWN(MIN(IF(OR(ISBLANK(I57),I57=""),EOMONTH(DATE(EINSTELLUNG!$C$35,$A$1,1),0),I57)-MAX(D57,DATE(EINSTELLUNG!$C$35,$A$1,1))+1)/DAY(EOMONTH(DATE(EINSTELLUNG!$C$35,$A$1,1),0))*F57,2),"")</f>
        <v>173</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2" t="s">
        <v>129</v>
      </c>
      <c r="B58" s="128">
        <v>504000</v>
      </c>
      <c r="C58" s="69" t="s">
        <v>303</v>
      </c>
      <c r="D58" s="73">
        <v>46054</v>
      </c>
      <c r="E58" s="71" t="s">
        <v>3</v>
      </c>
      <c r="F58" s="72">
        <v>138.4</v>
      </c>
      <c r="G58" s="321">
        <f>IF(OR(E58="",F58=""),"",PID_KVLohnLookup($A$1,E58,F58,LOHNTABELLE!$H$4))</f>
        <v>1665.6</v>
      </c>
      <c r="H58" s="322">
        <f>IF(AND(ISNUMBER(D58),ISNUMBER(F58)),ROUNDDOWN(MIN(IF(OR(ISBLANK(I58),I58=""),EOMONTH(DATE(EINSTELLUNG!$C$35,$A$1,1),0),I58)-MAX(D58,DATE(EINSTELLUNG!$C$35,$A$1,1))+1)/DAY(EOMONTH(DATE(EINSTELLUNG!$C$35,$A$1,1),0))*F58,2),"")</f>
        <v>138.4</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02" t="s">
        <v>130</v>
      </c>
      <c r="B59" s="129">
        <v>505000</v>
      </c>
      <c r="C59" s="77" t="s">
        <v>304</v>
      </c>
      <c r="D59" s="81">
        <v>46054</v>
      </c>
      <c r="E59" s="79" t="s">
        <v>2</v>
      </c>
      <c r="F59" s="80">
        <v>138.4</v>
      </c>
      <c r="G59" s="321">
        <f>IF(OR(E59="",F59=""),"",PID_KVLohnLookup($A$1,E59,F59,LOHNTABELLE!$H$4))</f>
        <v>2400</v>
      </c>
      <c r="H59" s="322">
        <f>IF(AND(ISNUMBER(D59),ISNUMBER(F59)),ROUNDDOWN(MIN(IF(OR(ISBLANK(I59),I59=""),EOMONTH(DATE(EINSTELLUNG!$C$35,$A$1,1),0),I59)-MAX(D59,DATE(EINSTELLUNG!$C$35,$A$1,1))+1)/DAY(EOMONTH(DATE(EINSTELLUNG!$C$35,$A$1,1),0))*F59,2),"")</f>
        <v>138.4</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02" t="s">
        <v>131</v>
      </c>
      <c r="B60" s="128">
        <v>525025</v>
      </c>
      <c r="C60" s="69" t="s">
        <v>425</v>
      </c>
      <c r="D60" s="73">
        <v>46040</v>
      </c>
      <c r="E60" s="71" t="s">
        <v>2</v>
      </c>
      <c r="F60" s="72">
        <v>129.75</v>
      </c>
      <c r="G60" s="321">
        <f>IF(OR(E60="",F60=""),"",PID_KVLohnLookup($A$1,E60,F60,LOHNTABELLE!$H$4))</f>
        <v>2300</v>
      </c>
      <c r="H60" s="322">
        <f>IF(AND(ISNUMBER(D60),ISNUMBER(F60)),ROUNDDOWN(MIN(IF(OR(ISBLANK(I60),I60=""),EOMONTH(DATE(EINSTELLUNG!$C$35,$A$1,1),0),I60)-MAX(D60,DATE(EINSTELLUNG!$C$35,$A$1,1))+1)/DAY(EOMONTH(DATE(EINSTELLUNG!$C$35,$A$1,1),0))*F60,2),"")</f>
        <v>129.75</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02" t="s">
        <v>132</v>
      </c>
      <c r="B61" s="129">
        <v>700000</v>
      </c>
      <c r="C61" s="94" t="s">
        <v>312</v>
      </c>
      <c r="D61" s="81">
        <v>46054</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173</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2" t="s">
        <v>133</v>
      </c>
      <c r="B62" s="128">
        <v>800000</v>
      </c>
      <c r="C62" s="69" t="s">
        <v>313</v>
      </c>
      <c r="D62" s="73">
        <v>46096</v>
      </c>
      <c r="E62" s="71" t="s">
        <v>2</v>
      </c>
      <c r="F62" s="72">
        <v>173</v>
      </c>
      <c r="G62" s="321">
        <f>IF(OR(E62="",F62=""),"",PID_KVLohnLookup($A$1,E62,F62,LOHNTABELLE!$H$4))</f>
        <v>2900</v>
      </c>
      <c r="H62" s="322">
        <f>IF(AND(ISNUMBER(D62),ISNUMBER(F62)),ROUNDDOWN(MIN(IF(OR(ISBLANK(I62),I62=""),EOMONTH(DATE(EINSTELLUNG!$C$35,$A$1,1),0),I62)-MAX(D62,DATE(EINSTELLUNG!$C$35,$A$1,1))+1)/DAY(EOMONTH(DATE(EINSTELLUNG!$C$35,$A$1,1),0))*F62,2),"")</f>
        <v>173</v>
      </c>
      <c r="I62" s="73"/>
      <c r="J62" s="74"/>
      <c r="K62" s="321">
        <f t="shared" si="1"/>
        <v>0</v>
      </c>
      <c r="L62" s="32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02" t="s">
        <v>134</v>
      </c>
      <c r="B63" s="129"/>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mRd8X608Cy4D6WysDWqAZeuqLr4evtuBrY9UCgbNvwQfr20P6t//Urp+5cV0Sa/3dQvHLYMumJtoEO49xZp5Eg==" saltValue="LBB2ofsJNb0J0oEVk3Jw0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BB7222DB-C534-9C4D-8320-2E307860A491}">
          <x14:formula1>
            <xm:f>KV_DROPDOWN_HELPER!$XT$1:$XT$14</xm:f>
          </x14:formula1>
          <xm:sqref>F7 F13 F14 F16 F18 F19 F20 F23 F24 F26 F28 F29 F30 F31 F32 F33 F34 F35 F36 F37 F38 F39 F40 F41 F42 F43 F44 F45 F46 F47 F48 F49 F50 F51 F52 F53 F54 F55 F56 F57 F59 F60 F61 F62</xm:sqref>
        </x14:dataValidation>
        <x14:dataValidation type="list" allowBlank="1" showInputMessage="1" showErrorMessage="1" xr:uid="{285CDD87-12C5-DD49-859B-F419BD7988B4}">
          <x14:formula1>
            <xm:f>KV_DROPDOWN_HELPER!$XU$1:$XU$13</xm:f>
          </x14:formula1>
          <xm:sqref>F8 F9 F10 F11 F12 F58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4" activePane="bottomLeft" state="frozen"/>
      <selection activeCell="T24" sqref="T24"/>
      <selection pane="bottomLeft" activeCell="P52" sqref="P52"/>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10</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46296</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46326</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757.11029579605577</v>
      </c>
      <c r="P5" s="327">
        <f>EINSTELLUNG!I15</f>
        <v>600</v>
      </c>
      <c r="Q5" s="327">
        <f>P5-O5</f>
        <v>-157.11029579605577</v>
      </c>
      <c r="R5" s="328">
        <f>IFERROR(Q5*Q42, 0)</f>
        <v>-2728.0716572920419</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4</v>
      </c>
      <c r="F7" s="80">
        <v>173</v>
      </c>
      <c r="G7" s="321">
        <f>IF(OR(E7="",F7=""),"",PID_KVLohnLookup($A$1,E7,F7,LOHNTABELLE!$H$4))</f>
        <v>2123</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7728.37</v>
      </c>
      <c r="R8" s="335"/>
      <c r="S8" s="319"/>
      <c r="T8" s="319"/>
      <c r="U8" s="319"/>
      <c r="V8" s="319"/>
    </row>
    <row r="9" spans="1:28" ht="22" customHeight="1">
      <c r="A9" s="402" t="s">
        <v>57</v>
      </c>
      <c r="B9" s="129">
        <v>401214</v>
      </c>
      <c r="C9" s="77" t="s">
        <v>255</v>
      </c>
      <c r="D9" s="78">
        <v>45636</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EINSTELLUNG!L31</f>
        <v>10</v>
      </c>
      <c r="R9" s="339"/>
      <c r="S9" s="340">
        <f>IFERROR(Q9/Q8, 0)</f>
        <v>1.2939339084438244E-3</v>
      </c>
      <c r="T9" s="319"/>
      <c r="U9" s="319"/>
      <c r="V9" s="319"/>
    </row>
    <row r="10" spans="1:28" ht="22" customHeight="1">
      <c r="A10" s="402" t="s">
        <v>59</v>
      </c>
      <c r="B10" s="128">
        <v>401276</v>
      </c>
      <c r="C10" s="69" t="s">
        <v>230</v>
      </c>
      <c r="D10" s="70">
        <v>43252</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EINSTELLUNG!I31</f>
        <v>0</v>
      </c>
      <c r="R10" s="339"/>
      <c r="S10" s="319"/>
      <c r="T10" s="319"/>
      <c r="U10" s="319"/>
      <c r="V10" s="319"/>
    </row>
    <row r="11" spans="1:28" ht="22" customHeight="1">
      <c r="A11" s="402" t="s">
        <v>61</v>
      </c>
      <c r="B11" s="129">
        <v>401276</v>
      </c>
      <c r="C11" s="77" t="s">
        <v>472</v>
      </c>
      <c r="D11" s="78">
        <v>38899</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401307</v>
      </c>
      <c r="C12" s="69" t="s">
        <v>231</v>
      </c>
      <c r="D12" s="70">
        <v>43571</v>
      </c>
      <c r="E12" s="71" t="s">
        <v>3</v>
      </c>
      <c r="F12" s="72">
        <v>151.38</v>
      </c>
      <c r="G12" s="321">
        <f>IF(OR(E12="",F12=""),"",PID_KVLohnLookup($A$1,E12,F12,LOHNTABELLE!$H$4))</f>
        <v>1821.75</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6" t="s">
        <v>64</v>
      </c>
      <c r="P12" s="337"/>
      <c r="Q12" s="177">
        <v>-121</v>
      </c>
      <c r="R12" s="178"/>
      <c r="S12" s="319"/>
      <c r="T12" s="319"/>
      <c r="U12" s="319"/>
      <c r="V12" s="319"/>
    </row>
    <row r="13" spans="1:28" ht="22" customHeight="1">
      <c r="A13" s="402" t="s">
        <v>65</v>
      </c>
      <c r="B13" s="129">
        <v>401308</v>
      </c>
      <c r="C13" s="77" t="s">
        <v>232</v>
      </c>
      <c r="D13" s="78">
        <v>43579</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66</v>
      </c>
      <c r="P13" s="337"/>
      <c r="Q13" s="338">
        <f>Q8-Q9-Q10-Q11-Q12</f>
        <v>7239.37</v>
      </c>
      <c r="R13" s="339"/>
      <c r="S13" s="319"/>
      <c r="T13" s="319"/>
      <c r="U13" s="319"/>
      <c r="V13" s="319"/>
    </row>
    <row r="14" spans="1:28" ht="22" customHeigh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36" t="s">
        <v>68</v>
      </c>
      <c r="P14" s="337"/>
      <c r="Q14" s="338">
        <f>EINSTELLUNG!L15</f>
        <v>9300</v>
      </c>
      <c r="R14" s="339"/>
      <c r="S14" s="319"/>
      <c r="T14" s="319"/>
      <c r="U14" s="319"/>
      <c r="V14" s="319"/>
    </row>
    <row r="15" spans="1:28" ht="22" customHeight="1" thickBot="1">
      <c r="A15" s="402" t="s">
        <v>69</v>
      </c>
      <c r="B15" s="129">
        <v>401406</v>
      </c>
      <c r="C15" s="77" t="s">
        <v>473</v>
      </c>
      <c r="D15" s="78">
        <v>36850</v>
      </c>
      <c r="E15" s="79" t="s">
        <v>10</v>
      </c>
      <c r="F15" s="80">
        <v>151.38</v>
      </c>
      <c r="G15" s="321">
        <f>IF(OR(E15="",F15=""),"",PID_KVLohnLookup($A$1,E15,F15,LOHNTABELLE!$H$4))</f>
        <v>2012.5</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1" t="s">
        <v>70</v>
      </c>
      <c r="P15" s="342"/>
      <c r="Q15" s="343">
        <f>Q13-Q14</f>
        <v>-2060.63</v>
      </c>
      <c r="R15" s="344"/>
      <c r="S15" s="345"/>
      <c r="T15" s="345"/>
      <c r="U15" s="345"/>
      <c r="V15" s="319"/>
    </row>
    <row r="16" spans="1:28" ht="22" customHeight="1" thickBot="1">
      <c r="A16" s="402" t="s">
        <v>71</v>
      </c>
      <c r="B16" s="128">
        <v>401432</v>
      </c>
      <c r="C16" s="69" t="s">
        <v>235</v>
      </c>
      <c r="D16" s="70">
        <v>44441</v>
      </c>
      <c r="E16" s="71" t="s">
        <v>2</v>
      </c>
      <c r="F16" s="72">
        <v>173</v>
      </c>
      <c r="G16" s="321">
        <f>IF(OR(E16="",F16=""),"",PID_KVLohnLookup($A$1,E16,F16,LOHNTABELLE!$H$4))</f>
        <v>2900</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401479</v>
      </c>
      <c r="C17" s="77" t="s">
        <v>238</v>
      </c>
      <c r="D17" s="78">
        <v>44511</v>
      </c>
      <c r="E17" s="79" t="s">
        <v>6</v>
      </c>
      <c r="F17" s="80">
        <v>173</v>
      </c>
      <c r="G17" s="321">
        <f>IF(OR(E17="",F17=""),"",PID_KVLohnLookup($A$1,E17,F17,LOHNTABELLE!$H$4))</f>
        <v>2160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11" t="s">
        <v>73</v>
      </c>
      <c r="P17" s="333"/>
      <c r="Q17" s="351">
        <f>SUM(L3:L82)</f>
        <v>134195.83387096773</v>
      </c>
      <c r="R17" s="352"/>
      <c r="S17" s="319"/>
      <c r="T17" s="319"/>
      <c r="U17" s="319"/>
      <c r="V17" s="319"/>
      <c r="W17" s="350"/>
    </row>
    <row r="18" spans="1:29" ht="22" customHeight="1">
      <c r="A18" s="402" t="s">
        <v>74</v>
      </c>
      <c r="B18" s="128">
        <v>401481</v>
      </c>
      <c r="C18" s="69" t="s">
        <v>239</v>
      </c>
      <c r="D18" s="70">
        <v>44531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401564</v>
      </c>
      <c r="C19" s="77" t="s">
        <v>240</v>
      </c>
      <c r="D19" s="78">
        <v>44824</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401583</v>
      </c>
      <c r="C20" s="69" t="s">
        <v>242</v>
      </c>
      <c r="D20" s="70">
        <v>44900</v>
      </c>
      <c r="E20" s="71" t="s">
        <v>10</v>
      </c>
      <c r="F20" s="72">
        <v>173</v>
      </c>
      <c r="G20" s="321">
        <f>IF(OR(E20="",F20=""),"",PID_KVLohnLookup($A$1,E20,F20,LOHNTABELLE!$H$4))</f>
        <v>2300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12" t="s">
        <v>296</v>
      </c>
      <c r="P20" s="354"/>
      <c r="Q20" s="355">
        <v>35</v>
      </c>
      <c r="R20" s="356"/>
      <c r="S20" s="319"/>
      <c r="T20" s="319"/>
      <c r="U20" s="319"/>
      <c r="V20" s="319"/>
    </row>
    <row r="21" spans="1:29" ht="22" customHeight="1">
      <c r="A21" s="402" t="s">
        <v>77</v>
      </c>
      <c r="B21" s="129">
        <v>401589</v>
      </c>
      <c r="C21" s="77" t="s">
        <v>243</v>
      </c>
      <c r="D21" s="78">
        <v>44926</v>
      </c>
      <c r="E21" s="79" t="s">
        <v>10</v>
      </c>
      <c r="F21" s="80">
        <v>173</v>
      </c>
      <c r="G21" s="321">
        <f>IF(OR(E21="",F21=""),"",PID_KVLohnLookup($A$1,E21,F21,LOHNTABELLE!$H$4))</f>
        <v>2300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12" t="s">
        <v>296</v>
      </c>
      <c r="P21" s="354"/>
      <c r="Q21" s="355">
        <v>100</v>
      </c>
      <c r="R21" s="356"/>
      <c r="S21" s="319"/>
      <c r="T21" s="319"/>
      <c r="U21" s="319"/>
      <c r="V21" s="319"/>
    </row>
    <row r="22" spans="1:29" ht="22" customHeight="1">
      <c r="A22" s="402" t="s">
        <v>78</v>
      </c>
      <c r="B22" s="128">
        <v>401602</v>
      </c>
      <c r="C22" s="69" t="s">
        <v>244</v>
      </c>
      <c r="D22" s="70">
        <v>45975</v>
      </c>
      <c r="E22" s="71" t="s">
        <v>2</v>
      </c>
      <c r="F22" s="72">
        <v>86.5</v>
      </c>
      <c r="G22" s="321">
        <f>IF(OR(E22="",F22=""),"",PID_KVLohnLookup($A$1,E22,F22,LOHNTABELLE!$H$4))</f>
        <v>2152</v>
      </c>
      <c r="H22" s="322">
        <f>IF(AND(ISNUMBER(D22),ISNUMBER(F22)),ROUNDDOWN(MIN(IF(OR(ISBLANK(I22),I22=""),EOMONTH(DATE(EINSTELLUNG!$C$35,$A$1,1),0),I22)-MAX(D22,DATE(EINSTELLUNG!$C$35,$A$1,1))+1)/DAY(EOMONTH(DATE(EINSTELLUNG!$C$35,$A$1,1),0))*F22,2),"")</f>
        <v>86.5</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12" t="s">
        <v>296</v>
      </c>
      <c r="P22" s="354"/>
      <c r="Q22" s="355"/>
      <c r="R22" s="356"/>
      <c r="S22" s="319"/>
      <c r="T22" s="319"/>
      <c r="U22" s="319"/>
      <c r="V22" s="319"/>
    </row>
    <row r="23" spans="1:29" ht="22" customHeight="1">
      <c r="A23" s="402" t="s">
        <v>79</v>
      </c>
      <c r="B23" s="129">
        <v>401605</v>
      </c>
      <c r="C23" s="77" t="s">
        <v>245</v>
      </c>
      <c r="D23" s="78">
        <v>44986</v>
      </c>
      <c r="E23" s="79" t="s">
        <v>2</v>
      </c>
      <c r="F23" s="80">
        <v>86.5</v>
      </c>
      <c r="G23" s="321">
        <f>IF(OR(E23="",F23=""),"",PID_KVLohnLookup($A$1,E23,F23,LOHNTABELLE!$H$4))</f>
        <v>2152</v>
      </c>
      <c r="H23" s="322">
        <f>IF(AND(ISNUMBER(D23),ISNUMBER(F23)),ROUNDDOWN(MIN(IF(OR(ISBLANK(I23),I23=""),EOMONTH(DATE(EINSTELLUNG!$C$35,$A$1,1),0),I23)-MAX(D23,DATE(EINSTELLUNG!$C$35,$A$1,1))+1)/DAY(EOMONTH(DATE(EINSTELLUNG!$C$35,$A$1,1),0))*F23,2),"")</f>
        <v>86.5</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12" t="s">
        <v>296</v>
      </c>
      <c r="P23" s="354"/>
      <c r="Q23" s="355">
        <v>5000</v>
      </c>
      <c r="R23" s="356"/>
      <c r="S23" s="319"/>
      <c r="T23" s="319"/>
      <c r="U23" s="319"/>
      <c r="V23" s="319"/>
      <c r="W23" s="350"/>
    </row>
    <row r="24" spans="1:29" ht="22" customHeight="1">
      <c r="A24" s="402" t="s">
        <v>80</v>
      </c>
      <c r="B24" s="128">
        <v>401605</v>
      </c>
      <c r="C24" s="69" t="s">
        <v>473</v>
      </c>
      <c r="D24" s="73">
        <v>36850</v>
      </c>
      <c r="E24" s="71" t="s">
        <v>10</v>
      </c>
      <c r="F24" s="72">
        <v>151.38</v>
      </c>
      <c r="G24" s="321">
        <f>IF(OR(E24="",F24=""),"",PID_KVLohnLookup($A$1,E24,F24,LOHNTABELLE!$H$4))</f>
        <v>2012.5</v>
      </c>
      <c r="H24" s="322">
        <f>IF(AND(ISNUMBER(D24),ISNUMBER(F24)),ROUNDDOWN(MIN(IF(OR(ISBLANK(I24),I24=""),EOMONTH(DATE(EINSTELLUNG!$C$35,$A$1,1),0),I24)-MAX(D24,DATE(EINSTELLUNG!$C$35,$A$1,1))+1)/DAY(EOMONTH(DATE(EINSTELLUNG!$C$35,$A$1,1),0))*F24,2),"")</f>
        <v>151.38</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12"/>
      <c r="P24" s="354"/>
      <c r="Q24" s="355"/>
      <c r="R24" s="356"/>
      <c r="S24" s="319"/>
      <c r="T24" s="319"/>
      <c r="U24" s="319"/>
      <c r="V24" s="319"/>
      <c r="W24" s="350"/>
    </row>
    <row r="25" spans="1:29" ht="22" customHeight="1">
      <c r="A25" s="402" t="s">
        <v>81</v>
      </c>
      <c r="B25" s="129">
        <v>401626</v>
      </c>
      <c r="C25" s="77" t="s">
        <v>246</v>
      </c>
      <c r="D25" s="78">
        <v>45063</v>
      </c>
      <c r="E25" s="79" t="s">
        <v>2</v>
      </c>
      <c r="F25" s="80">
        <v>86.5</v>
      </c>
      <c r="G25" s="321">
        <f>IF(OR(E25="",F25=""),"",PID_KVLohnLookup($A$1,E25,F25,LOHNTABELLE!$H$4))</f>
        <v>2152</v>
      </c>
      <c r="H25" s="322">
        <f>IF(AND(ISNUMBER(D25),ISNUMBER(F25)),ROUNDDOWN(MIN(IF(OR(ISBLANK(I25),I25=""),EOMONTH(DATE(EINSTELLUNG!$C$35,$A$1,1),0),I25)-MAX(D25,DATE(EINSTELLUNG!$C$35,$A$1,1))+1)/DAY(EOMONTH(DATE(EINSTELLUNG!$C$35,$A$1,1),0))*F25,2),"")</f>
        <v>86.5</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12"/>
      <c r="P25" s="354"/>
      <c r="Q25" s="355"/>
      <c r="R25" s="356"/>
      <c r="S25" s="319"/>
      <c r="T25" s="319"/>
      <c r="U25" s="319"/>
      <c r="V25" s="319"/>
    </row>
    <row r="26" spans="1:29" ht="22" customHeight="1">
      <c r="A26" s="402" t="s">
        <v>82</v>
      </c>
      <c r="B26" s="128">
        <v>401633</v>
      </c>
      <c r="C26" s="69" t="s">
        <v>247</v>
      </c>
      <c r="D26" s="73">
        <v>45089</v>
      </c>
      <c r="E26" s="71" t="s">
        <v>10</v>
      </c>
      <c r="F26" s="72">
        <v>86.5</v>
      </c>
      <c r="G26" s="321">
        <f>IF(OR(E26="",F26=""),"",PID_KVLohnLookup($A$1,E26,F26,LOHNTABELLE!$H$4))</f>
        <v>1150</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12"/>
      <c r="P26" s="354"/>
      <c r="Q26" s="355"/>
      <c r="R26" s="356"/>
      <c r="S26" s="319"/>
      <c r="T26" s="319"/>
      <c r="U26" s="319"/>
      <c r="V26" s="319"/>
    </row>
    <row r="27" spans="1:29" ht="22" customHeight="1">
      <c r="A27" s="402" t="s">
        <v>83</v>
      </c>
      <c r="B27" s="129">
        <v>401647</v>
      </c>
      <c r="C27" s="77" t="s">
        <v>248</v>
      </c>
      <c r="D27" s="78">
        <v>45182</v>
      </c>
      <c r="E27" s="79" t="s">
        <v>2</v>
      </c>
      <c r="F27" s="80">
        <v>86.5</v>
      </c>
      <c r="G27" s="321">
        <f>IF(OR(E27="",F27=""),"",PID_KVLohnLookup($A$1,E27,F27,LOHNTABELLE!$H$4))</f>
        <v>2152</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12"/>
      <c r="P27" s="354"/>
      <c r="Q27" s="355"/>
      <c r="R27" s="356"/>
      <c r="S27" s="357" t="s">
        <v>84</v>
      </c>
      <c r="T27" s="357"/>
      <c r="U27" s="357"/>
      <c r="V27" s="357"/>
    </row>
    <row r="28" spans="1:29" ht="22" customHeight="1">
      <c r="A28" s="402" t="s">
        <v>85</v>
      </c>
      <c r="B28" s="128">
        <v>401661</v>
      </c>
      <c r="C28" s="69" t="s">
        <v>249</v>
      </c>
      <c r="D28" s="70">
        <v>45261</v>
      </c>
      <c r="E28" s="71" t="s">
        <v>2</v>
      </c>
      <c r="F28" s="72">
        <v>86.5</v>
      </c>
      <c r="G28" s="321">
        <f>IF(OR(E28="",F28=""),"",PID_KVLohnLookup($A$1,E28,F28,LOHNTABELLE!$H$4))</f>
        <v>2152</v>
      </c>
      <c r="H28" s="322">
        <f>IF(AND(ISNUMBER(D28),ISNUMBER(F28)),ROUNDDOWN(MIN(IF(OR(ISBLANK(I28),I28=""),EOMONTH(DATE(EINSTELLUNG!$C$35,$A$1,1),0),I28)-MAX(D28,DATE(EINSTELLUNG!$C$35,$A$1,1))+1)/DAY(EOMONTH(DATE(EINSTELLUNG!$C$35,$A$1,1),0))*F28,2),"")</f>
        <v>86.5</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12"/>
      <c r="P28" s="354"/>
      <c r="Q28" s="355"/>
      <c r="R28" s="356"/>
      <c r="S28" s="319"/>
      <c r="T28" s="319"/>
      <c r="U28" s="319"/>
      <c r="V28" s="319"/>
    </row>
    <row r="29" spans="1:29" ht="22" customHeight="1" thickBot="1">
      <c r="A29" s="402" t="s">
        <v>86</v>
      </c>
      <c r="B29" s="129">
        <v>401670</v>
      </c>
      <c r="C29" s="77" t="s">
        <v>250</v>
      </c>
      <c r="D29" s="78">
        <v>45358</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EINSTELLUNG!O15</f>
        <v>1250</v>
      </c>
      <c r="R29" s="359"/>
      <c r="S29" s="319"/>
      <c r="T29" s="319"/>
      <c r="U29" s="319"/>
      <c r="V29" s="319"/>
    </row>
    <row r="30" spans="1:29" ht="22" customHeight="1" thickBot="1">
      <c r="A30" s="402" t="s">
        <v>88</v>
      </c>
      <c r="B30" s="128">
        <v>401678</v>
      </c>
      <c r="C30" s="69" t="s">
        <v>251</v>
      </c>
      <c r="D30" s="70">
        <v>45414</v>
      </c>
      <c r="E30" s="71" t="s">
        <v>2</v>
      </c>
      <c r="F30" s="72">
        <v>173</v>
      </c>
      <c r="G30" s="321">
        <f>IF(OR(E30="",F30=""),"",PID_KVLohnLookup($A$1,E30,F30,LOHNTABELLE!$H$4))</f>
        <v>2900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401690</v>
      </c>
      <c r="C31" s="77" t="s">
        <v>253</v>
      </c>
      <c r="D31" s="78">
        <v>45536</v>
      </c>
      <c r="E31" s="79" t="s">
        <v>2</v>
      </c>
      <c r="F31" s="80">
        <v>86.5</v>
      </c>
      <c r="G31" s="321">
        <f>IF(OR(E31="",F31=""),"",PID_KVLohnLookup($A$1,E31,F31,LOHNTABELLE!$H$4))</f>
        <v>2152</v>
      </c>
      <c r="H31" s="322">
        <f>IF(AND(ISNUMBER(D31),ISNUMBER(F31)),ROUNDDOWN(MIN(IF(OR(ISBLANK(I31),I31=""),EOMONTH(DATE(EINSTELLUNG!$C$35,$A$1,1),0),I31)-MAX(D31,DATE(EINSTELLUNG!$C$35,$A$1,1))+1)/DAY(EOMONTH(DATE(EINSTELLUNG!$C$35,$A$1,1),0))*F31,2),"")</f>
        <v>86.5</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14">
        <v>0</v>
      </c>
      <c r="P31" s="362"/>
      <c r="Q31" s="363">
        <v>1.7241379310344827E-2</v>
      </c>
      <c r="R31" s="364"/>
      <c r="S31" s="319"/>
      <c r="T31" s="319"/>
      <c r="U31" s="319"/>
      <c r="V31" s="319"/>
    </row>
    <row r="32" spans="1:29" ht="22" customHeight="1" thickBot="1">
      <c r="A32" s="402" t="s">
        <v>91</v>
      </c>
      <c r="B32" s="128">
        <v>401715</v>
      </c>
      <c r="C32" s="69" t="s">
        <v>256</v>
      </c>
      <c r="D32" s="70">
        <v>45755</v>
      </c>
      <c r="E32" s="71" t="s">
        <v>2</v>
      </c>
      <c r="F32" s="72">
        <v>86.5</v>
      </c>
      <c r="G32" s="321">
        <f>IF(OR(E32="",F32=""),"",PID_KVLohnLookup($A$1,E32,F32,LOHNTABELLE!$H$4))</f>
        <v>2152</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9"/>
      <c r="P32" s="319"/>
      <c r="Q32" s="319"/>
      <c r="R32" s="319"/>
      <c r="S32" s="319"/>
      <c r="T32" s="319"/>
      <c r="U32" s="319"/>
      <c r="V32" s="319"/>
    </row>
    <row r="33" spans="1:22" ht="22" customHeight="1">
      <c r="A33" s="402" t="s">
        <v>92</v>
      </c>
      <c r="B33" s="129">
        <v>401716</v>
      </c>
      <c r="C33" s="77" t="s">
        <v>257</v>
      </c>
      <c r="D33" s="78">
        <v>45800</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401717</v>
      </c>
      <c r="C34" s="69" t="s">
        <v>258</v>
      </c>
      <c r="D34" s="70">
        <v>45814</v>
      </c>
      <c r="E34" s="71" t="s">
        <v>2</v>
      </c>
      <c r="F34" s="93">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401722</v>
      </c>
      <c r="C35" s="77" t="s">
        <v>259</v>
      </c>
      <c r="D35" s="78">
        <v>45848</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EINSTELLUNG!C15</f>
        <v>400000</v>
      </c>
      <c r="R35" s="371"/>
      <c r="S35" s="371">
        <f>EINSTELLUNG!C31</f>
        <v>401000</v>
      </c>
      <c r="T35" s="371"/>
      <c r="U35" s="371">
        <f>S35-Q35</f>
        <v>1000</v>
      </c>
      <c r="V35" s="372"/>
    </row>
    <row r="36" spans="1:22" ht="22" customHeight="1">
      <c r="A36" s="402" t="s">
        <v>99</v>
      </c>
      <c r="B36" s="128">
        <v>401723</v>
      </c>
      <c r="C36" s="69" t="s">
        <v>260</v>
      </c>
      <c r="D36" s="70">
        <v>45852</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EINSTELLUNG!D15</f>
        <v>100000</v>
      </c>
      <c r="R36" s="371"/>
      <c r="S36" s="371">
        <f ca="1">SumMergedCells(Q17:R29)</f>
        <v>140933.8339</v>
      </c>
      <c r="T36" s="371"/>
      <c r="U36" s="371">
        <f t="shared" ref="U36:U41" ca="1" si="2">S36-Q36</f>
        <v>40933.833899999998</v>
      </c>
      <c r="V36" s="372"/>
    </row>
    <row r="37" spans="1:22" ht="22" customHeight="1">
      <c r="A37" s="402" t="s">
        <v>101</v>
      </c>
      <c r="B37" s="129">
        <v>401726</v>
      </c>
      <c r="C37" s="77" t="s">
        <v>261</v>
      </c>
      <c r="D37" s="78">
        <v>45870</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0.35145594488778054</v>
      </c>
      <c r="T37" s="373"/>
      <c r="U37" s="373">
        <f t="shared" ca="1" si="2"/>
        <v>0.10145594488778054</v>
      </c>
      <c r="V37" s="374"/>
    </row>
    <row r="38" spans="1:22" ht="22" customHeight="1">
      <c r="A38" s="402" t="s">
        <v>103</v>
      </c>
      <c r="B38" s="128">
        <v>401730</v>
      </c>
      <c r="C38" s="69" t="s">
        <v>263</v>
      </c>
      <c r="D38" s="70">
        <v>45895</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EINSTELLUNG!F15</f>
        <v>30000</v>
      </c>
      <c r="R38" s="338"/>
      <c r="S38" s="338">
        <f>EINSTELLUNG!F31</f>
        <v>31000</v>
      </c>
      <c r="T38" s="338"/>
      <c r="U38" s="338">
        <f t="shared" si="2"/>
        <v>1000</v>
      </c>
      <c r="V38" s="339"/>
    </row>
    <row r="39" spans="1:22" ht="22" customHeight="1">
      <c r="A39" s="402" t="s">
        <v>105</v>
      </c>
      <c r="B39" s="129">
        <v>401731</v>
      </c>
      <c r="C39" s="77" t="s">
        <v>262</v>
      </c>
      <c r="D39" s="78">
        <v>45899</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12.935483870967742</v>
      </c>
      <c r="T39" s="371"/>
      <c r="U39" s="371">
        <f t="shared" si="2"/>
        <v>-0.39784946236559193</v>
      </c>
      <c r="V39" s="372"/>
    </row>
    <row r="40" spans="1:22" ht="22" customHeight="1">
      <c r="A40" s="402" t="s">
        <v>107</v>
      </c>
      <c r="B40" s="128">
        <v>401734</v>
      </c>
      <c r="C40" s="69" t="s">
        <v>264</v>
      </c>
      <c r="D40" s="70">
        <v>45904</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IF(Q13=0, 0, Q35/Q13)</f>
        <v>55.253426748460157</v>
      </c>
      <c r="R40" s="371"/>
      <c r="S40" s="371">
        <f>IF(Q13=0, 0, S35/Q13)</f>
        <v>55.391560315331304</v>
      </c>
      <c r="T40" s="371"/>
      <c r="U40" s="371">
        <f t="shared" si="2"/>
        <v>0.1381335668711472</v>
      </c>
      <c r="V40" s="372"/>
    </row>
    <row r="41" spans="1:22" ht="22" customHeight="1">
      <c r="A41" s="402" t="s">
        <v>109</v>
      </c>
      <c r="B41" s="129">
        <v>401737</v>
      </c>
      <c r="C41" s="77" t="s">
        <v>266</v>
      </c>
      <c r="D41" s="78">
        <v>45906</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IF(Q13=0, 0, Q38/Q13)</f>
        <v>4.1440070061345118</v>
      </c>
      <c r="R41" s="338"/>
      <c r="S41" s="338">
        <f>IF(Q13=0, 0, S38/Q13)</f>
        <v>4.2821405730056625</v>
      </c>
      <c r="T41" s="338"/>
      <c r="U41" s="338">
        <f t="shared" si="2"/>
        <v>0.13813356687115075</v>
      </c>
      <c r="V41" s="339"/>
    </row>
    <row r="42" spans="1:22" ht="22" customHeight="1">
      <c r="A42" s="402" t="s">
        <v>111</v>
      </c>
      <c r="B42" s="128">
        <v>401738</v>
      </c>
      <c r="C42" s="69" t="s">
        <v>267</v>
      </c>
      <c r="D42" s="70">
        <v>45909</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17.364053981753944</v>
      </c>
      <c r="R42" s="377"/>
      <c r="S42" s="377"/>
      <c r="T42" s="377"/>
      <c r="U42" s="377"/>
      <c r="V42" s="378"/>
    </row>
    <row r="43" spans="1:22" ht="22" customHeight="1">
      <c r="A43" s="402" t="s">
        <v>113</v>
      </c>
      <c r="B43" s="129">
        <v>401745</v>
      </c>
      <c r="C43" s="77" t="s">
        <v>271</v>
      </c>
      <c r="D43" s="78">
        <v>45934</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401746</v>
      </c>
      <c r="C44" s="69" t="s">
        <v>270</v>
      </c>
      <c r="D44" s="70">
        <v>45941</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401747</v>
      </c>
      <c r="C45" s="77" t="s">
        <v>268</v>
      </c>
      <c r="D45" s="78">
        <v>45941</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401748</v>
      </c>
      <c r="C46" s="69" t="s">
        <v>269</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401751</v>
      </c>
      <c r="C47" s="77" t="s">
        <v>272</v>
      </c>
      <c r="D47" s="78">
        <v>45961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401752</v>
      </c>
      <c r="C48" s="69" t="s">
        <v>273</v>
      </c>
      <c r="D48" s="70">
        <v>45986</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401999</v>
      </c>
      <c r="C49" s="77" t="s">
        <v>423</v>
      </c>
      <c r="D49" s="78">
        <v>46041</v>
      </c>
      <c r="E49" s="79" t="s">
        <v>2</v>
      </c>
      <c r="F49" s="80">
        <v>151.38</v>
      </c>
      <c r="G49" s="321">
        <f>IF(OR(E49="",F49=""),"",PID_KVLohnLookup($A$1,E49,F49,LOHNTABELLE!$H$4))</f>
        <v>2500</v>
      </c>
      <c r="H49" s="322">
        <f>IF(AND(ISNUMBER(D49),ISNUMBER(F49)),ROUNDDOWN(MIN(IF(OR(ISBLANK(I49),I49=""),EOMONTH(DATE(EINSTELLUNG!$C$35,$A$1,1),0),I49)-MAX(D49,DATE(EINSTELLUNG!$C$35,$A$1,1))+1)/DAY(EOMONTH(DATE(EINSTELLUNG!$C$35,$A$1,1),0))*F49,2),"")</f>
        <v>151.38</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19"/>
      <c r="P49" s="319"/>
      <c r="Q49" s="319"/>
      <c r="R49" s="319"/>
      <c r="S49" s="319"/>
      <c r="T49" s="319"/>
      <c r="U49" s="319"/>
      <c r="V49" s="319"/>
    </row>
    <row r="50" spans="1:22" ht="22" customHeight="1">
      <c r="A50" s="402" t="s">
        <v>121</v>
      </c>
      <c r="B50" s="128">
        <v>401999</v>
      </c>
      <c r="C50" s="69" t="s">
        <v>295</v>
      </c>
      <c r="D50" s="73">
        <v>46082</v>
      </c>
      <c r="E50" s="71" t="s">
        <v>2</v>
      </c>
      <c r="F50" s="72">
        <v>173</v>
      </c>
      <c r="G50" s="321">
        <f>IF(OR(E50="",F50=""),"",PID_KVLohnLookup($A$1,E50,F50,LOHNTABELLE!$H$4))</f>
        <v>2900</v>
      </c>
      <c r="H50" s="322">
        <f>IF(AND(ISNUMBER(D50),ISNUMBER(F50)),ROUNDDOWN(MIN(IF(OR(ISBLANK(I50),I50=""),EOMONTH(DATE(EINSTELLUNG!$C$35,$A$1,1),0),I50)-MAX(D50,DATE(EINSTELLUNG!$C$35,$A$1,1))+1)/DAY(EOMONTH(DATE(EINSTELLUNG!$C$35,$A$1,1),0))*F50,2),"")</f>
        <v>173</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19"/>
      <c r="P50" s="319"/>
      <c r="Q50" s="319"/>
      <c r="R50" s="319"/>
      <c r="S50" s="319"/>
      <c r="T50" s="319"/>
      <c r="U50" s="319"/>
      <c r="V50" s="319"/>
    </row>
    <row r="51" spans="1:22" ht="18" customHeight="1">
      <c r="A51" s="402" t="s">
        <v>122</v>
      </c>
      <c r="B51" s="129">
        <v>402000</v>
      </c>
      <c r="C51" s="77" t="s">
        <v>298</v>
      </c>
      <c r="D51" s="81">
        <v>46143</v>
      </c>
      <c r="E51" s="79" t="s">
        <v>2</v>
      </c>
      <c r="F51" s="80">
        <v>173</v>
      </c>
      <c r="G51" s="321">
        <f>IF(OR(E51="",F51=""),"",PID_KVLohnLookup($A$1,E51,F51,LOHNTABELLE!$H$4))</f>
        <v>2900</v>
      </c>
      <c r="H51" s="322">
        <f>IF(AND(ISNUMBER(D51),ISNUMBER(F51)),ROUNDDOWN(MIN(IF(OR(ISBLANK(I51),I51=""),EOMONTH(DATE(EINSTELLUNG!$C$35,$A$1,1),0),I51)-MAX(D51,DATE(EINSTELLUNG!$C$35,$A$1,1))+1)/DAY(EOMONTH(DATE(EINSTELLUNG!$C$35,$A$1,1),0))*F51,2),"")</f>
        <v>55.8</v>
      </c>
      <c r="I51" s="81">
        <v>46305</v>
      </c>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83"/>
      <c r="N51" s="99" t="s">
        <v>195</v>
      </c>
    </row>
    <row r="52" spans="1:22" ht="18" customHeight="1">
      <c r="A52" s="402" t="s">
        <v>123</v>
      </c>
      <c r="B52" s="128">
        <v>402004</v>
      </c>
      <c r="C52" s="69" t="s">
        <v>299</v>
      </c>
      <c r="D52" s="73">
        <v>46122</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2" t="s">
        <v>124</v>
      </c>
      <c r="B53" s="129">
        <v>402405</v>
      </c>
      <c r="C53" s="77" t="s">
        <v>301</v>
      </c>
      <c r="D53" s="81">
        <v>46054</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173</v>
      </c>
      <c r="I53" s="81"/>
      <c r="J53" s="82"/>
      <c r="K53" s="321">
        <f t="shared" si="1"/>
        <v>0</v>
      </c>
      <c r="L53" s="32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2" t="s">
        <v>125</v>
      </c>
      <c r="B54" s="128">
        <v>500600</v>
      </c>
      <c r="C54" s="69" t="s">
        <v>305</v>
      </c>
      <c r="D54" s="73">
        <v>46054</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502000</v>
      </c>
      <c r="C55" s="77" t="s">
        <v>300</v>
      </c>
      <c r="D55" s="81">
        <v>46147</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503000</v>
      </c>
      <c r="C56" s="69" t="s">
        <v>302</v>
      </c>
      <c r="D56" s="73">
        <v>42401</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504000</v>
      </c>
      <c r="C57" s="77" t="s">
        <v>303</v>
      </c>
      <c r="D57" s="81">
        <v>46054</v>
      </c>
      <c r="E57" s="79" t="s">
        <v>3</v>
      </c>
      <c r="F57" s="80">
        <v>138.4</v>
      </c>
      <c r="G57" s="321">
        <f>IF(OR(E57="",F57=""),"",PID_KVLohnLookup($A$1,E57,F57,LOHNTABELLE!$H$4))</f>
        <v>1665.6</v>
      </c>
      <c r="H57" s="322">
        <f>IF(AND(ISNUMBER(D57),ISNUMBER(F57)),ROUNDDOWN(MIN(IF(OR(ISBLANK(I57),I57=""),EOMONTH(DATE(EINSTELLUNG!$C$35,$A$1,1),0),I57)-MAX(D57,DATE(EINSTELLUNG!$C$35,$A$1,1))+1)/DAY(EOMONTH(DATE(EINSTELLUNG!$C$35,$A$1,1),0))*F57,2),"")</f>
        <v>138.4</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2" t="s">
        <v>129</v>
      </c>
      <c r="B58" s="128">
        <v>505000</v>
      </c>
      <c r="C58" s="69" t="s">
        <v>304</v>
      </c>
      <c r="D58" s="73">
        <v>46054</v>
      </c>
      <c r="E58" s="71" t="s">
        <v>2</v>
      </c>
      <c r="F58" s="72">
        <v>138.4</v>
      </c>
      <c r="G58" s="321">
        <f>IF(OR(E58="",F58=""),"",PID_KVLohnLookup($A$1,E58,F58,LOHNTABELLE!$H$4))</f>
        <v>2400</v>
      </c>
      <c r="H58" s="322">
        <f>IF(AND(ISNUMBER(D58),ISNUMBER(F58)),ROUNDDOWN(MIN(IF(OR(ISBLANK(I58),I58=""),EOMONTH(DATE(EINSTELLUNG!$C$35,$A$1,1),0),I58)-MAX(D58,DATE(EINSTELLUNG!$C$35,$A$1,1))+1)/DAY(EOMONTH(DATE(EINSTELLUNG!$C$35,$A$1,1),0))*F58,2),"")</f>
        <v>138.4</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2" t="s">
        <v>130</v>
      </c>
      <c r="B59" s="129">
        <v>525025</v>
      </c>
      <c r="C59" s="77" t="s">
        <v>425</v>
      </c>
      <c r="D59" s="81">
        <v>46040</v>
      </c>
      <c r="E59" s="79" t="s">
        <v>2</v>
      </c>
      <c r="F59" s="80">
        <v>129.75</v>
      </c>
      <c r="G59" s="321">
        <f>IF(OR(E59="",F59=""),"",PID_KVLohnLookup($A$1,E59,F59,LOHNTABELLE!$H$4))</f>
        <v>2300</v>
      </c>
      <c r="H59" s="322">
        <f>IF(AND(ISNUMBER(D59),ISNUMBER(F59)),ROUNDDOWN(MIN(IF(OR(ISBLANK(I59),I59=""),EOMONTH(DATE(EINSTELLUNG!$C$35,$A$1,1),0),I59)-MAX(D59,DATE(EINSTELLUNG!$C$35,$A$1,1))+1)/DAY(EOMONTH(DATE(EINSTELLUNG!$C$35,$A$1,1),0))*F59,2),"")</f>
        <v>129.75</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402" t="s">
        <v>131</v>
      </c>
      <c r="B60" s="128">
        <v>700000</v>
      </c>
      <c r="C60" s="69" t="s">
        <v>312</v>
      </c>
      <c r="D60" s="73">
        <v>46054</v>
      </c>
      <c r="E60" s="71" t="s">
        <v>2</v>
      </c>
      <c r="F60" s="72">
        <v>173</v>
      </c>
      <c r="G60" s="321">
        <f>IF(OR(E60="",F60=""),"",PID_KVLohnLookup($A$1,E60,F60,LOHNTABELLE!$H$4))</f>
        <v>2900</v>
      </c>
      <c r="H60" s="322">
        <f>IF(AND(ISNUMBER(D60),ISNUMBER(F60)),ROUNDDOWN(MIN(IF(OR(ISBLANK(I60),I60=""),EOMONTH(DATE(EINSTELLUNG!$C$35,$A$1,1),0),I60)-MAX(D60,DATE(EINSTELLUNG!$C$35,$A$1,1))+1)/DAY(EOMONTH(DATE(EINSTELLUNG!$C$35,$A$1,1),0))*F60,2),"")</f>
        <v>173</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402" t="s">
        <v>132</v>
      </c>
      <c r="B61" s="129">
        <v>800000</v>
      </c>
      <c r="C61" s="94" t="s">
        <v>313</v>
      </c>
      <c r="D61" s="81">
        <v>46096</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173</v>
      </c>
      <c r="I61" s="81"/>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2" t="s">
        <v>133</v>
      </c>
      <c r="B62" s="128"/>
      <c r="C62" s="69"/>
      <c r="D62" s="73"/>
      <c r="E62" s="71"/>
      <c r="F62" s="72"/>
      <c r="G62" s="321" t="str">
        <f>IF(OR(E62="",F62=""),"",PID_KVLohnLookup($A$1,E62,F62,LOHNTABELLE!$H$4))</f>
        <v/>
      </c>
      <c r="H62" s="322" t="str">
        <f>IF(AND(ISNUMBER(D62),ISNUMBER(F62)),ROUNDDOWN(MIN(IF(OR(ISBLANK(I62),I62=""),EOMONTH(DATE(EINSTELLUNG!$C$35,$A$1,1),0),I62)-MAX(D62,DATE(EINSTELLUNG!$C$35,$A$1,1))+1)/DAY(EOMONTH(DATE(EINSTELLUNG!$C$35,$A$1,1),0))*F62,2),"")</f>
        <v/>
      </c>
      <c r="I62" s="73"/>
      <c r="J62" s="74"/>
      <c r="K62" s="321">
        <f t="shared" si="1"/>
        <v>0</v>
      </c>
      <c r="L62" s="32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2" t="s">
        <v>134</v>
      </c>
      <c r="B63" s="129"/>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I5wlGSnpcK+/2xchQP979zKA89G+X+4HZPH9hQ+VMCCSdpl82JzXhovHmpA1nxrXUOafiWRpoQMjb/2A1geewQ==" saltValue="EkD4mJj499VYciXr+LUaF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CD378830-6AAB-48A1-8F88-9528615FC4B7}">
          <x14:formula1>
            <xm:f>KV_DROPDOWN_HELPER!$AAW$1:$AAW$14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11</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46327</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46356</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757.11029579605577</v>
      </c>
      <c r="P5" s="327">
        <f>EINSTELLUNG!I16</f>
        <v>600</v>
      </c>
      <c r="Q5" s="327">
        <f>P5-O5</f>
        <v>-157.11029579605577</v>
      </c>
      <c r="R5" s="328">
        <f>IFERROR(Q5*Q42, 0)</f>
        <v>-2774.12542548485</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4</v>
      </c>
      <c r="F7" s="80">
        <v>173</v>
      </c>
      <c r="G7" s="321">
        <f>IF(OR(E7="",F7=""),"",PID_KVLohnLookup($A$1,E7,F7,LOHNTABELLE!$H$4))</f>
        <v>2123</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7464.9699999999993</v>
      </c>
      <c r="R8" s="335"/>
      <c r="S8" s="319"/>
      <c r="T8" s="319"/>
      <c r="U8" s="319"/>
      <c r="V8" s="319"/>
    </row>
    <row r="9" spans="1:28" ht="22" customHeight="1">
      <c r="A9" s="402" t="s">
        <v>57</v>
      </c>
      <c r="B9" s="129">
        <v>401214</v>
      </c>
      <c r="C9" s="77" t="s">
        <v>255</v>
      </c>
      <c r="D9" s="78">
        <v>45636</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EINSTELLUNG!L32</f>
        <v>11</v>
      </c>
      <c r="R9" s="339"/>
      <c r="S9" s="340">
        <f>IFERROR(Q9/Q8, 0)</f>
        <v>1.4735491234392102E-3</v>
      </c>
      <c r="T9" s="319"/>
      <c r="U9" s="319"/>
      <c r="V9" s="319"/>
    </row>
    <row r="10" spans="1:28" ht="22" customHeight="1">
      <c r="A10" s="402" t="s">
        <v>59</v>
      </c>
      <c r="B10" s="128">
        <v>401276</v>
      </c>
      <c r="C10" s="69" t="s">
        <v>230</v>
      </c>
      <c r="D10" s="70">
        <v>43252</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EINSTELLUNG!I32</f>
        <v>150</v>
      </c>
      <c r="R10" s="339"/>
      <c r="S10" s="319"/>
      <c r="T10" s="319"/>
      <c r="U10" s="319"/>
      <c r="V10" s="319"/>
    </row>
    <row r="11" spans="1:28" ht="22" customHeight="1">
      <c r="A11" s="402" t="s">
        <v>61</v>
      </c>
      <c r="B11" s="129">
        <v>401276</v>
      </c>
      <c r="C11" s="77" t="s">
        <v>472</v>
      </c>
      <c r="D11" s="78">
        <v>38899</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401307</v>
      </c>
      <c r="C12" s="69" t="s">
        <v>231</v>
      </c>
      <c r="D12" s="70">
        <v>43571</v>
      </c>
      <c r="E12" s="71" t="s">
        <v>3</v>
      </c>
      <c r="F12" s="72">
        <v>151.38</v>
      </c>
      <c r="G12" s="321">
        <f>IF(OR(E12="",F12=""),"",PID_KVLohnLookup($A$1,E12,F12,LOHNTABELLE!$H$4))</f>
        <v>1821.75</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6" t="s">
        <v>66</v>
      </c>
      <c r="P12" s="337"/>
      <c r="Q12" s="338">
        <f>Q8-Q9-Q10-Q11</f>
        <v>6703.9699999999993</v>
      </c>
      <c r="R12" s="339"/>
      <c r="S12" s="319"/>
      <c r="T12" s="319"/>
      <c r="U12" s="319"/>
      <c r="V12" s="319"/>
    </row>
    <row r="13" spans="1:28" ht="22" customHeight="1">
      <c r="A13" s="402" t="s">
        <v>65</v>
      </c>
      <c r="B13" s="129">
        <v>401308</v>
      </c>
      <c r="C13" s="77" t="s">
        <v>232</v>
      </c>
      <c r="D13" s="78">
        <v>43579</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68</v>
      </c>
      <c r="P13" s="337"/>
      <c r="Q13" s="338">
        <f>EINSTELLUNG!L16</f>
        <v>9300</v>
      </c>
      <c r="R13" s="339"/>
      <c r="S13" s="319"/>
      <c r="T13" s="319"/>
      <c r="U13" s="319"/>
      <c r="V13" s="319"/>
    </row>
    <row r="14" spans="1:28" ht="22" customHeight="1" thickBo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41" t="s">
        <v>70</v>
      </c>
      <c r="P14" s="342"/>
      <c r="Q14" s="343">
        <f>Q12-Q13</f>
        <v>-2596.0300000000007</v>
      </c>
      <c r="R14" s="344"/>
      <c r="S14" s="319"/>
      <c r="T14" s="319"/>
      <c r="U14" s="319"/>
      <c r="V14" s="319"/>
    </row>
    <row r="15" spans="1:28" ht="22" customHeight="1">
      <c r="A15" s="402" t="s">
        <v>69</v>
      </c>
      <c r="B15" s="129">
        <v>401406</v>
      </c>
      <c r="C15" s="77" t="s">
        <v>473</v>
      </c>
      <c r="D15" s="78">
        <v>36850</v>
      </c>
      <c r="E15" s="79" t="s">
        <v>10</v>
      </c>
      <c r="F15" s="80">
        <v>151.38</v>
      </c>
      <c r="G15" s="321">
        <f>IF(OR(E15="",F15=""),"",PID_KVLohnLookup($A$1,E15,F15,LOHNTABELLE!$H$4))</f>
        <v>2012.5</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06" t="str">
        <f>IF(Q14&lt;0, "Schlecht! Zu wenig Stunden für Dienstplan.", IF(Q14&gt;0, "Du hast mehr als genug Stunden für Dienstplan.", ""))</f>
        <v>Schlecht! Zu wenig Stunden für Dienstplan.</v>
      </c>
      <c r="P15" s="407"/>
      <c r="Q15" s="407"/>
      <c r="R15" s="407"/>
      <c r="S15" s="345"/>
      <c r="T15" s="345"/>
      <c r="U15" s="345"/>
      <c r="V15" s="319"/>
    </row>
    <row r="16" spans="1:28" ht="22" customHeight="1" thickBot="1">
      <c r="A16" s="402" t="s">
        <v>71</v>
      </c>
      <c r="B16" s="128">
        <v>401432</v>
      </c>
      <c r="C16" s="69" t="s">
        <v>235</v>
      </c>
      <c r="D16" s="70">
        <v>44441</v>
      </c>
      <c r="E16" s="71" t="s">
        <v>2</v>
      </c>
      <c r="F16" s="72">
        <v>173</v>
      </c>
      <c r="G16" s="321">
        <f>IF(OR(E16="",F16=""),"",PID_KVLohnLookup($A$1,E16,F16,LOHNTABELLE!$H$4))</f>
        <v>2900</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08"/>
      <c r="P16" s="409"/>
      <c r="Q16" s="409"/>
      <c r="R16" s="410"/>
      <c r="S16" s="349"/>
      <c r="T16" s="349"/>
      <c r="U16" s="349"/>
      <c r="V16" s="349"/>
      <c r="W16" s="350"/>
    </row>
    <row r="17" spans="1:29" ht="22" customHeight="1">
      <c r="A17" s="402" t="s">
        <v>72</v>
      </c>
      <c r="B17" s="129">
        <v>401479</v>
      </c>
      <c r="C17" s="77" t="s">
        <v>238</v>
      </c>
      <c r="D17" s="78">
        <v>44511</v>
      </c>
      <c r="E17" s="79" t="s">
        <v>6</v>
      </c>
      <c r="F17" s="80">
        <v>173</v>
      </c>
      <c r="G17" s="321">
        <f>IF(OR(E17="",F17=""),"",PID_KVLohnLookup($A$1,E17,F17,LOHNTABELLE!$H$4))</f>
        <v>2160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11" t="s">
        <v>73</v>
      </c>
      <c r="P17" s="333"/>
      <c r="Q17" s="351">
        <f>SUM(L3:L82)</f>
        <v>131810.35</v>
      </c>
      <c r="R17" s="352"/>
      <c r="S17" s="319"/>
      <c r="T17" s="319"/>
      <c r="U17" s="319"/>
      <c r="V17" s="319"/>
      <c r="W17" s="350"/>
    </row>
    <row r="18" spans="1:29" ht="22" customHeight="1">
      <c r="A18" s="402" t="s">
        <v>74</v>
      </c>
      <c r="B18" s="128">
        <v>401481</v>
      </c>
      <c r="C18" s="69" t="s">
        <v>239</v>
      </c>
      <c r="D18" s="70">
        <v>44531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401564</v>
      </c>
      <c r="C19" s="77" t="s">
        <v>240</v>
      </c>
      <c r="D19" s="78">
        <v>44824</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401583</v>
      </c>
      <c r="C20" s="69" t="s">
        <v>242</v>
      </c>
      <c r="D20" s="70">
        <v>44900</v>
      </c>
      <c r="E20" s="71" t="s">
        <v>10</v>
      </c>
      <c r="F20" s="72">
        <v>173</v>
      </c>
      <c r="G20" s="321">
        <f>IF(OR(E20="",F20=""),"",PID_KVLohnLookup($A$1,E20,F20,LOHNTABELLE!$H$4))</f>
        <v>2300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12" t="s">
        <v>296</v>
      </c>
      <c r="P20" s="354"/>
      <c r="Q20" s="355">
        <v>35</v>
      </c>
      <c r="R20" s="356"/>
      <c r="S20" s="319"/>
      <c r="T20" s="319"/>
      <c r="U20" s="319"/>
      <c r="V20" s="319"/>
    </row>
    <row r="21" spans="1:29" ht="22" customHeight="1">
      <c r="A21" s="402" t="s">
        <v>77</v>
      </c>
      <c r="B21" s="129">
        <v>401589</v>
      </c>
      <c r="C21" s="77" t="s">
        <v>243</v>
      </c>
      <c r="D21" s="78">
        <v>44926</v>
      </c>
      <c r="E21" s="79" t="s">
        <v>10</v>
      </c>
      <c r="F21" s="80">
        <v>173</v>
      </c>
      <c r="G21" s="321">
        <f>IF(OR(E21="",F21=""),"",PID_KVLohnLookup($A$1,E21,F21,LOHNTABELLE!$H$4))</f>
        <v>2300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12" t="s">
        <v>296</v>
      </c>
      <c r="P21" s="354"/>
      <c r="Q21" s="355">
        <v>100</v>
      </c>
      <c r="R21" s="356"/>
      <c r="S21" s="319"/>
      <c r="T21" s="319"/>
      <c r="U21" s="319"/>
      <c r="V21" s="319"/>
    </row>
    <row r="22" spans="1:29" ht="22" customHeight="1">
      <c r="A22" s="402" t="s">
        <v>78</v>
      </c>
      <c r="B22" s="128">
        <v>401602</v>
      </c>
      <c r="C22" s="69" t="s">
        <v>244</v>
      </c>
      <c r="D22" s="70">
        <v>45975</v>
      </c>
      <c r="E22" s="71" t="s">
        <v>2</v>
      </c>
      <c r="F22" s="72">
        <v>86.5</v>
      </c>
      <c r="G22" s="321">
        <f>IF(OR(E22="",F22=""),"",PID_KVLohnLookup($A$1,E22,F22,LOHNTABELLE!$H$4))</f>
        <v>2152</v>
      </c>
      <c r="H22" s="322">
        <f>IF(AND(ISNUMBER(D22),ISNUMBER(F22)),ROUNDDOWN(MIN(IF(OR(ISBLANK(I22),I22=""),EOMONTH(DATE(EINSTELLUNG!$C$35,$A$1,1),0),I22)-MAX(D22,DATE(EINSTELLUNG!$C$35,$A$1,1))+1)/DAY(EOMONTH(DATE(EINSTELLUNG!$C$35,$A$1,1),0))*F22,2),"")</f>
        <v>86.5</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12" t="s">
        <v>296</v>
      </c>
      <c r="P22" s="354"/>
      <c r="Q22" s="355"/>
      <c r="R22" s="356"/>
      <c r="S22" s="319"/>
      <c r="T22" s="319"/>
      <c r="U22" s="319"/>
      <c r="V22" s="319"/>
    </row>
    <row r="23" spans="1:29" ht="22" customHeight="1">
      <c r="A23" s="402" t="s">
        <v>79</v>
      </c>
      <c r="B23" s="129">
        <v>401605</v>
      </c>
      <c r="C23" s="77" t="s">
        <v>245</v>
      </c>
      <c r="D23" s="78">
        <v>44986</v>
      </c>
      <c r="E23" s="79" t="s">
        <v>2</v>
      </c>
      <c r="F23" s="80">
        <v>86.5</v>
      </c>
      <c r="G23" s="321">
        <f>IF(OR(E23="",F23=""),"",PID_KVLohnLookup($A$1,E23,F23,LOHNTABELLE!$H$4))</f>
        <v>2152</v>
      </c>
      <c r="H23" s="322">
        <f>IF(AND(ISNUMBER(D23),ISNUMBER(F23)),ROUNDDOWN(MIN(IF(OR(ISBLANK(I23),I23=""),EOMONTH(DATE(EINSTELLUNG!$C$35,$A$1,1),0),I23)-MAX(D23,DATE(EINSTELLUNG!$C$35,$A$1,1))+1)/DAY(EOMONTH(DATE(EINSTELLUNG!$C$35,$A$1,1),0))*F23,2),"")</f>
        <v>86.5</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12" t="s">
        <v>296</v>
      </c>
      <c r="P23" s="354"/>
      <c r="Q23" s="355">
        <v>5000</v>
      </c>
      <c r="R23" s="356"/>
      <c r="S23" s="319"/>
      <c r="T23" s="319"/>
      <c r="U23" s="319"/>
      <c r="V23" s="319"/>
      <c r="W23" s="350"/>
    </row>
    <row r="24" spans="1:29" ht="22" customHeight="1">
      <c r="A24" s="402" t="s">
        <v>80</v>
      </c>
      <c r="B24" s="128">
        <v>401605</v>
      </c>
      <c r="C24" s="84" t="s">
        <v>473</v>
      </c>
      <c r="D24" s="73">
        <v>36850</v>
      </c>
      <c r="E24" s="71" t="s">
        <v>10</v>
      </c>
      <c r="F24" s="72">
        <v>151.38</v>
      </c>
      <c r="G24" s="321">
        <f>IF(OR(E24="",F24=""),"",PID_KVLohnLookup($A$1,E24,F24,LOHNTABELLE!$H$4))</f>
        <v>2012.5</v>
      </c>
      <c r="H24" s="322">
        <f>IF(AND(ISNUMBER(D24),ISNUMBER(F24)),ROUNDDOWN(MIN(IF(OR(ISBLANK(I24),I24=""),EOMONTH(DATE(EINSTELLUNG!$C$35,$A$1,1),0),I24)-MAX(D24,DATE(EINSTELLUNG!$C$35,$A$1,1))+1)/DAY(EOMONTH(DATE(EINSTELLUNG!$C$35,$A$1,1),0))*F24,2),"")</f>
        <v>151.38</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12"/>
      <c r="P24" s="354"/>
      <c r="Q24" s="355"/>
      <c r="R24" s="356"/>
      <c r="S24" s="319"/>
      <c r="T24" s="319"/>
      <c r="U24" s="319"/>
      <c r="V24" s="319"/>
      <c r="W24" s="350"/>
    </row>
    <row r="25" spans="1:29" ht="22" customHeight="1">
      <c r="A25" s="402" t="s">
        <v>81</v>
      </c>
      <c r="B25" s="129">
        <v>401626</v>
      </c>
      <c r="C25" s="77" t="s">
        <v>246</v>
      </c>
      <c r="D25" s="78">
        <v>45063</v>
      </c>
      <c r="E25" s="79" t="s">
        <v>2</v>
      </c>
      <c r="F25" s="80">
        <v>86.5</v>
      </c>
      <c r="G25" s="321">
        <f>IF(OR(E25="",F25=""),"",PID_KVLohnLookup($A$1,E25,F25,LOHNTABELLE!$H$4))</f>
        <v>2152</v>
      </c>
      <c r="H25" s="322">
        <f>IF(AND(ISNUMBER(D25),ISNUMBER(F25)),ROUNDDOWN(MIN(IF(OR(ISBLANK(I25),I25=""),EOMONTH(DATE(EINSTELLUNG!$C$35,$A$1,1),0),I25)-MAX(D25,DATE(EINSTELLUNG!$C$35,$A$1,1))+1)/DAY(EOMONTH(DATE(EINSTELLUNG!$C$35,$A$1,1),0))*F25,2),"")</f>
        <v>86.5</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12"/>
      <c r="P25" s="354"/>
      <c r="Q25" s="355"/>
      <c r="R25" s="356"/>
      <c r="S25" s="319"/>
      <c r="T25" s="319"/>
      <c r="U25" s="319"/>
      <c r="V25" s="319"/>
    </row>
    <row r="26" spans="1:29" ht="22" customHeight="1">
      <c r="A26" s="402" t="s">
        <v>82</v>
      </c>
      <c r="B26" s="128">
        <v>401633</v>
      </c>
      <c r="C26" s="69" t="s">
        <v>247</v>
      </c>
      <c r="D26" s="73">
        <v>45089</v>
      </c>
      <c r="E26" s="71" t="s">
        <v>10</v>
      </c>
      <c r="F26" s="72">
        <v>86.5</v>
      </c>
      <c r="G26" s="321">
        <f>IF(OR(E26="",F26=""),"",PID_KVLohnLookup($A$1,E26,F26,LOHNTABELLE!$H$4))</f>
        <v>1150</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12"/>
      <c r="P26" s="354"/>
      <c r="Q26" s="355"/>
      <c r="R26" s="356"/>
      <c r="S26" s="319"/>
      <c r="T26" s="319"/>
      <c r="U26" s="319"/>
      <c r="V26" s="319"/>
    </row>
    <row r="27" spans="1:29" ht="22" customHeight="1">
      <c r="A27" s="402" t="s">
        <v>83</v>
      </c>
      <c r="B27" s="129">
        <v>401647</v>
      </c>
      <c r="C27" s="77" t="s">
        <v>248</v>
      </c>
      <c r="D27" s="78">
        <v>45182</v>
      </c>
      <c r="E27" s="79" t="s">
        <v>2</v>
      </c>
      <c r="F27" s="80">
        <v>86.5</v>
      </c>
      <c r="G27" s="321">
        <f>IF(OR(E27="",F27=""),"",PID_KVLohnLookup($A$1,E27,F27,LOHNTABELLE!$H$4))</f>
        <v>2152</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12"/>
      <c r="P27" s="354"/>
      <c r="Q27" s="355"/>
      <c r="R27" s="356"/>
      <c r="S27" s="357" t="s">
        <v>84</v>
      </c>
      <c r="T27" s="357"/>
      <c r="U27" s="357"/>
      <c r="V27" s="357"/>
    </row>
    <row r="28" spans="1:29" ht="22" customHeight="1">
      <c r="A28" s="402" t="s">
        <v>85</v>
      </c>
      <c r="B28" s="128">
        <v>401661</v>
      </c>
      <c r="C28" s="69" t="s">
        <v>249</v>
      </c>
      <c r="D28" s="70">
        <v>45261</v>
      </c>
      <c r="E28" s="71" t="s">
        <v>2</v>
      </c>
      <c r="F28" s="72">
        <v>86.5</v>
      </c>
      <c r="G28" s="321">
        <f>IF(OR(E28="",F28=""),"",PID_KVLohnLookup($A$1,E28,F28,LOHNTABELLE!$H$4))</f>
        <v>2152</v>
      </c>
      <c r="H28" s="322">
        <f>IF(AND(ISNUMBER(D28),ISNUMBER(F28)),ROUNDDOWN(MIN(IF(OR(ISBLANK(I28),I28=""),EOMONTH(DATE(EINSTELLUNG!$C$35,$A$1,1),0),I28)-MAX(D28,DATE(EINSTELLUNG!$C$35,$A$1,1))+1)/DAY(EOMONTH(DATE(EINSTELLUNG!$C$35,$A$1,1),0))*F28,2),"")</f>
        <v>86.5</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12"/>
      <c r="P28" s="354"/>
      <c r="Q28" s="355"/>
      <c r="R28" s="356"/>
      <c r="S28" s="319"/>
      <c r="T28" s="319"/>
      <c r="U28" s="319"/>
      <c r="V28" s="319"/>
    </row>
    <row r="29" spans="1:29" ht="22" customHeight="1" thickBot="1">
      <c r="A29" s="402" t="s">
        <v>86</v>
      </c>
      <c r="B29" s="129">
        <v>401670</v>
      </c>
      <c r="C29" s="77" t="s">
        <v>250</v>
      </c>
      <c r="D29" s="78">
        <v>45358</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EINSTELLUNG!O16</f>
        <v>1250</v>
      </c>
      <c r="R29" s="359"/>
      <c r="S29" s="319"/>
      <c r="T29" s="319"/>
      <c r="U29" s="319"/>
      <c r="V29" s="319"/>
    </row>
    <row r="30" spans="1:29" ht="22" customHeight="1" thickBot="1">
      <c r="A30" s="402" t="s">
        <v>88</v>
      </c>
      <c r="B30" s="128">
        <v>401678</v>
      </c>
      <c r="C30" s="69" t="s">
        <v>251</v>
      </c>
      <c r="D30" s="70">
        <v>45414</v>
      </c>
      <c r="E30" s="71" t="s">
        <v>2</v>
      </c>
      <c r="F30" s="72">
        <v>173</v>
      </c>
      <c r="G30" s="321">
        <f>IF(OR(E30="",F30=""),"",PID_KVLohnLookup($A$1,E30,F30,LOHNTABELLE!$H$4))</f>
        <v>2900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401690</v>
      </c>
      <c r="C31" s="77" t="s">
        <v>253</v>
      </c>
      <c r="D31" s="78">
        <v>45536</v>
      </c>
      <c r="E31" s="79" t="s">
        <v>2</v>
      </c>
      <c r="F31" s="80">
        <v>86.5</v>
      </c>
      <c r="G31" s="321">
        <f>IF(OR(E31="",F31=""),"",PID_KVLohnLookup($A$1,E31,F31,LOHNTABELLE!$H$4))</f>
        <v>2152</v>
      </c>
      <c r="H31" s="322">
        <f>IF(AND(ISNUMBER(D31),ISNUMBER(F31)),ROUNDDOWN(MIN(IF(OR(ISBLANK(I31),I31=""),EOMONTH(DATE(EINSTELLUNG!$C$35,$A$1,1),0),I31)-MAX(D31,DATE(EINSTELLUNG!$C$35,$A$1,1))+1)/DAY(EOMONTH(DATE(EINSTELLUNG!$C$35,$A$1,1),0))*F31,2),"")</f>
        <v>86.5</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14">
        <v>0</v>
      </c>
      <c r="P31" s="362"/>
      <c r="Q31" s="363">
        <v>1.7543859649122806E-2</v>
      </c>
      <c r="R31" s="364"/>
      <c r="S31" s="319"/>
      <c r="T31" s="319"/>
      <c r="U31" s="319"/>
      <c r="V31" s="319"/>
    </row>
    <row r="32" spans="1:29" ht="22" customHeight="1" thickBot="1">
      <c r="A32" s="402" t="s">
        <v>91</v>
      </c>
      <c r="B32" s="128">
        <v>401715</v>
      </c>
      <c r="C32" s="69" t="s">
        <v>256</v>
      </c>
      <c r="D32" s="70">
        <v>45755</v>
      </c>
      <c r="E32" s="71" t="s">
        <v>2</v>
      </c>
      <c r="F32" s="72">
        <v>86.5</v>
      </c>
      <c r="G32" s="321">
        <f>IF(OR(E32="",F32=""),"",PID_KVLohnLookup($A$1,E32,F32,LOHNTABELLE!$H$4))</f>
        <v>2152</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9"/>
      <c r="P32" s="319"/>
      <c r="Q32" s="319"/>
      <c r="R32" s="319"/>
      <c r="S32" s="319"/>
      <c r="T32" s="319"/>
      <c r="U32" s="319"/>
      <c r="V32" s="319"/>
    </row>
    <row r="33" spans="1:22" ht="22" customHeight="1">
      <c r="A33" s="402" t="s">
        <v>92</v>
      </c>
      <c r="B33" s="129">
        <v>401716</v>
      </c>
      <c r="C33" s="77" t="s">
        <v>257</v>
      </c>
      <c r="D33" s="78">
        <v>45800</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401717</v>
      </c>
      <c r="C34" s="69" t="s">
        <v>258</v>
      </c>
      <c r="D34" s="70">
        <v>45814</v>
      </c>
      <c r="E34" s="71" t="s">
        <v>2</v>
      </c>
      <c r="F34" s="93">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401722</v>
      </c>
      <c r="C35" s="77" t="s">
        <v>259</v>
      </c>
      <c r="D35" s="78">
        <v>45848</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EINSTELLUNG!C16</f>
        <v>400000</v>
      </c>
      <c r="R35" s="371"/>
      <c r="S35" s="371">
        <f>EINSTELLUNG!C32</f>
        <v>398000</v>
      </c>
      <c r="T35" s="371"/>
      <c r="U35" s="371">
        <f>S35-Q35</f>
        <v>-2000</v>
      </c>
      <c r="V35" s="372"/>
    </row>
    <row r="36" spans="1:22" ht="22" customHeight="1">
      <c r="A36" s="402" t="s">
        <v>99</v>
      </c>
      <c r="B36" s="128">
        <v>401723</v>
      </c>
      <c r="C36" s="69" t="s">
        <v>260</v>
      </c>
      <c r="D36" s="70">
        <v>45852</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EINSTELLUNG!D16</f>
        <v>100000</v>
      </c>
      <c r="R36" s="371"/>
      <c r="S36" s="371">
        <f ca="1">SumMergedCells(Q17:R29)</f>
        <v>138548.35</v>
      </c>
      <c r="T36" s="371"/>
      <c r="U36" s="371">
        <f t="shared" ref="U36:U41" ca="1" si="2">S36-Q36</f>
        <v>38548.350000000006</v>
      </c>
      <c r="V36" s="372"/>
    </row>
    <row r="37" spans="1:22" ht="22" customHeight="1">
      <c r="A37" s="402" t="s">
        <v>101</v>
      </c>
      <c r="B37" s="129">
        <v>401726</v>
      </c>
      <c r="C37" s="77" t="s">
        <v>261</v>
      </c>
      <c r="D37" s="78">
        <v>45870</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0.34811143216080404</v>
      </c>
      <c r="T37" s="373"/>
      <c r="U37" s="373">
        <f t="shared" ca="1" si="2"/>
        <v>9.8111432160804035E-2</v>
      </c>
      <c r="V37" s="374"/>
    </row>
    <row r="38" spans="1:22" ht="22" customHeight="1">
      <c r="A38" s="402" t="s">
        <v>103</v>
      </c>
      <c r="B38" s="128">
        <v>401730</v>
      </c>
      <c r="C38" s="69" t="s">
        <v>263</v>
      </c>
      <c r="D38" s="70">
        <v>45895</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EINSTELLUNG!F16</f>
        <v>30000</v>
      </c>
      <c r="R38" s="338"/>
      <c r="S38" s="338">
        <f>EINSTELLUNG!F32</f>
        <v>31000</v>
      </c>
      <c r="T38" s="338"/>
      <c r="U38" s="338">
        <f t="shared" si="2"/>
        <v>1000</v>
      </c>
      <c r="V38" s="339"/>
    </row>
    <row r="39" spans="1:22" ht="22" customHeight="1">
      <c r="A39" s="402" t="s">
        <v>105</v>
      </c>
      <c r="B39" s="129">
        <v>401731</v>
      </c>
      <c r="C39" s="77" t="s">
        <v>262</v>
      </c>
      <c r="D39" s="78">
        <v>45899</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12.838709677419354</v>
      </c>
      <c r="T39" s="371"/>
      <c r="U39" s="371">
        <f t="shared" si="2"/>
        <v>-0.49462365591397983</v>
      </c>
      <c r="V39" s="372"/>
    </row>
    <row r="40" spans="1:22" ht="22" customHeight="1">
      <c r="A40" s="402" t="s">
        <v>107</v>
      </c>
      <c r="B40" s="128">
        <v>401734</v>
      </c>
      <c r="C40" s="69" t="s">
        <v>264</v>
      </c>
      <c r="D40" s="70">
        <v>45904</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IF(Q12=0, 0, Q35/Q12)</f>
        <v>59.666138124126455</v>
      </c>
      <c r="R40" s="371"/>
      <c r="S40" s="371">
        <f>IF(Q12=0, 0, S35/Q12)</f>
        <v>59.367807433505824</v>
      </c>
      <c r="T40" s="371"/>
      <c r="U40" s="371">
        <f t="shared" si="2"/>
        <v>-0.29833069062063089</v>
      </c>
      <c r="V40" s="372"/>
    </row>
    <row r="41" spans="1:22" ht="22" customHeight="1">
      <c r="A41" s="402" t="s">
        <v>109</v>
      </c>
      <c r="B41" s="129">
        <v>401737</v>
      </c>
      <c r="C41" s="77" t="s">
        <v>266</v>
      </c>
      <c r="D41" s="78">
        <v>45906</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IF(Q12=0, 0, Q38/Q12)</f>
        <v>4.4749603593094847</v>
      </c>
      <c r="R41" s="338"/>
      <c r="S41" s="338">
        <f>IF(Q12=0, 0, S38/Q12)</f>
        <v>4.6241257046198001</v>
      </c>
      <c r="T41" s="338"/>
      <c r="U41" s="338">
        <f t="shared" si="2"/>
        <v>0.14916534531031544</v>
      </c>
      <c r="V41" s="339"/>
    </row>
    <row r="42" spans="1:22" ht="22" customHeight="1">
      <c r="A42" s="402" t="s">
        <v>111</v>
      </c>
      <c r="B42" s="128">
        <v>401738</v>
      </c>
      <c r="C42" s="69" t="s">
        <v>267</v>
      </c>
      <c r="D42" s="70">
        <v>45909</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17.657184154792319</v>
      </c>
      <c r="R42" s="377"/>
      <c r="S42" s="377"/>
      <c r="T42" s="377"/>
      <c r="U42" s="377"/>
      <c r="V42" s="378"/>
    </row>
    <row r="43" spans="1:22" ht="22" customHeight="1">
      <c r="A43" s="402" t="s">
        <v>113</v>
      </c>
      <c r="B43" s="129">
        <v>401745</v>
      </c>
      <c r="C43" s="77" t="s">
        <v>271</v>
      </c>
      <c r="D43" s="78">
        <v>45934</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401746</v>
      </c>
      <c r="C44" s="69" t="s">
        <v>270</v>
      </c>
      <c r="D44" s="70">
        <v>45941</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401747</v>
      </c>
      <c r="C45" s="77" t="s">
        <v>268</v>
      </c>
      <c r="D45" s="78">
        <v>45941</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401748</v>
      </c>
      <c r="C46" s="69" t="s">
        <v>269</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401751</v>
      </c>
      <c r="C47" s="77" t="s">
        <v>272</v>
      </c>
      <c r="D47" s="78">
        <v>45961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401752</v>
      </c>
      <c r="C48" s="69" t="s">
        <v>273</v>
      </c>
      <c r="D48" s="70">
        <v>45986</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401999</v>
      </c>
      <c r="C49" s="77" t="s">
        <v>423</v>
      </c>
      <c r="D49" s="78">
        <v>46041</v>
      </c>
      <c r="E49" s="79" t="s">
        <v>2</v>
      </c>
      <c r="F49" s="80">
        <v>151.38</v>
      </c>
      <c r="G49" s="321">
        <f>IF(OR(E49="",F49=""),"",PID_KVLohnLookup($A$1,E49,F49,LOHNTABELLE!$H$4))</f>
        <v>2500</v>
      </c>
      <c r="H49" s="322">
        <f>IF(AND(ISNUMBER(D49),ISNUMBER(F49)),ROUNDDOWN(MIN(IF(OR(ISBLANK(I49),I49=""),EOMONTH(DATE(EINSTELLUNG!$C$35,$A$1,1),0),I49)-MAX(D49,DATE(EINSTELLUNG!$C$35,$A$1,1))+1)/DAY(EOMONTH(DATE(EINSTELLUNG!$C$35,$A$1,1),0))*F49,2),"")</f>
        <v>151.38</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19"/>
      <c r="P49" s="319"/>
      <c r="Q49" s="319"/>
      <c r="R49" s="319"/>
      <c r="S49" s="319"/>
      <c r="T49" s="319"/>
      <c r="U49" s="319"/>
      <c r="V49" s="319"/>
    </row>
    <row r="50" spans="1:22" ht="22" customHeight="1">
      <c r="A50" s="402" t="s">
        <v>121</v>
      </c>
      <c r="B50" s="128">
        <v>401999</v>
      </c>
      <c r="C50" s="69" t="s">
        <v>295</v>
      </c>
      <c r="D50" s="73">
        <v>46082</v>
      </c>
      <c r="E50" s="71" t="s">
        <v>2</v>
      </c>
      <c r="F50" s="72">
        <v>173</v>
      </c>
      <c r="G50" s="321">
        <f>IF(OR(E50="",F50=""),"",PID_KVLohnLookup($A$1,E50,F50,LOHNTABELLE!$H$4))</f>
        <v>2900</v>
      </c>
      <c r="H50" s="322">
        <f>IF(AND(ISNUMBER(D50),ISNUMBER(F50)),ROUNDDOWN(MIN(IF(OR(ISBLANK(I50),I50=""),EOMONTH(DATE(EINSTELLUNG!$C$35,$A$1,1),0),I50)-MAX(D50,DATE(EINSTELLUNG!$C$35,$A$1,1))+1)/DAY(EOMONTH(DATE(EINSTELLUNG!$C$35,$A$1,1),0))*F50,2),"")</f>
        <v>173</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19"/>
      <c r="P50" s="319"/>
      <c r="Q50" s="319"/>
      <c r="R50" s="319"/>
      <c r="S50" s="319"/>
      <c r="T50" s="319"/>
      <c r="U50" s="319"/>
      <c r="V50" s="319"/>
    </row>
    <row r="51" spans="1:22" ht="22" customHeight="1">
      <c r="A51" s="402" t="s">
        <v>122</v>
      </c>
      <c r="B51" s="129">
        <v>402000</v>
      </c>
      <c r="C51" s="77" t="s">
        <v>298</v>
      </c>
      <c r="D51" s="81">
        <v>46143</v>
      </c>
      <c r="E51" s="79" t="s">
        <v>2</v>
      </c>
      <c r="F51" s="80">
        <v>173</v>
      </c>
      <c r="G51" s="321">
        <f>IF(OR(E51="",F51=""),"",PID_KVLohnLookup($A$1,E51,F51,LOHNTABELLE!$H$4))</f>
        <v>2900</v>
      </c>
      <c r="H51" s="322">
        <f>IF(AND(ISNUMBER(D51),ISNUMBER(F51)),ROUNDDOWN(MIN(IF(OR(ISBLANK(I51),I51=""),EOMONTH(DATE(EINSTELLUNG!$C$35,$A$1,1),0),I51)-MAX(D51,DATE(EINSTELLUNG!$C$35,$A$1,1))+1)/DAY(EOMONTH(DATE(EINSTELLUNG!$C$35,$A$1,1),0))*F51,2),"")</f>
        <v>173</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402" t="s">
        <v>123</v>
      </c>
      <c r="B52" s="128">
        <v>402004</v>
      </c>
      <c r="C52" s="69" t="s">
        <v>299</v>
      </c>
      <c r="D52" s="73">
        <v>46122</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02" t="s">
        <v>124</v>
      </c>
      <c r="B53" s="129">
        <v>402405</v>
      </c>
      <c r="C53" s="77" t="s">
        <v>301</v>
      </c>
      <c r="D53" s="81">
        <v>46054</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-121.1</v>
      </c>
      <c r="I53" s="81">
        <v>46305</v>
      </c>
      <c r="J53" s="82">
        <v>2</v>
      </c>
      <c r="K53" s="321">
        <f t="shared" si="1"/>
        <v>207.14285714285714</v>
      </c>
      <c r="L53" s="323"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02" t="s">
        <v>125</v>
      </c>
      <c r="B54" s="128">
        <v>500600</v>
      </c>
      <c r="C54" s="69" t="s">
        <v>305</v>
      </c>
      <c r="D54" s="73">
        <v>46054</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502000</v>
      </c>
      <c r="C55" s="77" t="s">
        <v>300</v>
      </c>
      <c r="D55" s="81">
        <v>46147</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503000</v>
      </c>
      <c r="C56" s="69" t="s">
        <v>302</v>
      </c>
      <c r="D56" s="73">
        <v>42401</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504000</v>
      </c>
      <c r="C57" s="77" t="s">
        <v>303</v>
      </c>
      <c r="D57" s="81">
        <v>46054</v>
      </c>
      <c r="E57" s="79" t="s">
        <v>3</v>
      </c>
      <c r="F57" s="80">
        <v>138.4</v>
      </c>
      <c r="G57" s="321">
        <f>IF(OR(E57="",F57=""),"",PID_KVLohnLookup($A$1,E57,F57,LOHNTABELLE!$H$4))</f>
        <v>1665.6</v>
      </c>
      <c r="H57" s="322">
        <f>IF(AND(ISNUMBER(D57),ISNUMBER(F57)),ROUNDDOWN(MIN(IF(OR(ISBLANK(I57),I57=""),EOMONTH(DATE(EINSTELLUNG!$C$35,$A$1,1),0),I57)-MAX(D57,DATE(EINSTELLUNG!$C$35,$A$1,1))+1)/DAY(EOMONTH(DATE(EINSTELLUNG!$C$35,$A$1,1),0))*F57,2),"")</f>
        <v>138.4</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2" t="s">
        <v>129</v>
      </c>
      <c r="B58" s="128">
        <v>505000</v>
      </c>
      <c r="C58" s="69" t="s">
        <v>304</v>
      </c>
      <c r="D58" s="73">
        <v>46054</v>
      </c>
      <c r="E58" s="71" t="s">
        <v>2</v>
      </c>
      <c r="F58" s="72">
        <v>138.4</v>
      </c>
      <c r="G58" s="321">
        <f>IF(OR(E58="",F58=""),"",PID_KVLohnLookup($A$1,E58,F58,LOHNTABELLE!$H$4))</f>
        <v>2400</v>
      </c>
      <c r="H58" s="322">
        <f>IF(AND(ISNUMBER(D58),ISNUMBER(F58)),ROUNDDOWN(MIN(IF(OR(ISBLANK(I58),I58=""),EOMONTH(DATE(EINSTELLUNG!$C$35,$A$1,1),0),I58)-MAX(D58,DATE(EINSTELLUNG!$C$35,$A$1,1))+1)/DAY(EOMONTH(DATE(EINSTELLUNG!$C$35,$A$1,1),0))*F58,2),"")</f>
        <v>138.4</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2" t="s">
        <v>130</v>
      </c>
      <c r="B59" s="129">
        <v>525025</v>
      </c>
      <c r="C59" s="77" t="s">
        <v>425</v>
      </c>
      <c r="D59" s="81">
        <v>46040</v>
      </c>
      <c r="E59" s="79" t="s">
        <v>2</v>
      </c>
      <c r="F59" s="80">
        <v>129.75</v>
      </c>
      <c r="G59" s="321">
        <f>IF(OR(E59="",F59=""),"",PID_KVLohnLookup($A$1,E59,F59,LOHNTABELLE!$H$4))</f>
        <v>2300</v>
      </c>
      <c r="H59" s="322">
        <f>IF(AND(ISNUMBER(D59),ISNUMBER(F59)),ROUNDDOWN(MIN(IF(OR(ISBLANK(I59),I59=""),EOMONTH(DATE(EINSTELLUNG!$C$35,$A$1,1),0),I59)-MAX(D59,DATE(EINSTELLUNG!$C$35,$A$1,1))+1)/DAY(EOMONTH(DATE(EINSTELLUNG!$C$35,$A$1,1),0))*F59,2),"")</f>
        <v>129.75</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02" t="s">
        <v>131</v>
      </c>
      <c r="B60" s="128">
        <v>700000</v>
      </c>
      <c r="C60" s="69" t="s">
        <v>312</v>
      </c>
      <c r="D60" s="73">
        <v>46054</v>
      </c>
      <c r="E60" s="71" t="s">
        <v>2</v>
      </c>
      <c r="F60" s="72">
        <v>173</v>
      </c>
      <c r="G60" s="321">
        <f>IF(OR(E60="",F60=""),"",PID_KVLohnLookup($A$1,E60,F60,LOHNTABELLE!$H$4))</f>
        <v>2900</v>
      </c>
      <c r="H60" s="322">
        <f>IF(AND(ISNUMBER(D60),ISNUMBER(F60)),ROUNDDOWN(MIN(IF(OR(ISBLANK(I60),I60=""),EOMONTH(DATE(EINSTELLUNG!$C$35,$A$1,1),0),I60)-MAX(D60,DATE(EINSTELLUNG!$C$35,$A$1,1))+1)/DAY(EOMONTH(DATE(EINSTELLUNG!$C$35,$A$1,1),0))*F60,2),"")</f>
        <v>173</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02" t="s">
        <v>132</v>
      </c>
      <c r="B61" s="129">
        <v>800000</v>
      </c>
      <c r="C61" s="77" t="s">
        <v>313</v>
      </c>
      <c r="D61" s="81">
        <v>46096</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86.5</v>
      </c>
      <c r="I61" s="81">
        <v>46341</v>
      </c>
      <c r="J61" s="82"/>
      <c r="K61" s="321">
        <f t="shared" si="1"/>
        <v>0</v>
      </c>
      <c r="L61" s="32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1450</v>
      </c>
      <c r="M61" s="83"/>
      <c r="N61" s="99" t="s">
        <v>186</v>
      </c>
    </row>
    <row r="62" spans="1:22" ht="22" customHeight="1">
      <c r="A62" s="402" t="s">
        <v>133</v>
      </c>
      <c r="B62" s="128"/>
      <c r="C62" s="69"/>
      <c r="D62" s="73"/>
      <c r="E62" s="71"/>
      <c r="F62" s="72"/>
      <c r="G62" s="321" t="str">
        <f>IF(OR(E62="",F62=""),"",PID_KVLohnLookup($A$1,E62,F62,LOHNTABELLE!$H$4))</f>
        <v/>
      </c>
      <c r="H62" s="322" t="str">
        <f>IF(AND(ISNUMBER(D62),ISNUMBER(F62)),ROUNDDOWN(MIN(IF(OR(ISBLANK(I62),I62=""),EOMONTH(DATE(EINSTELLUNG!$C$35,$A$1,1),0),I62)-MAX(D62,DATE(EINSTELLUNG!$C$35,$A$1,1))+1)/DAY(EOMONTH(DATE(EINSTELLUNG!$C$35,$A$1,1),0))*F62,2),"")</f>
        <v/>
      </c>
      <c r="I62" s="73"/>
      <c r="J62" s="74"/>
      <c r="K62" s="321">
        <f t="shared" si="1"/>
        <v>0</v>
      </c>
      <c r="L62" s="32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2" t="s">
        <v>134</v>
      </c>
      <c r="B63" s="129"/>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7SJURzIcEKCZY072mspJLyAWDuSBIG/z4Ey1WisE4gyGFtyHrhTwy2uy5didtdVyJTq446WpsBBeBRczDCmQZg==" saltValue="EGt+wZqC9IacSH97yAPWE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68C07530-F0AC-463E-ACDD-37403CEB95E0}">
          <x14:formula1>
            <xm:f>KV_DROPDOWN_HELPER!$ADY$1:$ADY$14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86" customWidth="1"/>
    <col min="2" max="2" width="9.1640625" style="386" customWidth="1"/>
    <col min="3" max="3" width="35.6640625" style="223" customWidth="1"/>
    <col min="4" max="4" width="13.83203125" style="223" customWidth="1"/>
    <col min="5" max="5" width="9.6640625" style="223" customWidth="1"/>
    <col min="6" max="6" width="10.6640625" style="223" customWidth="1"/>
    <col min="7" max="7" width="13.83203125" style="223" customWidth="1"/>
    <col min="8" max="8" width="11.6640625" style="223" customWidth="1"/>
    <col min="9" max="10" width="13.83203125" style="223" customWidth="1"/>
    <col min="11" max="11" width="14.83203125" style="223" customWidth="1"/>
    <col min="12" max="12" width="14.83203125" style="350" customWidth="1"/>
    <col min="13" max="13" width="17.83203125" style="223" customWidth="1"/>
    <col min="14" max="14" width="34.83203125" style="223" customWidth="1"/>
    <col min="15" max="15" width="12.6640625" style="223" customWidth="1"/>
    <col min="16" max="16" width="16.6640625" style="223" customWidth="1"/>
    <col min="17" max="17" width="14.6640625" style="223" customWidth="1"/>
    <col min="18" max="18" width="13.6640625" style="223" customWidth="1"/>
    <col min="19" max="19" width="9.6640625" style="223" customWidth="1"/>
    <col min="20" max="20" width="10.6640625" style="223" customWidth="1"/>
    <col min="21" max="21" width="7.6640625" style="223" customWidth="1"/>
    <col min="22" max="27" width="9.1640625" style="223"/>
    <col min="28" max="28" width="10.6640625" style="223" bestFit="1" customWidth="1"/>
    <col min="29" max="16384" width="9.1640625" style="223"/>
  </cols>
  <sheetData>
    <row r="1" spans="1:28" ht="18" customHeight="1">
      <c r="A1" s="398">
        <v>12</v>
      </c>
      <c r="B1" s="399" t="s">
        <v>180</v>
      </c>
      <c r="C1" s="306" t="s">
        <v>39</v>
      </c>
      <c r="D1" s="306" t="s">
        <v>181</v>
      </c>
      <c r="E1" s="306" t="s">
        <v>0</v>
      </c>
      <c r="F1" s="306" t="s">
        <v>40</v>
      </c>
      <c r="G1" s="306" t="s">
        <v>41</v>
      </c>
      <c r="H1" s="306" t="s">
        <v>42</v>
      </c>
      <c r="I1" s="306" t="s">
        <v>182</v>
      </c>
      <c r="J1" s="306" t="s">
        <v>43</v>
      </c>
      <c r="K1" s="306" t="s">
        <v>44</v>
      </c>
      <c r="L1" s="306" t="s">
        <v>45</v>
      </c>
      <c r="M1" s="306" t="s">
        <v>46</v>
      </c>
      <c r="N1" s="307" t="s">
        <v>183</v>
      </c>
      <c r="AB1" s="308">
        <f>DATE(EINSTELLUNG!$C$35,$A$1,1)</f>
        <v>46357</v>
      </c>
    </row>
    <row r="2" spans="1:28" ht="18" customHeight="1" thickBot="1">
      <c r="A2" s="309"/>
      <c r="B2" s="400"/>
      <c r="C2" s="310"/>
      <c r="D2" s="310"/>
      <c r="E2" s="310"/>
      <c r="F2" s="310"/>
      <c r="G2" s="310"/>
      <c r="H2" s="310"/>
      <c r="I2" s="310"/>
      <c r="J2" s="310"/>
      <c r="K2" s="310"/>
      <c r="L2" s="310"/>
      <c r="M2" s="310"/>
      <c r="N2" s="311"/>
      <c r="O2" s="312"/>
      <c r="P2" s="312"/>
      <c r="Q2" s="312"/>
      <c r="S2" s="396" t="s">
        <v>460</v>
      </c>
      <c r="T2" s="396"/>
      <c r="U2" s="396"/>
      <c r="V2" s="396"/>
      <c r="AB2" s="308">
        <f>EOMONTH(DATE(EINSTELLUNG!$C$35,$A$1,1),0)</f>
        <v>46387</v>
      </c>
    </row>
    <row r="3" spans="1:28" ht="22" customHeight="1">
      <c r="A3" s="401" t="s">
        <v>467</v>
      </c>
      <c r="B3" s="127">
        <v>401010</v>
      </c>
      <c r="C3" s="61" t="s">
        <v>224</v>
      </c>
      <c r="D3" s="62">
        <v>39388</v>
      </c>
      <c r="E3" s="63" t="s">
        <v>5</v>
      </c>
      <c r="F3" s="92">
        <v>173</v>
      </c>
      <c r="G3" s="314">
        <f>IF(OR(E3="",F3=""),"",PID_KVLohnLookup($A$1,E3,F3,LOHNTABELLE!$H$4))</f>
        <v>2183</v>
      </c>
      <c r="H3" s="315">
        <f>IF(AND(ISNUMBER(D3),ISNUMBER(F3)),ROUNDDOWN(MIN(IF(OR(ISBLANK(I3),I3=""),EOMONTH(DATE(EINSTELLUNG!$C$35,$A$1,1),0),I3)-MAX(D3,DATE(EINSTELLUNG!$C$35,$A$1,1))+1)/DAY(EOMONTH(DATE(EINSTELLUNG!$C$35,$A$1,1),0))*F3,2),"")</f>
        <v>173</v>
      </c>
      <c r="I3" s="65"/>
      <c r="J3" s="66"/>
      <c r="K3" s="314">
        <f t="shared" ref="K3:K34" si="0">IFERROR(IF(OR(MONTH(D3)=1, MONTH(D3)=3, MONTH(D3)=5, MONTH(D3)=7, MONTH(D3)=8, MONTH(D3)=10, MONTH(D3)=12), (G3/31)*J3, IF(OR(MONTH(D3)=4, MONTH(D3)=6, MONTH(D3)=9, MONTH(D3)=11), (G3/30)*J3, (G3/DAY(EOMONTH(D3,0)))*J3)), 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7" t="s">
        <v>47</v>
      </c>
      <c r="P3" s="317" t="s">
        <v>48</v>
      </c>
      <c r="Q3" s="317" t="s">
        <v>49</v>
      </c>
      <c r="R3" s="318" t="s">
        <v>50</v>
      </c>
      <c r="S3" s="319"/>
      <c r="T3" s="319"/>
      <c r="U3" s="319"/>
      <c r="V3" s="319"/>
      <c r="AB3" s="320"/>
    </row>
    <row r="4" spans="1:28" ht="22" customHeight="1">
      <c r="A4" s="402" t="s">
        <v>51</v>
      </c>
      <c r="B4" s="128">
        <v>401049</v>
      </c>
      <c r="C4" s="69" t="s">
        <v>225</v>
      </c>
      <c r="D4" s="70">
        <v>41130</v>
      </c>
      <c r="E4" s="71" t="s">
        <v>4</v>
      </c>
      <c r="F4" s="72">
        <v>173</v>
      </c>
      <c r="G4" s="321">
        <f>IF(OR(E4="",F4=""),"",PID_KVLohnLookup($A$1,E4,F4,LOHNTABELLE!$H$4))</f>
        <v>2123</v>
      </c>
      <c r="H4" s="322">
        <f>IF(AND(ISNUMBER(D4),ISNUMBER(F4)),ROUNDDOWN(MIN(IF(OR(ISBLANK(I4),I4=""),EOMONTH(DATE(EINSTELLUNG!$C$35,$A$1,1),0),I4)-MAX(D4,DATE(EINSTELLUNG!$C$35,$A$1,1))+1)/DAY(EOMONTH(DATE(EINSTELLUNG!$C$35,$A$1,1),0))*F4,2),"")</f>
        <v>173</v>
      </c>
      <c r="I4" s="73"/>
      <c r="J4" s="74"/>
      <c r="K4" s="321">
        <f t="shared" si="0"/>
        <v>0</v>
      </c>
      <c r="L4" s="32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4"/>
      <c r="P4" s="324"/>
      <c r="Q4" s="324"/>
      <c r="R4" s="325"/>
      <c r="S4" s="319"/>
      <c r="T4" s="319"/>
      <c r="U4" s="319"/>
      <c r="V4" s="319"/>
    </row>
    <row r="5" spans="1:28" ht="22" customHeight="1">
      <c r="A5" s="402" t="s">
        <v>52</v>
      </c>
      <c r="B5" s="129">
        <v>401051</v>
      </c>
      <c r="C5" s="77" t="s">
        <v>227</v>
      </c>
      <c r="D5" s="78">
        <v>41176</v>
      </c>
      <c r="E5" s="79" t="s">
        <v>4</v>
      </c>
      <c r="F5" s="80">
        <v>173</v>
      </c>
      <c r="G5" s="321">
        <f>IF(OR(E5="",F5=""),"",PID_KVLohnLookup($A$1,E5,F5,LOHNTABELLE!$H$4))</f>
        <v>2123</v>
      </c>
      <c r="H5" s="322">
        <f>IF(AND(ISNUMBER(D5),ISNUMBER(F5)),ROUNDDOWN(MIN(IF(OR(ISBLANK(I5),I5=""),EOMONTH(DATE(EINSTELLUNG!$C$35,$A$1,1),0),I5)-MAX(D5,DATE(EINSTELLUNG!$C$35,$A$1,1))+1)/DAY(EOMONTH(DATE(EINSTELLUNG!$C$35,$A$1,1),0))*F5,2),"")</f>
        <v>173</v>
      </c>
      <c r="I5" s="81"/>
      <c r="J5" s="82"/>
      <c r="K5" s="321">
        <f t="shared" si="0"/>
        <v>0</v>
      </c>
      <c r="L5" s="32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6" cm="1">
        <f t="array" ref="O5">SUMPRODUCT((F3:F82/4.310808)/5*2.08)</f>
        <v>757.11029579605577</v>
      </c>
      <c r="P5" s="327">
        <f>EINSTELLUNG!I17</f>
        <v>600</v>
      </c>
      <c r="Q5" s="327">
        <f>P5-O5</f>
        <v>-157.11029579605577</v>
      </c>
      <c r="R5" s="328">
        <f>IFERROR(Q5*Q42, 0)</f>
        <v>-2871.9964141788914</v>
      </c>
      <c r="S5" s="319"/>
      <c r="T5" s="319"/>
      <c r="U5" s="319"/>
      <c r="V5" s="319"/>
    </row>
    <row r="6" spans="1:28" ht="22" customHeight="1">
      <c r="A6" s="402" t="s">
        <v>53</v>
      </c>
      <c r="B6" s="128">
        <v>401089</v>
      </c>
      <c r="C6" s="69" t="s">
        <v>241</v>
      </c>
      <c r="D6" s="70">
        <v>44868</v>
      </c>
      <c r="E6" s="71" t="s">
        <v>13</v>
      </c>
      <c r="F6" s="72">
        <v>173</v>
      </c>
      <c r="G6" s="321">
        <f>IF(OR(E6="",F6=""),"",PID_KVLohnLookup($A$1,E6,F6,LOHNTABELLE!$H$4))</f>
        <v>2328</v>
      </c>
      <c r="H6" s="322">
        <f>IF(AND(ISNUMBER(D6),ISNUMBER(F6)),ROUNDDOWN(MIN(IF(OR(ISBLANK(I6),I6=""),EOMONTH(DATE(EINSTELLUNG!$C$35,$A$1,1),0),I6)-MAX(D6,DATE(EINSTELLUNG!$C$35,$A$1,1))+1)/DAY(EOMONTH(DATE(EINSTELLUNG!$C$35,$A$1,1),0))*F6,2),"")</f>
        <v>173</v>
      </c>
      <c r="I6" s="73"/>
      <c r="J6" s="74"/>
      <c r="K6" s="321">
        <f t="shared" si="0"/>
        <v>0</v>
      </c>
      <c r="L6" s="32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9" t="str">
        <f>IF(Q5&lt;0, "Schlecht! Zu wenig Urlaub abgebaut.", IF(Q5&gt;0, "Gut! Mehr Urlaub abgebaut als aufgebaut.", ""))</f>
        <v>Schlecht! Zu wenig Urlaub abgebaut.</v>
      </c>
      <c r="P6" s="330"/>
      <c r="Q6" s="330"/>
      <c r="R6" s="331"/>
      <c r="S6" s="319"/>
      <c r="T6" s="319"/>
      <c r="U6" s="319"/>
      <c r="V6" s="319"/>
    </row>
    <row r="7" spans="1:28" ht="22" customHeight="1" thickBot="1">
      <c r="A7" s="402" t="s">
        <v>54</v>
      </c>
      <c r="B7" s="129">
        <v>401138</v>
      </c>
      <c r="C7" s="77" t="s">
        <v>228</v>
      </c>
      <c r="D7" s="78">
        <v>42006</v>
      </c>
      <c r="E7" s="79" t="s">
        <v>4</v>
      </c>
      <c r="F7" s="80">
        <v>173</v>
      </c>
      <c r="G7" s="321">
        <f>IF(OR(E7="",F7=""),"",PID_KVLohnLookup($A$1,E7,F7,LOHNTABELLE!$H$4))</f>
        <v>2123</v>
      </c>
      <c r="H7" s="322">
        <f>IF(AND(ISNUMBER(D7),ISNUMBER(F7)),ROUNDDOWN(MIN(IF(OR(ISBLANK(I7),I7=""),EOMONTH(DATE(EINSTELLUNG!$C$35,$A$1,1),0),I7)-MAX(D7,DATE(EINSTELLUNG!$C$35,$A$1,1))+1)/DAY(EOMONTH(DATE(EINSTELLUNG!$C$35,$A$1,1),0))*F7,2),"")</f>
        <v>173</v>
      </c>
      <c r="I7" s="81"/>
      <c r="J7" s="82"/>
      <c r="K7" s="321">
        <f t="shared" si="0"/>
        <v>0</v>
      </c>
      <c r="L7" s="32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9"/>
      <c r="P7" s="319"/>
      <c r="Q7" s="319"/>
      <c r="R7" s="319"/>
      <c r="S7" s="319"/>
      <c r="T7" s="319"/>
      <c r="U7" s="319"/>
      <c r="V7" s="319"/>
    </row>
    <row r="8" spans="1:28" ht="22" customHeight="1">
      <c r="A8" s="402" t="s">
        <v>55</v>
      </c>
      <c r="B8" s="128">
        <v>401197</v>
      </c>
      <c r="C8" s="69" t="s">
        <v>229</v>
      </c>
      <c r="D8" s="70">
        <v>42644</v>
      </c>
      <c r="E8" s="71" t="s">
        <v>3</v>
      </c>
      <c r="F8" s="72">
        <v>173</v>
      </c>
      <c r="G8" s="321">
        <f>IF(OR(E8="",F8=""),"",PID_KVLohnLookup($A$1,E8,F8,LOHNTABELLE!$H$4))</f>
        <v>2082</v>
      </c>
      <c r="H8" s="322">
        <f>IF(AND(ISNUMBER(D8),ISNUMBER(F8)),ROUNDDOWN(MIN(IF(OR(ISBLANK(I8),I8=""),EOMONTH(DATE(EINSTELLUNG!$C$35,$A$1,1),0),I8)-MAX(D8,DATE(EINSTELLUNG!$C$35,$A$1,1))+1)/DAY(EOMONTH(DATE(EINSTELLUNG!$C$35,$A$1,1),0))*F8,2),"")</f>
        <v>173</v>
      </c>
      <c r="I8" s="73"/>
      <c r="J8" s="74"/>
      <c r="K8" s="321">
        <f t="shared" si="0"/>
        <v>0</v>
      </c>
      <c r="L8" s="32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2" t="s">
        <v>56</v>
      </c>
      <c r="P8" s="333"/>
      <c r="Q8" s="334">
        <f>SUM(H3:H82)</f>
        <v>7131.26</v>
      </c>
      <c r="R8" s="335"/>
      <c r="S8" s="319"/>
      <c r="T8" s="319"/>
      <c r="U8" s="319"/>
      <c r="V8" s="319"/>
    </row>
    <row r="9" spans="1:28" ht="22" customHeight="1">
      <c r="A9" s="402" t="s">
        <v>57</v>
      </c>
      <c r="B9" s="129">
        <v>401214</v>
      </c>
      <c r="C9" s="77" t="s">
        <v>255</v>
      </c>
      <c r="D9" s="78">
        <v>45636</v>
      </c>
      <c r="E9" s="79" t="s">
        <v>3</v>
      </c>
      <c r="F9" s="80">
        <v>173</v>
      </c>
      <c r="G9" s="321">
        <f>IF(OR(E9="",F9=""),"",PID_KVLohnLookup($A$1,E9,F9,LOHNTABELLE!$H$4))</f>
        <v>2082</v>
      </c>
      <c r="H9" s="322">
        <f>IF(AND(ISNUMBER(D9),ISNUMBER(F9)),ROUNDDOWN(MIN(IF(OR(ISBLANK(I9),I9=""),EOMONTH(DATE(EINSTELLUNG!$C$35,$A$1,1),0),I9)-MAX(D9,DATE(EINSTELLUNG!$C$35,$A$1,1))+1)/DAY(EOMONTH(DATE(EINSTELLUNG!$C$35,$A$1,1),0))*F9,2),"")</f>
        <v>173</v>
      </c>
      <c r="I9" s="81"/>
      <c r="J9" s="82"/>
      <c r="K9" s="321">
        <f t="shared" si="0"/>
        <v>0</v>
      </c>
      <c r="L9" s="32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6" t="s">
        <v>58</v>
      </c>
      <c r="P9" s="337"/>
      <c r="Q9" s="338">
        <f>EINSTELLUNG!L33</f>
        <v>12</v>
      </c>
      <c r="R9" s="339"/>
      <c r="S9" s="340">
        <f>IFERROR(Q9/Q8, 0)</f>
        <v>1.682732083811276E-3</v>
      </c>
      <c r="T9" s="319"/>
      <c r="U9" s="319"/>
      <c r="V9" s="319"/>
    </row>
    <row r="10" spans="1:28" ht="22" customHeight="1">
      <c r="A10" s="402" t="s">
        <v>59</v>
      </c>
      <c r="B10" s="128">
        <v>401276</v>
      </c>
      <c r="C10" s="69" t="s">
        <v>230</v>
      </c>
      <c r="D10" s="70">
        <v>43252</v>
      </c>
      <c r="E10" s="71" t="s">
        <v>3</v>
      </c>
      <c r="F10" s="72">
        <v>173</v>
      </c>
      <c r="G10" s="321">
        <f>IF(OR(E10="",F10=""),"",PID_KVLohnLookup($A$1,E10,F10,LOHNTABELLE!$H$4))</f>
        <v>2082</v>
      </c>
      <c r="H10" s="322">
        <f>IF(AND(ISNUMBER(D10),ISNUMBER(F10)),ROUNDDOWN(MIN(IF(OR(ISBLANK(I10),I10=""),EOMONTH(DATE(EINSTELLUNG!$C$35,$A$1,1),0),I10)-MAX(D10,DATE(EINSTELLUNG!$C$35,$A$1,1))+1)/DAY(EOMONTH(DATE(EINSTELLUNG!$C$35,$A$1,1),0))*F10,2),"")</f>
        <v>173</v>
      </c>
      <c r="I10" s="73"/>
      <c r="J10" s="74"/>
      <c r="K10" s="321">
        <f t="shared" si="0"/>
        <v>0</v>
      </c>
      <c r="L10" s="32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6" t="s">
        <v>60</v>
      </c>
      <c r="P10" s="337"/>
      <c r="Q10" s="338">
        <f>EINSTELLUNG!I33</f>
        <v>400</v>
      </c>
      <c r="R10" s="339"/>
      <c r="S10" s="319"/>
      <c r="T10" s="319"/>
      <c r="U10" s="319"/>
      <c r="V10" s="319"/>
    </row>
    <row r="11" spans="1:28" ht="22" customHeight="1">
      <c r="A11" s="402" t="s">
        <v>61</v>
      </c>
      <c r="B11" s="129">
        <v>401276</v>
      </c>
      <c r="C11" s="77" t="s">
        <v>472</v>
      </c>
      <c r="D11" s="78">
        <v>38899</v>
      </c>
      <c r="E11" s="79" t="s">
        <v>3</v>
      </c>
      <c r="F11" s="80">
        <v>173</v>
      </c>
      <c r="G11" s="321">
        <f>IF(OR(E11="",F11=""),"",PID_KVLohnLookup($A$1,E11,F11,LOHNTABELLE!$H$4))</f>
        <v>2082</v>
      </c>
      <c r="H11" s="322">
        <f>IF(AND(ISNUMBER(D11),ISNUMBER(F11)),ROUNDDOWN(MIN(IF(OR(ISBLANK(I11),I11=""),EOMONTH(DATE(EINSTELLUNG!$C$35,$A$1,1),0),I11)-MAX(D11,DATE(EINSTELLUNG!$C$35,$A$1,1))+1)/DAY(EOMONTH(DATE(EINSTELLUNG!$C$35,$A$1,1),0))*F11,2),"")</f>
        <v>173</v>
      </c>
      <c r="I11" s="81"/>
      <c r="J11" s="82"/>
      <c r="K11" s="321">
        <f t="shared" si="0"/>
        <v>0</v>
      </c>
      <c r="L11" s="32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6" t="s">
        <v>62</v>
      </c>
      <c r="P11" s="337"/>
      <c r="Q11" s="338">
        <f>P5</f>
        <v>600</v>
      </c>
      <c r="R11" s="339"/>
      <c r="S11" s="319"/>
      <c r="T11" s="319"/>
      <c r="U11" s="319"/>
      <c r="V11" s="319"/>
    </row>
    <row r="12" spans="1:28" ht="22" customHeight="1">
      <c r="A12" s="402" t="s">
        <v>63</v>
      </c>
      <c r="B12" s="128">
        <v>401307</v>
      </c>
      <c r="C12" s="69" t="s">
        <v>231</v>
      </c>
      <c r="D12" s="70">
        <v>43571</v>
      </c>
      <c r="E12" s="71" t="s">
        <v>3</v>
      </c>
      <c r="F12" s="72">
        <v>151.38</v>
      </c>
      <c r="G12" s="321">
        <f>IF(OR(E12="",F12=""),"",PID_KVLohnLookup($A$1,E12,F12,LOHNTABELLE!$H$4))</f>
        <v>1821.75</v>
      </c>
      <c r="H12" s="322">
        <f>IF(AND(ISNUMBER(D12),ISNUMBER(F12)),ROUNDDOWN(MIN(IF(OR(ISBLANK(I12),I12=""),EOMONTH(DATE(EINSTELLUNG!$C$35,$A$1,1),0),I12)-MAX(D12,DATE(EINSTELLUNG!$C$35,$A$1,1))+1)/DAY(EOMONTH(DATE(EINSTELLUNG!$C$35,$A$1,1),0))*F12,2),"")</f>
        <v>151.38</v>
      </c>
      <c r="I12" s="73"/>
      <c r="J12" s="74"/>
      <c r="K12" s="321">
        <f t="shared" si="0"/>
        <v>0</v>
      </c>
      <c r="L12" s="32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6" t="s">
        <v>64</v>
      </c>
      <c r="P12" s="337"/>
      <c r="Q12" s="177">
        <v>-303</v>
      </c>
      <c r="R12" s="178"/>
      <c r="S12" s="319"/>
      <c r="T12" s="319"/>
      <c r="U12" s="319"/>
      <c r="V12" s="319"/>
    </row>
    <row r="13" spans="1:28" ht="22" customHeight="1">
      <c r="A13" s="402" t="s">
        <v>65</v>
      </c>
      <c r="B13" s="129">
        <v>401308</v>
      </c>
      <c r="C13" s="77" t="s">
        <v>232</v>
      </c>
      <c r="D13" s="78">
        <v>43579</v>
      </c>
      <c r="E13" s="79" t="s">
        <v>3</v>
      </c>
      <c r="F13" s="80">
        <v>173</v>
      </c>
      <c r="G13" s="321">
        <f>IF(OR(E13="",F13=""),"",PID_KVLohnLookup($A$1,E13,F13,LOHNTABELLE!$H$4))</f>
        <v>2082</v>
      </c>
      <c r="H13" s="322">
        <f>IF(AND(ISNUMBER(D13),ISNUMBER(F13)),ROUNDDOWN(MIN(IF(OR(ISBLANK(I13),I13=""),EOMONTH(DATE(EINSTELLUNG!$C$35,$A$1,1),0),I13)-MAX(D13,DATE(EINSTELLUNG!$C$35,$A$1,1))+1)/DAY(EOMONTH(DATE(EINSTELLUNG!$C$35,$A$1,1),0))*F13,2),"")</f>
        <v>173</v>
      </c>
      <c r="I13" s="81"/>
      <c r="J13" s="82"/>
      <c r="K13" s="321">
        <f t="shared" si="0"/>
        <v>0</v>
      </c>
      <c r="L13" s="32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6" t="s">
        <v>66</v>
      </c>
      <c r="P13" s="337"/>
      <c r="Q13" s="338">
        <f>Q8-Q9-Q10-Q11-Q12</f>
        <v>6422.26</v>
      </c>
      <c r="R13" s="339"/>
      <c r="S13" s="319"/>
      <c r="T13" s="319"/>
      <c r="U13" s="319"/>
      <c r="V13" s="319"/>
    </row>
    <row r="14" spans="1:28" ht="22" customHeight="1">
      <c r="A14" s="402" t="s">
        <v>67</v>
      </c>
      <c r="B14" s="128">
        <v>401394</v>
      </c>
      <c r="C14" s="69" t="s">
        <v>233</v>
      </c>
      <c r="D14" s="70">
        <v>44379</v>
      </c>
      <c r="E14" s="71" t="s">
        <v>2</v>
      </c>
      <c r="F14" s="72">
        <v>173</v>
      </c>
      <c r="G14" s="321">
        <f>IF(OR(E14="",F14=""),"",PID_KVLohnLookup($A$1,E14,F14,LOHNTABELLE!$H$4))</f>
        <v>2900</v>
      </c>
      <c r="H14" s="322">
        <f>IF(AND(ISNUMBER(D14),ISNUMBER(F14)),ROUNDDOWN(MIN(IF(OR(ISBLANK(I14),I14=""),EOMONTH(DATE(EINSTELLUNG!$C$35,$A$1,1),0),I14)-MAX(D14,DATE(EINSTELLUNG!$C$35,$A$1,1))+1)/DAY(EOMONTH(DATE(EINSTELLUNG!$C$35,$A$1,1),0))*F14,2),"")</f>
        <v>173</v>
      </c>
      <c r="I14" s="73"/>
      <c r="J14" s="74"/>
      <c r="K14" s="321">
        <f t="shared" si="0"/>
        <v>0</v>
      </c>
      <c r="L14" s="32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36" t="s">
        <v>68</v>
      </c>
      <c r="P14" s="337"/>
      <c r="Q14" s="338">
        <f>EINSTELLUNG!L17</f>
        <v>9300</v>
      </c>
      <c r="R14" s="339"/>
      <c r="S14" s="319"/>
      <c r="T14" s="319"/>
      <c r="U14" s="319"/>
      <c r="V14" s="319"/>
    </row>
    <row r="15" spans="1:28" ht="22" customHeight="1" thickBot="1">
      <c r="A15" s="402" t="s">
        <v>69</v>
      </c>
      <c r="B15" s="129">
        <v>401406</v>
      </c>
      <c r="C15" s="77" t="s">
        <v>473</v>
      </c>
      <c r="D15" s="78">
        <v>36850</v>
      </c>
      <c r="E15" s="79" t="s">
        <v>10</v>
      </c>
      <c r="F15" s="80">
        <v>151.38</v>
      </c>
      <c r="G15" s="321">
        <f>IF(OR(E15="",F15=""),"",PID_KVLohnLookup($A$1,E15,F15,LOHNTABELLE!$H$4))</f>
        <v>2012.5</v>
      </c>
      <c r="H15" s="322">
        <f>IF(AND(ISNUMBER(D15),ISNUMBER(F15)),ROUNDDOWN(MIN(IF(OR(ISBLANK(I15),I15=""),EOMONTH(DATE(EINSTELLUNG!$C$35,$A$1,1),0),I15)-MAX(D15,DATE(EINSTELLUNG!$C$35,$A$1,1))+1)/DAY(EOMONTH(DATE(EINSTELLUNG!$C$35,$A$1,1),0))*F15,2),"")</f>
        <v>151.38</v>
      </c>
      <c r="I15" s="81"/>
      <c r="J15" s="82"/>
      <c r="K15" s="321">
        <f t="shared" si="0"/>
        <v>0</v>
      </c>
      <c r="L15" s="32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1" t="s">
        <v>70</v>
      </c>
      <c r="P15" s="342"/>
      <c r="Q15" s="343">
        <f>Q13-Q14</f>
        <v>-2877.74</v>
      </c>
      <c r="R15" s="344"/>
      <c r="S15" s="345"/>
      <c r="T15" s="345"/>
      <c r="U15" s="345"/>
      <c r="V15" s="319"/>
    </row>
    <row r="16" spans="1:28" ht="22" customHeight="1" thickBot="1">
      <c r="A16" s="402" t="s">
        <v>71</v>
      </c>
      <c r="B16" s="128">
        <v>401432</v>
      </c>
      <c r="C16" s="69" t="s">
        <v>235</v>
      </c>
      <c r="D16" s="70">
        <v>44441</v>
      </c>
      <c r="E16" s="71" t="s">
        <v>2</v>
      </c>
      <c r="F16" s="72">
        <v>173</v>
      </c>
      <c r="G16" s="321">
        <f>IF(OR(E16="",F16=""),"",PID_KVLohnLookup($A$1,E16,F16,LOHNTABELLE!$H$4))</f>
        <v>2900</v>
      </c>
      <c r="H16" s="322">
        <f>IF(AND(ISNUMBER(D16),ISNUMBER(F16)),ROUNDDOWN(MIN(IF(OR(ISBLANK(I16),I16=""),EOMONTH(DATE(EINSTELLUNG!$C$35,$A$1,1),0),I16)-MAX(D16,DATE(EINSTELLUNG!$C$35,$A$1,1))+1)/DAY(EOMONTH(DATE(EINSTELLUNG!$C$35,$A$1,1),0))*F16,2),"")</f>
        <v>173</v>
      </c>
      <c r="I16" s="73"/>
      <c r="J16" s="74"/>
      <c r="K16" s="321">
        <f t="shared" si="0"/>
        <v>0</v>
      </c>
      <c r="L16" s="32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21" t="str">
        <f>IF(Q15&lt;0, "Schlecht! Zu wenig Stunden für Dienstplan.", IF(Q15&gt;0, "Du hast mehr als genug Stunden für Dienstplan.", ""))</f>
        <v>Schlecht! Zu wenig Stunden für Dienstplan.</v>
      </c>
      <c r="P16" s="347"/>
      <c r="Q16" s="347"/>
      <c r="R16" s="348"/>
      <c r="S16" s="349"/>
      <c r="T16" s="349"/>
      <c r="U16" s="349"/>
      <c r="V16" s="349"/>
      <c r="W16" s="350"/>
    </row>
    <row r="17" spans="1:29" ht="22" customHeight="1">
      <c r="A17" s="402" t="s">
        <v>72</v>
      </c>
      <c r="B17" s="129">
        <v>401479</v>
      </c>
      <c r="C17" s="77" t="s">
        <v>238</v>
      </c>
      <c r="D17" s="78">
        <v>44511</v>
      </c>
      <c r="E17" s="79" t="s">
        <v>6</v>
      </c>
      <c r="F17" s="80">
        <v>173</v>
      </c>
      <c r="G17" s="321">
        <f>IF(OR(E17="",F17=""),"",PID_KVLohnLookup($A$1,E17,F17,LOHNTABELLE!$H$4))</f>
        <v>2160</v>
      </c>
      <c r="H17" s="322">
        <f>IF(AND(ISNUMBER(D17),ISNUMBER(F17)),ROUNDDOWN(MIN(IF(OR(ISBLANK(I17),I17=""),EOMONTH(DATE(EINSTELLUNG!$C$35,$A$1,1),0),I17)-MAX(D17,DATE(EINSTELLUNG!$C$35,$A$1,1))+1)/DAY(EOMONTH(DATE(EINSTELLUNG!$C$35,$A$1,1),0))*F17,2),"")</f>
        <v>173</v>
      </c>
      <c r="I17" s="81"/>
      <c r="J17" s="82"/>
      <c r="K17" s="321">
        <f t="shared" si="0"/>
        <v>0</v>
      </c>
      <c r="L17" s="32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11" t="s">
        <v>73</v>
      </c>
      <c r="P17" s="333"/>
      <c r="Q17" s="351">
        <f>SUM(L3:L82)</f>
        <v>130360.35</v>
      </c>
      <c r="R17" s="352"/>
      <c r="S17" s="319"/>
      <c r="T17" s="319"/>
      <c r="U17" s="319"/>
      <c r="V17" s="319"/>
      <c r="W17" s="350"/>
    </row>
    <row r="18" spans="1:29" ht="22" customHeight="1">
      <c r="A18" s="402" t="s">
        <v>74</v>
      </c>
      <c r="B18" s="128">
        <v>401481</v>
      </c>
      <c r="C18" s="69" t="s">
        <v>239</v>
      </c>
      <c r="D18" s="70">
        <v>44531</v>
      </c>
      <c r="E18" s="71" t="s">
        <v>2</v>
      </c>
      <c r="F18" s="72">
        <v>173</v>
      </c>
      <c r="G18" s="321">
        <f>IF(OR(E18="",F18=""),"",PID_KVLohnLookup($A$1,E18,F18,LOHNTABELLE!$H$4))</f>
        <v>2900</v>
      </c>
      <c r="H18" s="322">
        <f>IF(AND(ISNUMBER(D18),ISNUMBER(F18)),ROUNDDOWN(MIN(IF(OR(ISBLANK(I18),I18=""),EOMONTH(DATE(EINSTELLUNG!$C$35,$A$1,1),0),I18)-MAX(D18,DATE(EINSTELLUNG!$C$35,$A$1,1))+1)/DAY(EOMONTH(DATE(EINSTELLUNG!$C$35,$A$1,1),0))*F18,2),"")</f>
        <v>173</v>
      </c>
      <c r="I18" s="73"/>
      <c r="J18" s="74"/>
      <c r="K18" s="321">
        <f t="shared" si="0"/>
        <v>0</v>
      </c>
      <c r="L18" s="32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12" t="s">
        <v>451</v>
      </c>
      <c r="P18" s="354"/>
      <c r="Q18" s="355">
        <v>20</v>
      </c>
      <c r="R18" s="356"/>
      <c r="S18" s="319"/>
      <c r="T18" s="319"/>
      <c r="U18" s="319"/>
      <c r="V18" s="319"/>
    </row>
    <row r="19" spans="1:29" ht="22" customHeight="1">
      <c r="A19" s="402" t="s">
        <v>75</v>
      </c>
      <c r="B19" s="129">
        <v>401564</v>
      </c>
      <c r="C19" s="77" t="s">
        <v>240</v>
      </c>
      <c r="D19" s="78">
        <v>44824</v>
      </c>
      <c r="E19" s="79" t="s">
        <v>2</v>
      </c>
      <c r="F19" s="80">
        <v>173</v>
      </c>
      <c r="G19" s="321">
        <f>IF(OR(E19="",F19=""),"",PID_KVLohnLookup($A$1,E19,F19,LOHNTABELLE!$H$4))</f>
        <v>2900</v>
      </c>
      <c r="H19" s="322">
        <f>IF(AND(ISNUMBER(D19),ISNUMBER(F19)),ROUNDDOWN(MIN(IF(OR(ISBLANK(I19),I19=""),EOMONTH(DATE(EINSTELLUNG!$C$35,$A$1,1),0),I19)-MAX(D19,DATE(EINSTELLUNG!$C$35,$A$1,1))+1)/DAY(EOMONTH(DATE(EINSTELLUNG!$C$35,$A$1,1),0))*F19,2),"")</f>
        <v>173</v>
      </c>
      <c r="I19" s="81"/>
      <c r="J19" s="82"/>
      <c r="K19" s="321">
        <f t="shared" si="0"/>
        <v>0</v>
      </c>
      <c r="L19" s="32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12" t="s">
        <v>296</v>
      </c>
      <c r="P19" s="354"/>
      <c r="Q19" s="355">
        <v>333</v>
      </c>
      <c r="R19" s="356"/>
      <c r="S19" s="319"/>
      <c r="T19" s="319"/>
      <c r="U19" s="319"/>
      <c r="V19" s="319"/>
    </row>
    <row r="20" spans="1:29" ht="22" customHeight="1">
      <c r="A20" s="402" t="s">
        <v>76</v>
      </c>
      <c r="B20" s="128">
        <v>401583</v>
      </c>
      <c r="C20" s="69" t="s">
        <v>242</v>
      </c>
      <c r="D20" s="70">
        <v>44900</v>
      </c>
      <c r="E20" s="71" t="s">
        <v>10</v>
      </c>
      <c r="F20" s="72">
        <v>173</v>
      </c>
      <c r="G20" s="321">
        <f>IF(OR(E20="",F20=""),"",PID_KVLohnLookup($A$1,E20,F20,LOHNTABELLE!$H$4))</f>
        <v>2300</v>
      </c>
      <c r="H20" s="322">
        <f>IF(AND(ISNUMBER(D20),ISNUMBER(F20)),ROUNDDOWN(MIN(IF(OR(ISBLANK(I20),I20=""),EOMONTH(DATE(EINSTELLUNG!$C$35,$A$1,1),0),I20)-MAX(D20,DATE(EINSTELLUNG!$C$35,$A$1,1))+1)/DAY(EOMONTH(DATE(EINSTELLUNG!$C$35,$A$1,1),0))*F20,2),"")</f>
        <v>173</v>
      </c>
      <c r="I20" s="73"/>
      <c r="J20" s="74"/>
      <c r="K20" s="321">
        <f t="shared" si="0"/>
        <v>0</v>
      </c>
      <c r="L20" s="32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12" t="s">
        <v>296</v>
      </c>
      <c r="P20" s="354"/>
      <c r="Q20" s="355">
        <v>35</v>
      </c>
      <c r="R20" s="356"/>
      <c r="S20" s="319"/>
      <c r="T20" s="319"/>
      <c r="U20" s="319"/>
      <c r="V20" s="319"/>
    </row>
    <row r="21" spans="1:29" ht="22" customHeight="1">
      <c r="A21" s="402" t="s">
        <v>77</v>
      </c>
      <c r="B21" s="129">
        <v>401589</v>
      </c>
      <c r="C21" s="77" t="s">
        <v>243</v>
      </c>
      <c r="D21" s="78">
        <v>44926</v>
      </c>
      <c r="E21" s="79" t="s">
        <v>10</v>
      </c>
      <c r="F21" s="80">
        <v>173</v>
      </c>
      <c r="G21" s="321">
        <f>IF(OR(E21="",F21=""),"",PID_KVLohnLookup($A$1,E21,F21,LOHNTABELLE!$H$4))</f>
        <v>2300</v>
      </c>
      <c r="H21" s="322">
        <f>IF(AND(ISNUMBER(D21),ISNUMBER(F21)),ROUNDDOWN(MIN(IF(OR(ISBLANK(I21),I21=""),EOMONTH(DATE(EINSTELLUNG!$C$35,$A$1,1),0),I21)-MAX(D21,DATE(EINSTELLUNG!$C$35,$A$1,1))+1)/DAY(EOMONTH(DATE(EINSTELLUNG!$C$35,$A$1,1),0))*F21,2),"")</f>
        <v>173</v>
      </c>
      <c r="I21" s="81"/>
      <c r="J21" s="82"/>
      <c r="K21" s="321">
        <f t="shared" si="0"/>
        <v>0</v>
      </c>
      <c r="L21" s="32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12" t="s">
        <v>296</v>
      </c>
      <c r="P21" s="354"/>
      <c r="Q21" s="355">
        <v>100</v>
      </c>
      <c r="R21" s="356"/>
      <c r="S21" s="319"/>
      <c r="T21" s="319"/>
      <c r="U21" s="319"/>
      <c r="V21" s="319"/>
    </row>
    <row r="22" spans="1:29" ht="22" customHeight="1">
      <c r="A22" s="402" t="s">
        <v>78</v>
      </c>
      <c r="B22" s="128">
        <v>401602</v>
      </c>
      <c r="C22" s="69" t="s">
        <v>244</v>
      </c>
      <c r="D22" s="70">
        <v>45975</v>
      </c>
      <c r="E22" s="71" t="s">
        <v>2</v>
      </c>
      <c r="F22" s="72">
        <v>86.5</v>
      </c>
      <c r="G22" s="321">
        <f>IF(OR(E22="",F22=""),"",PID_KVLohnLookup($A$1,E22,F22,LOHNTABELLE!$H$4))</f>
        <v>2152</v>
      </c>
      <c r="H22" s="322">
        <f>IF(AND(ISNUMBER(D22),ISNUMBER(F22)),ROUNDDOWN(MIN(IF(OR(ISBLANK(I22),I22=""),EOMONTH(DATE(EINSTELLUNG!$C$35,$A$1,1),0),I22)-MAX(D22,DATE(EINSTELLUNG!$C$35,$A$1,1))+1)/DAY(EOMONTH(DATE(EINSTELLUNG!$C$35,$A$1,1),0))*F22,2),"")</f>
        <v>86.5</v>
      </c>
      <c r="I22" s="73"/>
      <c r="J22" s="74"/>
      <c r="K22" s="321">
        <f t="shared" si="0"/>
        <v>0</v>
      </c>
      <c r="L22" s="32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12" t="s">
        <v>296</v>
      </c>
      <c r="P22" s="354"/>
      <c r="Q22" s="355"/>
      <c r="R22" s="356"/>
      <c r="S22" s="319"/>
      <c r="T22" s="319"/>
      <c r="U22" s="319"/>
      <c r="V22" s="319"/>
    </row>
    <row r="23" spans="1:29" ht="22" customHeight="1">
      <c r="A23" s="402" t="s">
        <v>79</v>
      </c>
      <c r="B23" s="129">
        <v>401605</v>
      </c>
      <c r="C23" s="77" t="s">
        <v>245</v>
      </c>
      <c r="D23" s="78">
        <v>44986</v>
      </c>
      <c r="E23" s="79" t="s">
        <v>2</v>
      </c>
      <c r="F23" s="80">
        <v>86.5</v>
      </c>
      <c r="G23" s="321">
        <f>IF(OR(E23="",F23=""),"",PID_KVLohnLookup($A$1,E23,F23,LOHNTABELLE!$H$4))</f>
        <v>2152</v>
      </c>
      <c r="H23" s="322">
        <f>IF(AND(ISNUMBER(D23),ISNUMBER(F23)),ROUNDDOWN(MIN(IF(OR(ISBLANK(I23),I23=""),EOMONTH(DATE(EINSTELLUNG!$C$35,$A$1,1),0),I23)-MAX(D23,DATE(EINSTELLUNG!$C$35,$A$1,1))+1)/DAY(EOMONTH(DATE(EINSTELLUNG!$C$35,$A$1,1),0))*F23,2),"")</f>
        <v>86.5</v>
      </c>
      <c r="I23" s="81"/>
      <c r="J23" s="82"/>
      <c r="K23" s="321">
        <f t="shared" si="0"/>
        <v>0</v>
      </c>
      <c r="L23" s="32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12" t="s">
        <v>296</v>
      </c>
      <c r="P23" s="354"/>
      <c r="Q23" s="355">
        <v>5000</v>
      </c>
      <c r="R23" s="356"/>
      <c r="S23" s="319"/>
      <c r="T23" s="319"/>
      <c r="U23" s="319"/>
      <c r="V23" s="319"/>
      <c r="W23" s="350"/>
    </row>
    <row r="24" spans="1:29" ht="22" customHeight="1">
      <c r="A24" s="402" t="s">
        <v>80</v>
      </c>
      <c r="B24" s="128">
        <v>401605</v>
      </c>
      <c r="C24" s="84" t="s">
        <v>473</v>
      </c>
      <c r="D24" s="73">
        <v>36850</v>
      </c>
      <c r="E24" s="71" t="s">
        <v>10</v>
      </c>
      <c r="F24" s="72">
        <v>151.38</v>
      </c>
      <c r="G24" s="321">
        <f>IF(OR(E24="",F24=""),"",PID_KVLohnLookup($A$1,E24,F24,LOHNTABELLE!$H$4))</f>
        <v>2012.5</v>
      </c>
      <c r="H24" s="322">
        <f>IF(AND(ISNUMBER(D24),ISNUMBER(F24)),ROUNDDOWN(MIN(IF(OR(ISBLANK(I24),I24=""),EOMONTH(DATE(EINSTELLUNG!$C$35,$A$1,1),0),I24)-MAX(D24,DATE(EINSTELLUNG!$C$35,$A$1,1))+1)/DAY(EOMONTH(DATE(EINSTELLUNG!$C$35,$A$1,1),0))*F24,2),"")</f>
        <v>151.38</v>
      </c>
      <c r="I24" s="73"/>
      <c r="J24" s="74"/>
      <c r="K24" s="321">
        <f t="shared" si="0"/>
        <v>0</v>
      </c>
      <c r="L24" s="32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12"/>
      <c r="P24" s="354"/>
      <c r="Q24" s="355"/>
      <c r="R24" s="356"/>
      <c r="S24" s="319"/>
      <c r="T24" s="319"/>
      <c r="U24" s="319"/>
      <c r="V24" s="319"/>
      <c r="W24" s="350"/>
    </row>
    <row r="25" spans="1:29" ht="22" customHeight="1">
      <c r="A25" s="402" t="s">
        <v>81</v>
      </c>
      <c r="B25" s="129">
        <v>401626</v>
      </c>
      <c r="C25" s="77" t="s">
        <v>246</v>
      </c>
      <c r="D25" s="78">
        <v>45063</v>
      </c>
      <c r="E25" s="79" t="s">
        <v>2</v>
      </c>
      <c r="F25" s="80">
        <v>86.5</v>
      </c>
      <c r="G25" s="321">
        <f>IF(OR(E25="",F25=""),"",PID_KVLohnLookup($A$1,E25,F25,LOHNTABELLE!$H$4))</f>
        <v>2152</v>
      </c>
      <c r="H25" s="322">
        <f>IF(AND(ISNUMBER(D25),ISNUMBER(F25)),ROUNDDOWN(MIN(IF(OR(ISBLANK(I25),I25=""),EOMONTH(DATE(EINSTELLUNG!$C$35,$A$1,1),0),I25)-MAX(D25,DATE(EINSTELLUNG!$C$35,$A$1,1))+1)/DAY(EOMONTH(DATE(EINSTELLUNG!$C$35,$A$1,1),0))*F25,2),"")</f>
        <v>86.5</v>
      </c>
      <c r="I25" s="81"/>
      <c r="J25" s="82"/>
      <c r="K25" s="321">
        <f t="shared" si="0"/>
        <v>0</v>
      </c>
      <c r="L25" s="32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12"/>
      <c r="P25" s="354"/>
      <c r="Q25" s="355"/>
      <c r="R25" s="356"/>
      <c r="S25" s="319"/>
      <c r="T25" s="319"/>
      <c r="U25" s="319"/>
      <c r="V25" s="319"/>
    </row>
    <row r="26" spans="1:29" ht="22" customHeight="1">
      <c r="A26" s="402" t="s">
        <v>82</v>
      </c>
      <c r="B26" s="128">
        <v>401633</v>
      </c>
      <c r="C26" s="69" t="s">
        <v>247</v>
      </c>
      <c r="D26" s="73">
        <v>45089</v>
      </c>
      <c r="E26" s="71" t="s">
        <v>10</v>
      </c>
      <c r="F26" s="72">
        <v>86.5</v>
      </c>
      <c r="G26" s="321">
        <f>IF(OR(E26="",F26=""),"",PID_KVLohnLookup($A$1,E26,F26,LOHNTABELLE!$H$4))</f>
        <v>1150</v>
      </c>
      <c r="H26" s="322">
        <f>IF(AND(ISNUMBER(D26),ISNUMBER(F26)),ROUNDDOWN(MIN(IF(OR(ISBLANK(I26),I26=""),EOMONTH(DATE(EINSTELLUNG!$C$35,$A$1,1),0),I26)-MAX(D26,DATE(EINSTELLUNG!$C$35,$A$1,1))+1)/DAY(EOMONTH(DATE(EINSTELLUNG!$C$35,$A$1,1),0))*F26,2),"")</f>
        <v>86.5</v>
      </c>
      <c r="I26" s="73"/>
      <c r="J26" s="74"/>
      <c r="K26" s="321">
        <f t="shared" si="0"/>
        <v>0</v>
      </c>
      <c r="L26" s="32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12"/>
      <c r="P26" s="354"/>
      <c r="Q26" s="355"/>
      <c r="R26" s="356"/>
      <c r="S26" s="319"/>
      <c r="T26" s="319"/>
      <c r="U26" s="319"/>
      <c r="V26" s="319"/>
    </row>
    <row r="27" spans="1:29" ht="22" customHeight="1">
      <c r="A27" s="402" t="s">
        <v>83</v>
      </c>
      <c r="B27" s="129">
        <v>401647</v>
      </c>
      <c r="C27" s="77" t="s">
        <v>248</v>
      </c>
      <c r="D27" s="78">
        <v>45182</v>
      </c>
      <c r="E27" s="79" t="s">
        <v>2</v>
      </c>
      <c r="F27" s="80">
        <v>86.5</v>
      </c>
      <c r="G27" s="321">
        <f>IF(OR(E27="",F27=""),"",PID_KVLohnLookup($A$1,E27,F27,LOHNTABELLE!$H$4))</f>
        <v>2152</v>
      </c>
      <c r="H27" s="322">
        <f>IF(AND(ISNUMBER(D27),ISNUMBER(F27)),ROUNDDOWN(MIN(IF(OR(ISBLANK(I27),I27=""),EOMONTH(DATE(EINSTELLUNG!$C$35,$A$1,1),0),I27)-MAX(D27,DATE(EINSTELLUNG!$C$35,$A$1,1))+1)/DAY(EOMONTH(DATE(EINSTELLUNG!$C$35,$A$1,1),0))*F27,2),"")</f>
        <v>86.5</v>
      </c>
      <c r="I27" s="81"/>
      <c r="J27" s="82"/>
      <c r="K27" s="321">
        <f t="shared" si="0"/>
        <v>0</v>
      </c>
      <c r="L27" s="32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12"/>
      <c r="P27" s="354"/>
      <c r="Q27" s="355"/>
      <c r="R27" s="356"/>
      <c r="S27" s="357"/>
      <c r="T27" s="357"/>
      <c r="U27" s="357"/>
      <c r="V27" s="357"/>
    </row>
    <row r="28" spans="1:29" ht="22" customHeight="1">
      <c r="A28" s="402" t="s">
        <v>85</v>
      </c>
      <c r="B28" s="128">
        <v>401661</v>
      </c>
      <c r="C28" s="69" t="s">
        <v>249</v>
      </c>
      <c r="D28" s="70">
        <v>45261</v>
      </c>
      <c r="E28" s="71" t="s">
        <v>2</v>
      </c>
      <c r="F28" s="72">
        <v>86.5</v>
      </c>
      <c r="G28" s="321">
        <f>IF(OR(E28="",F28=""),"",PID_KVLohnLookup($A$1,E28,F28,LOHNTABELLE!$H$4))</f>
        <v>2152</v>
      </c>
      <c r="H28" s="322">
        <f>IF(AND(ISNUMBER(D28),ISNUMBER(F28)),ROUNDDOWN(MIN(IF(OR(ISBLANK(I28),I28=""),EOMONTH(DATE(EINSTELLUNG!$C$35,$A$1,1),0),I28)-MAX(D28,DATE(EINSTELLUNG!$C$35,$A$1,1))+1)/DAY(EOMONTH(DATE(EINSTELLUNG!$C$35,$A$1,1),0))*F28,2),"")</f>
        <v>86.5</v>
      </c>
      <c r="I28" s="73"/>
      <c r="J28" s="74"/>
      <c r="K28" s="321">
        <f t="shared" si="0"/>
        <v>0</v>
      </c>
      <c r="L28" s="32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12"/>
      <c r="P28" s="354"/>
      <c r="Q28" s="355"/>
      <c r="R28" s="356"/>
      <c r="S28" s="319"/>
      <c r="T28" s="319"/>
      <c r="U28" s="319"/>
      <c r="V28" s="319"/>
    </row>
    <row r="29" spans="1:29" ht="22" customHeight="1" thickBot="1">
      <c r="A29" s="402" t="s">
        <v>86</v>
      </c>
      <c r="B29" s="129">
        <v>401670</v>
      </c>
      <c r="C29" s="77" t="s">
        <v>250</v>
      </c>
      <c r="D29" s="78">
        <v>45358</v>
      </c>
      <c r="E29" s="79" t="s">
        <v>2</v>
      </c>
      <c r="F29" s="80">
        <v>86.5</v>
      </c>
      <c r="G29" s="321">
        <f>IF(OR(E29="",F29=""),"",PID_KVLohnLookup($A$1,E29,F29,LOHNTABELLE!$H$4))</f>
        <v>2152</v>
      </c>
      <c r="H29" s="322">
        <f>IF(AND(ISNUMBER(D29),ISNUMBER(F29)),ROUNDDOWN(MIN(IF(OR(ISBLANK(I29),I29=""),EOMONTH(DATE(EINSTELLUNG!$C$35,$A$1,1),0),I29)-MAX(D29,DATE(EINSTELLUNG!$C$35,$A$1,1))+1)/DAY(EOMONTH(DATE(EINSTELLUNG!$C$35,$A$1,1),0))*F29,2),"")</f>
        <v>86.5</v>
      </c>
      <c r="I29" s="81"/>
      <c r="J29" s="82"/>
      <c r="K29" s="321">
        <f t="shared" si="0"/>
        <v>0</v>
      </c>
      <c r="L29" s="32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13" t="s">
        <v>87</v>
      </c>
      <c r="P29" s="342"/>
      <c r="Q29" s="358">
        <f>EINSTELLUNG!O17</f>
        <v>1250</v>
      </c>
      <c r="R29" s="359"/>
      <c r="S29" s="319"/>
      <c r="T29" s="319"/>
      <c r="U29" s="319"/>
      <c r="V29" s="319"/>
    </row>
    <row r="30" spans="1:29" ht="22" customHeight="1" thickBot="1">
      <c r="A30" s="402" t="s">
        <v>88</v>
      </c>
      <c r="B30" s="128">
        <v>401678</v>
      </c>
      <c r="C30" s="69" t="s">
        <v>251</v>
      </c>
      <c r="D30" s="70">
        <v>45414</v>
      </c>
      <c r="E30" s="71" t="s">
        <v>2</v>
      </c>
      <c r="F30" s="72">
        <v>173</v>
      </c>
      <c r="G30" s="321">
        <f>IF(OR(E30="",F30=""),"",PID_KVLohnLookup($A$1,E30,F30,LOHNTABELLE!$H$4))</f>
        <v>2900</v>
      </c>
      <c r="H30" s="322">
        <f>IF(AND(ISNUMBER(D30),ISNUMBER(F30)),ROUNDDOWN(MIN(IF(OR(ISBLANK(I30),I30=""),EOMONTH(DATE(EINSTELLUNG!$C$35,$A$1,1),0),I30)-MAX(D30,DATE(EINSTELLUNG!$C$35,$A$1,1))+1)/DAY(EOMONTH(DATE(EINSTELLUNG!$C$35,$A$1,1),0))*F30,2),"")</f>
        <v>173</v>
      </c>
      <c r="I30" s="73"/>
      <c r="J30" s="74"/>
      <c r="K30" s="321">
        <f t="shared" si="0"/>
        <v>0</v>
      </c>
      <c r="L30" s="32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19"/>
      <c r="P30" s="319"/>
      <c r="Q30" s="319"/>
      <c r="R30" s="319"/>
      <c r="S30" s="319"/>
      <c r="T30" s="319"/>
      <c r="U30" s="319"/>
      <c r="V30" s="319"/>
      <c r="W30" s="360"/>
      <c r="X30" s="360"/>
      <c r="Y30" s="360"/>
      <c r="Z30" s="360"/>
      <c r="AA30" s="360"/>
      <c r="AB30" s="360"/>
      <c r="AC30" s="360"/>
    </row>
    <row r="31" spans="1:29" ht="22" customHeight="1" thickBot="1">
      <c r="A31" s="402" t="s">
        <v>89</v>
      </c>
      <c r="B31" s="129">
        <v>401690</v>
      </c>
      <c r="C31" s="77" t="s">
        <v>253</v>
      </c>
      <c r="D31" s="78">
        <v>45536</v>
      </c>
      <c r="E31" s="79" t="s">
        <v>2</v>
      </c>
      <c r="F31" s="80">
        <v>86.5</v>
      </c>
      <c r="G31" s="321">
        <f>IF(OR(E31="",F31=""),"",PID_KVLohnLookup($A$1,E31,F31,LOHNTABELLE!$H$4))</f>
        <v>2152</v>
      </c>
      <c r="H31" s="322">
        <f>IF(AND(ISNUMBER(D31),ISNUMBER(F31)),ROUNDDOWN(MIN(IF(OR(ISBLANK(I31),I31=""),EOMONTH(DATE(EINSTELLUNG!$C$35,$A$1,1),0),I31)-MAX(D31,DATE(EINSTELLUNG!$C$35,$A$1,1))+1)/DAY(EOMONTH(DATE(EINSTELLUNG!$C$35,$A$1,1),0))*F31,2),"")</f>
        <v>86.5</v>
      </c>
      <c r="I31" s="81"/>
      <c r="J31" s="82"/>
      <c r="K31" s="321">
        <f t="shared" si="0"/>
        <v>0</v>
      </c>
      <c r="L31" s="32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14">
        <v>0</v>
      </c>
      <c r="P31" s="362"/>
      <c r="Q31" s="363">
        <v>0</v>
      </c>
      <c r="R31" s="364"/>
      <c r="S31" s="319"/>
      <c r="T31" s="319"/>
      <c r="U31" s="319"/>
      <c r="V31" s="319"/>
    </row>
    <row r="32" spans="1:29" ht="22" customHeight="1" thickBot="1">
      <c r="A32" s="402" t="s">
        <v>91</v>
      </c>
      <c r="B32" s="128">
        <v>401715</v>
      </c>
      <c r="C32" s="69" t="s">
        <v>256</v>
      </c>
      <c r="D32" s="70">
        <v>45755</v>
      </c>
      <c r="E32" s="71" t="s">
        <v>2</v>
      </c>
      <c r="F32" s="72">
        <v>86.5</v>
      </c>
      <c r="G32" s="321">
        <f>IF(OR(E32="",F32=""),"",PID_KVLohnLookup($A$1,E32,F32,LOHNTABELLE!$H$4))</f>
        <v>2152</v>
      </c>
      <c r="H32" s="322">
        <f>IF(AND(ISNUMBER(D32),ISNUMBER(F32)),ROUNDDOWN(MIN(IF(OR(ISBLANK(I32),I32=""),EOMONTH(DATE(EINSTELLUNG!$C$35,$A$1,1),0),I32)-MAX(D32,DATE(EINSTELLUNG!$C$35,$A$1,1))+1)/DAY(EOMONTH(DATE(EINSTELLUNG!$C$35,$A$1,1),0))*F32,2),"")</f>
        <v>86.5</v>
      </c>
      <c r="I32" s="73"/>
      <c r="J32" s="74"/>
      <c r="K32" s="321">
        <f t="shared" si="0"/>
        <v>0</v>
      </c>
      <c r="L32" s="32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9"/>
      <c r="P32" s="319"/>
      <c r="Q32" s="319"/>
      <c r="R32" s="319"/>
      <c r="S32" s="319"/>
      <c r="T32" s="319"/>
      <c r="U32" s="319"/>
      <c r="V32" s="319"/>
    </row>
    <row r="33" spans="1:22" ht="22" customHeight="1">
      <c r="A33" s="402" t="s">
        <v>92</v>
      </c>
      <c r="B33" s="129">
        <v>401716</v>
      </c>
      <c r="C33" s="77" t="s">
        <v>257</v>
      </c>
      <c r="D33" s="78">
        <v>45800</v>
      </c>
      <c r="E33" s="79" t="s">
        <v>2</v>
      </c>
      <c r="F33" s="80">
        <v>86.5</v>
      </c>
      <c r="G33" s="321">
        <f>IF(OR(E33="",F33=""),"",PID_KVLohnLookup($A$1,E33,F33,LOHNTABELLE!$H$4))</f>
        <v>2152</v>
      </c>
      <c r="H33" s="322">
        <f>IF(AND(ISNUMBER(D33),ISNUMBER(F33)),ROUNDDOWN(MIN(IF(OR(ISBLANK(I33),I33=""),EOMONTH(DATE(EINSTELLUNG!$C$35,$A$1,1),0),I33)-MAX(D33,DATE(EINSTELLUNG!$C$35,$A$1,1))+1)/DAY(EOMONTH(DATE(EINSTELLUNG!$C$35,$A$1,1),0))*F33,2),"")</f>
        <v>86.5</v>
      </c>
      <c r="I33" s="81"/>
      <c r="J33" s="82"/>
      <c r="K33" s="321">
        <f t="shared" si="0"/>
        <v>0</v>
      </c>
      <c r="L33" s="32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15"/>
      <c r="P33" s="366"/>
      <c r="Q33" s="306">
        <f>EINSTELLUNG!B3</f>
        <v>0</v>
      </c>
      <c r="R33" s="306"/>
      <c r="S33" s="306" t="str">
        <f>EINSTELLUNG!B19</f>
        <v>Projection/Aktuell Zahlen</v>
      </c>
      <c r="T33" s="306"/>
      <c r="U33" s="306" t="s">
        <v>95</v>
      </c>
      <c r="V33" s="307"/>
    </row>
    <row r="34" spans="1:22" ht="22" customHeight="1">
      <c r="A34" s="402" t="s">
        <v>96</v>
      </c>
      <c r="B34" s="128">
        <v>401717</v>
      </c>
      <c r="C34" s="69" t="s">
        <v>258</v>
      </c>
      <c r="D34" s="70">
        <v>45814</v>
      </c>
      <c r="E34" s="71" t="s">
        <v>2</v>
      </c>
      <c r="F34" s="93">
        <v>86.5</v>
      </c>
      <c r="G34" s="321">
        <f>IF(OR(E34="",F34=""),"",PID_KVLohnLookup($A$1,E34,F34,LOHNTABELLE!$H$4))</f>
        <v>2152</v>
      </c>
      <c r="H34" s="322">
        <f>IF(AND(ISNUMBER(D34),ISNUMBER(F34)),ROUNDDOWN(MIN(IF(OR(ISBLANK(I34),I34=""),EOMONTH(DATE(EINSTELLUNG!$C$35,$A$1,1),0),I34)-MAX(D34,DATE(EINSTELLUNG!$C$35,$A$1,1))+1)/DAY(EOMONTH(DATE(EINSTELLUNG!$C$35,$A$1,1),0))*F34,2),"")</f>
        <v>86.5</v>
      </c>
      <c r="I34" s="73"/>
      <c r="J34" s="74"/>
      <c r="K34" s="321">
        <f t="shared" si="0"/>
        <v>0</v>
      </c>
      <c r="L34" s="32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16"/>
      <c r="P34" s="368"/>
      <c r="Q34" s="369"/>
      <c r="R34" s="369"/>
      <c r="S34" s="369"/>
      <c r="T34" s="369"/>
      <c r="U34" s="369"/>
      <c r="V34" s="370"/>
    </row>
    <row r="35" spans="1:22" ht="22" customHeight="1">
      <c r="A35" s="402" t="s">
        <v>97</v>
      </c>
      <c r="B35" s="129">
        <v>401722</v>
      </c>
      <c r="C35" s="77" t="s">
        <v>259</v>
      </c>
      <c r="D35" s="78">
        <v>45848</v>
      </c>
      <c r="E35" s="79" t="s">
        <v>2</v>
      </c>
      <c r="F35" s="80">
        <v>86.5</v>
      </c>
      <c r="G35" s="321">
        <f>IF(OR(E35="",F35=""),"",PID_KVLohnLookup($A$1,E35,F35,LOHNTABELLE!$H$4))</f>
        <v>2152</v>
      </c>
      <c r="H35" s="322">
        <f>IF(AND(ISNUMBER(D35),ISNUMBER(F35)),ROUNDDOWN(MIN(IF(OR(ISBLANK(I35),I35=""),EOMONTH(DATE(EINSTELLUNG!$C$35,$A$1,1),0),I35)-MAX(D35,DATE(EINSTELLUNG!$C$35,$A$1,1))+1)/DAY(EOMONTH(DATE(EINSTELLUNG!$C$35,$A$1,1),0))*F35,2),"")</f>
        <v>86.5</v>
      </c>
      <c r="I35" s="81"/>
      <c r="J35" s="82"/>
      <c r="K35" s="321">
        <f t="shared" ref="K35:K66" si="1">IFERROR(IF(OR(MONTH(D35)=1, MONTH(D35)=3, MONTH(D35)=5, MONTH(D35)=7, MONTH(D35)=8, MONTH(D35)=10, MONTH(D35)=12), (G35/31)*J35, IF(OR(MONTH(D35)=4, MONTH(D35)=6, MONTH(D35)=9, MONTH(D35)=11), (G35/30)*J35, (G35/DAY(EOMONTH(D35,0)))*J35)), 0)</f>
        <v>0</v>
      </c>
      <c r="L35" s="32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17" t="s">
        <v>98</v>
      </c>
      <c r="P35" s="337"/>
      <c r="Q35" s="371">
        <f>EINSTELLUNG!C17</f>
        <v>400000</v>
      </c>
      <c r="R35" s="371"/>
      <c r="S35" s="371">
        <f>EINSTELLUNG!C33</f>
        <v>390000</v>
      </c>
      <c r="T35" s="371"/>
      <c r="U35" s="371">
        <f>S35-Q35</f>
        <v>-10000</v>
      </c>
      <c r="V35" s="372"/>
    </row>
    <row r="36" spans="1:22" ht="22" customHeight="1">
      <c r="A36" s="402" t="s">
        <v>99</v>
      </c>
      <c r="B36" s="128">
        <v>401723</v>
      </c>
      <c r="C36" s="69" t="s">
        <v>260</v>
      </c>
      <c r="D36" s="70">
        <v>45852</v>
      </c>
      <c r="E36" s="71" t="s">
        <v>2</v>
      </c>
      <c r="F36" s="72">
        <v>86.5</v>
      </c>
      <c r="G36" s="321">
        <f>IF(OR(E36="",F36=""),"",PID_KVLohnLookup($A$1,E36,F36,LOHNTABELLE!$H$4))</f>
        <v>2152</v>
      </c>
      <c r="H36" s="322">
        <f>IF(AND(ISNUMBER(D36),ISNUMBER(F36)),ROUNDDOWN(MIN(IF(OR(ISBLANK(I36),I36=""),EOMONTH(DATE(EINSTELLUNG!$C$35,$A$1,1),0),I36)-MAX(D36,DATE(EINSTELLUNG!$C$35,$A$1,1))+1)/DAY(EOMONTH(DATE(EINSTELLUNG!$C$35,$A$1,1),0))*F36,2),"")</f>
        <v>86.5</v>
      </c>
      <c r="I36" s="73"/>
      <c r="J36" s="74"/>
      <c r="K36" s="321">
        <f t="shared" si="1"/>
        <v>0</v>
      </c>
      <c r="L36" s="32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17" t="s">
        <v>100</v>
      </c>
      <c r="P36" s="337"/>
      <c r="Q36" s="371">
        <f>EINSTELLUNG!D17</f>
        <v>100000</v>
      </c>
      <c r="R36" s="371"/>
      <c r="S36" s="371">
        <f ca="1">SumMergedCells(Q17:R29)</f>
        <v>137098.35</v>
      </c>
      <c r="T36" s="371"/>
      <c r="U36" s="371">
        <f t="shared" ref="U36:U41" ca="1" si="2">S36-Q36</f>
        <v>37098.350000000006</v>
      </c>
      <c r="V36" s="372"/>
    </row>
    <row r="37" spans="1:22" ht="22" customHeight="1">
      <c r="A37" s="402" t="s">
        <v>101</v>
      </c>
      <c r="B37" s="129">
        <v>401726</v>
      </c>
      <c r="C37" s="77" t="s">
        <v>261</v>
      </c>
      <c r="D37" s="78">
        <v>45870</v>
      </c>
      <c r="E37" s="79" t="s">
        <v>2</v>
      </c>
      <c r="F37" s="80">
        <v>86.5</v>
      </c>
      <c r="G37" s="321">
        <f>IF(OR(E37="",F37=""),"",PID_KVLohnLookup($A$1,E37,F37,LOHNTABELLE!$H$4))</f>
        <v>2152</v>
      </c>
      <c r="H37" s="322">
        <f>IF(AND(ISNUMBER(D37),ISNUMBER(F37)),ROUNDDOWN(MIN(IF(OR(ISBLANK(I37),I37=""),EOMONTH(DATE(EINSTELLUNG!$C$35,$A$1,1),0),I37)-MAX(D37,DATE(EINSTELLUNG!$C$35,$A$1,1))+1)/DAY(EOMONTH(DATE(EINSTELLUNG!$C$35,$A$1,1),0))*F37,2),"")</f>
        <v>86.5</v>
      </c>
      <c r="I37" s="81"/>
      <c r="J37" s="82"/>
      <c r="K37" s="321">
        <f t="shared" si="1"/>
        <v>0</v>
      </c>
      <c r="L37" s="32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17" t="s">
        <v>102</v>
      </c>
      <c r="P37" s="337"/>
      <c r="Q37" s="373">
        <f>IF(ISERROR(Q36/Q35), 0, Q36/Q35)</f>
        <v>0.25</v>
      </c>
      <c r="R37" s="373"/>
      <c r="S37" s="373">
        <f ca="1">IF(ISERROR(S36/S35), 0, S36/S35)</f>
        <v>0.35153423076923079</v>
      </c>
      <c r="T37" s="373"/>
      <c r="U37" s="373">
        <f t="shared" ca="1" si="2"/>
        <v>0.10153423076923079</v>
      </c>
      <c r="V37" s="374"/>
    </row>
    <row r="38" spans="1:22" ht="22" customHeight="1">
      <c r="A38" s="402" t="s">
        <v>103</v>
      </c>
      <c r="B38" s="128">
        <v>401730</v>
      </c>
      <c r="C38" s="69" t="s">
        <v>263</v>
      </c>
      <c r="D38" s="70">
        <v>45895</v>
      </c>
      <c r="E38" s="71" t="s">
        <v>2</v>
      </c>
      <c r="F38" s="72">
        <v>86.5</v>
      </c>
      <c r="G38" s="321">
        <f>IF(OR(E38="",F38=""),"",PID_KVLohnLookup($A$1,E38,F38,LOHNTABELLE!$H$4))</f>
        <v>2152</v>
      </c>
      <c r="H38" s="322">
        <f>IF(AND(ISNUMBER(D38),ISNUMBER(F38)),ROUNDDOWN(MIN(IF(OR(ISBLANK(I38),I38=""),EOMONTH(DATE(EINSTELLUNG!$C$35,$A$1,1),0),I38)-MAX(D38,DATE(EINSTELLUNG!$C$35,$A$1,1))+1)/DAY(EOMONTH(DATE(EINSTELLUNG!$C$35,$A$1,1),0))*F38,2),"")</f>
        <v>86.5</v>
      </c>
      <c r="I38" s="73"/>
      <c r="J38" s="74"/>
      <c r="K38" s="321">
        <f t="shared" si="1"/>
        <v>0</v>
      </c>
      <c r="L38" s="32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17" t="s">
        <v>104</v>
      </c>
      <c r="P38" s="337"/>
      <c r="Q38" s="338">
        <f>EINSTELLUNG!F17</f>
        <v>30000</v>
      </c>
      <c r="R38" s="338"/>
      <c r="S38" s="338">
        <f>EINSTELLUNG!F33</f>
        <v>31000</v>
      </c>
      <c r="T38" s="338"/>
      <c r="U38" s="338">
        <f t="shared" si="2"/>
        <v>1000</v>
      </c>
      <c r="V38" s="339"/>
    </row>
    <row r="39" spans="1:22" ht="22" customHeight="1">
      <c r="A39" s="402" t="s">
        <v>105</v>
      </c>
      <c r="B39" s="129">
        <v>401731</v>
      </c>
      <c r="C39" s="77" t="s">
        <v>262</v>
      </c>
      <c r="D39" s="78">
        <v>45899</v>
      </c>
      <c r="E39" s="79" t="s">
        <v>2</v>
      </c>
      <c r="F39" s="80">
        <v>86.5</v>
      </c>
      <c r="G39" s="321">
        <f>IF(OR(E39="",F39=""),"",PID_KVLohnLookup($A$1,E39,F39,LOHNTABELLE!$H$4))</f>
        <v>2152</v>
      </c>
      <c r="H39" s="322">
        <f>IF(AND(ISNUMBER(D39),ISNUMBER(F39)),ROUNDDOWN(MIN(IF(OR(ISBLANK(I39),I39=""),EOMONTH(DATE(EINSTELLUNG!$C$35,$A$1,1),0),I39)-MAX(D39,DATE(EINSTELLUNG!$C$35,$A$1,1))+1)/DAY(EOMONTH(DATE(EINSTELLUNG!$C$35,$A$1,1),0))*F39,2),"")</f>
        <v>86.5</v>
      </c>
      <c r="I39" s="81"/>
      <c r="J39" s="82"/>
      <c r="K39" s="321">
        <f t="shared" si="1"/>
        <v>0</v>
      </c>
      <c r="L39" s="32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17" t="s">
        <v>106</v>
      </c>
      <c r="P39" s="337"/>
      <c r="Q39" s="371">
        <f>IF(Q38=0, 0, Q35/Q38)</f>
        <v>13.333333333333334</v>
      </c>
      <c r="R39" s="371"/>
      <c r="S39" s="371">
        <f>IF(S38=0, 0, S35/S38)</f>
        <v>12.580645161290322</v>
      </c>
      <c r="T39" s="371"/>
      <c r="U39" s="371">
        <f t="shared" si="2"/>
        <v>-0.75268817204301186</v>
      </c>
      <c r="V39" s="372"/>
    </row>
    <row r="40" spans="1:22" ht="22" customHeight="1">
      <c r="A40" s="402" t="s">
        <v>107</v>
      </c>
      <c r="B40" s="128">
        <v>401734</v>
      </c>
      <c r="C40" s="69" t="s">
        <v>264</v>
      </c>
      <c r="D40" s="70">
        <v>45904</v>
      </c>
      <c r="E40" s="71" t="s">
        <v>2</v>
      </c>
      <c r="F40" s="72">
        <v>86.5</v>
      </c>
      <c r="G40" s="321">
        <f>IF(OR(E40="",F40=""),"",PID_KVLohnLookup($A$1,E40,F40,LOHNTABELLE!$H$4))</f>
        <v>2152</v>
      </c>
      <c r="H40" s="322">
        <f>IF(AND(ISNUMBER(D40),ISNUMBER(F40)),ROUNDDOWN(MIN(IF(OR(ISBLANK(I40),I40=""),EOMONTH(DATE(EINSTELLUNG!$C$35,$A$1,1),0),I40)-MAX(D40,DATE(EINSTELLUNG!$C$35,$A$1,1))+1)/DAY(EOMONTH(DATE(EINSTELLUNG!$C$35,$A$1,1),0))*F40,2),"")</f>
        <v>86.5</v>
      </c>
      <c r="I40" s="73"/>
      <c r="J40" s="74"/>
      <c r="K40" s="321">
        <f t="shared" si="1"/>
        <v>0</v>
      </c>
      <c r="L40" s="32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17" t="s">
        <v>108</v>
      </c>
      <c r="P40" s="337"/>
      <c r="Q40" s="371">
        <f>IF(Q13=0, 0, Q35/Q13)</f>
        <v>62.283370651452913</v>
      </c>
      <c r="R40" s="371"/>
      <c r="S40" s="371">
        <f>IF(Q13=0, 0, S35/Q13)</f>
        <v>60.726286385166588</v>
      </c>
      <c r="T40" s="371"/>
      <c r="U40" s="371">
        <f t="shared" si="2"/>
        <v>-1.5570842662863242</v>
      </c>
      <c r="V40" s="372"/>
    </row>
    <row r="41" spans="1:22" ht="22" customHeight="1">
      <c r="A41" s="402" t="s">
        <v>109</v>
      </c>
      <c r="B41" s="129">
        <v>401737</v>
      </c>
      <c r="C41" s="77" t="s">
        <v>266</v>
      </c>
      <c r="D41" s="78">
        <v>45906</v>
      </c>
      <c r="E41" s="79" t="s">
        <v>2</v>
      </c>
      <c r="F41" s="80">
        <v>86.5</v>
      </c>
      <c r="G41" s="321">
        <f>IF(OR(E41="",F41=""),"",PID_KVLohnLookup($A$1,E41,F41,LOHNTABELLE!$H$4))</f>
        <v>2152</v>
      </c>
      <c r="H41" s="322">
        <f>IF(AND(ISNUMBER(D41),ISNUMBER(F41)),ROUNDDOWN(MIN(IF(OR(ISBLANK(I41),I41=""),EOMONTH(DATE(EINSTELLUNG!$C$35,$A$1,1),0),I41)-MAX(D41,DATE(EINSTELLUNG!$C$35,$A$1,1))+1)/DAY(EOMONTH(DATE(EINSTELLUNG!$C$35,$A$1,1),0))*F41,2),"")</f>
        <v>86.5</v>
      </c>
      <c r="I41" s="81"/>
      <c r="J41" s="82"/>
      <c r="K41" s="321">
        <f t="shared" si="1"/>
        <v>0</v>
      </c>
      <c r="L41" s="32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17" t="s">
        <v>110</v>
      </c>
      <c r="P41" s="337"/>
      <c r="Q41" s="338">
        <f>IF(Q13=0, 0, Q38/Q13)</f>
        <v>4.6712527988589683</v>
      </c>
      <c r="R41" s="338"/>
      <c r="S41" s="338">
        <f>IF(Q13=0, 0, S38/Q13)</f>
        <v>4.8269612254876009</v>
      </c>
      <c r="T41" s="338"/>
      <c r="U41" s="338">
        <f t="shared" si="2"/>
        <v>0.1557084266286326</v>
      </c>
      <c r="V41" s="339"/>
    </row>
    <row r="42" spans="1:22" ht="22" customHeight="1">
      <c r="A42" s="402" t="s">
        <v>111</v>
      </c>
      <c r="B42" s="128">
        <v>401738</v>
      </c>
      <c r="C42" s="69" t="s">
        <v>267</v>
      </c>
      <c r="D42" s="70">
        <v>45909</v>
      </c>
      <c r="E42" s="71" t="s">
        <v>2</v>
      </c>
      <c r="F42" s="72">
        <v>86.5</v>
      </c>
      <c r="G42" s="321">
        <f>IF(OR(E42="",F42=""),"",PID_KVLohnLookup($A$1,E42,F42,LOHNTABELLE!$H$4))</f>
        <v>2152</v>
      </c>
      <c r="H42" s="322">
        <f>IF(AND(ISNUMBER(D42),ISNUMBER(F42)),ROUNDDOWN(MIN(IF(OR(ISBLANK(I42),I42=""),EOMONTH(DATE(EINSTELLUNG!$C$35,$A$1,1),0),I42)-MAX(D42,DATE(EINSTELLUNG!$C$35,$A$1,1))+1)/DAY(EOMONTH(DATE(EINSTELLUNG!$C$35,$A$1,1),0))*F42,2),"")</f>
        <v>86.5</v>
      </c>
      <c r="I42" s="73"/>
      <c r="J42" s="74"/>
      <c r="K42" s="321">
        <f t="shared" si="1"/>
        <v>0</v>
      </c>
      <c r="L42" s="32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18" t="s">
        <v>112</v>
      </c>
      <c r="P42" s="376"/>
      <c r="Q42" s="377">
        <f>IFERROR(Q17/Q8, 0)</f>
        <v>18.280128616822275</v>
      </c>
      <c r="R42" s="377"/>
      <c r="S42" s="377"/>
      <c r="T42" s="377"/>
      <c r="U42" s="377"/>
      <c r="V42" s="378"/>
    </row>
    <row r="43" spans="1:22" ht="22" customHeight="1">
      <c r="A43" s="402" t="s">
        <v>113</v>
      </c>
      <c r="B43" s="129">
        <v>401745</v>
      </c>
      <c r="C43" s="77" t="s">
        <v>271</v>
      </c>
      <c r="D43" s="78">
        <v>45934</v>
      </c>
      <c r="E43" s="79" t="s">
        <v>2</v>
      </c>
      <c r="F43" s="80">
        <v>86.5</v>
      </c>
      <c r="G43" s="321">
        <f>IF(OR(E43="",F43=""),"",PID_KVLohnLookup($A$1,E43,F43,LOHNTABELLE!$H$4))</f>
        <v>2152</v>
      </c>
      <c r="H43" s="322">
        <f>IF(AND(ISNUMBER(D43),ISNUMBER(F43)),ROUNDDOWN(MIN(IF(OR(ISBLANK(I43),I43=""),EOMONTH(DATE(EINSTELLUNG!$C$35,$A$1,1),0),I43)-MAX(D43,DATE(EINSTELLUNG!$C$35,$A$1,1))+1)/DAY(EOMONTH(DATE(EINSTELLUNG!$C$35,$A$1,1),0))*F43,2),"")</f>
        <v>86.5</v>
      </c>
      <c r="I43" s="81"/>
      <c r="J43" s="82"/>
      <c r="K43" s="321">
        <f t="shared" si="1"/>
        <v>0</v>
      </c>
      <c r="L43" s="32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79"/>
      <c r="P43" s="379"/>
      <c r="Q43" s="379"/>
      <c r="R43" s="319"/>
      <c r="S43" s="319"/>
      <c r="T43" s="319"/>
      <c r="U43" s="319"/>
      <c r="V43" s="319"/>
    </row>
    <row r="44" spans="1:22" ht="22" customHeight="1">
      <c r="A44" s="402" t="s">
        <v>114</v>
      </c>
      <c r="B44" s="128">
        <v>401746</v>
      </c>
      <c r="C44" s="69" t="s">
        <v>270</v>
      </c>
      <c r="D44" s="70">
        <v>45941</v>
      </c>
      <c r="E44" s="71" t="s">
        <v>2</v>
      </c>
      <c r="F44" s="72">
        <v>86.5</v>
      </c>
      <c r="G44" s="321">
        <f>IF(OR(E44="",F44=""),"",PID_KVLohnLookup($A$1,E44,F44,LOHNTABELLE!$H$4))</f>
        <v>2152</v>
      </c>
      <c r="H44" s="322">
        <f>IF(AND(ISNUMBER(D44),ISNUMBER(F44)),ROUNDDOWN(MIN(IF(OR(ISBLANK(I44),I44=""),EOMONTH(DATE(EINSTELLUNG!$C$35,$A$1,1),0),I44)-MAX(D44,DATE(EINSTELLUNG!$C$35,$A$1,1))+1)/DAY(EOMONTH(DATE(EINSTELLUNG!$C$35,$A$1,1),0))*F44,2),"")</f>
        <v>86.5</v>
      </c>
      <c r="I44" s="73"/>
      <c r="J44" s="74"/>
      <c r="K44" s="321">
        <f t="shared" si="1"/>
        <v>0</v>
      </c>
      <c r="L44" s="32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80" t="s">
        <v>115</v>
      </c>
      <c r="P44" s="380"/>
      <c r="Q44" s="380"/>
      <c r="R44" s="380"/>
      <c r="S44" s="380"/>
      <c r="T44" s="380"/>
      <c r="U44" s="380"/>
      <c r="V44" s="380"/>
    </row>
    <row r="45" spans="1:22" ht="22" customHeight="1">
      <c r="A45" s="402" t="s">
        <v>116</v>
      </c>
      <c r="B45" s="129">
        <v>401747</v>
      </c>
      <c r="C45" s="77" t="s">
        <v>268</v>
      </c>
      <c r="D45" s="78">
        <v>45941</v>
      </c>
      <c r="E45" s="79" t="s">
        <v>2</v>
      </c>
      <c r="F45" s="80">
        <v>86.5</v>
      </c>
      <c r="G45" s="321">
        <f>IF(OR(E45="",F45=""),"",PID_KVLohnLookup($A$1,E45,F45,LOHNTABELLE!$H$4))</f>
        <v>2152</v>
      </c>
      <c r="H45" s="322">
        <f>IF(AND(ISNUMBER(D45),ISNUMBER(F45)),ROUNDDOWN(MIN(IF(OR(ISBLANK(I45),I45=""),EOMONTH(DATE(EINSTELLUNG!$C$35,$A$1,1),0),I45)-MAX(D45,DATE(EINSTELLUNG!$C$35,$A$1,1))+1)/DAY(EOMONTH(DATE(EINSTELLUNG!$C$35,$A$1,1),0))*F45,2),"")</f>
        <v>86.5</v>
      </c>
      <c r="I45" s="81"/>
      <c r="J45" s="82"/>
      <c r="K45" s="321">
        <f t="shared" si="1"/>
        <v>0</v>
      </c>
      <c r="L45" s="32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81"/>
      <c r="P45" s="381"/>
      <c r="Q45" s="381"/>
      <c r="R45" s="382"/>
      <c r="S45" s="382"/>
      <c r="T45" s="382"/>
      <c r="U45" s="382"/>
      <c r="V45" s="319"/>
    </row>
    <row r="46" spans="1:22" ht="22" customHeight="1">
      <c r="A46" s="402" t="s">
        <v>117</v>
      </c>
      <c r="B46" s="128">
        <v>401748</v>
      </c>
      <c r="C46" s="69" t="s">
        <v>269</v>
      </c>
      <c r="D46" s="70">
        <v>45941</v>
      </c>
      <c r="E46" s="71" t="s">
        <v>2</v>
      </c>
      <c r="F46" s="72">
        <v>86.5</v>
      </c>
      <c r="G46" s="321">
        <f>IF(OR(E46="",F46=""),"",PID_KVLohnLookup($A$1,E46,F46,LOHNTABELLE!$H$4))</f>
        <v>2152</v>
      </c>
      <c r="H46" s="322">
        <f>IF(AND(ISNUMBER(D46),ISNUMBER(F46)),ROUNDDOWN(MIN(IF(OR(ISBLANK(I46),I46=""),EOMONTH(DATE(EINSTELLUNG!$C$35,$A$1,1),0),I46)-MAX(D46,DATE(EINSTELLUNG!$C$35,$A$1,1))+1)/DAY(EOMONTH(DATE(EINSTELLUNG!$C$35,$A$1,1),0))*F46,2),"")</f>
        <v>86.5</v>
      </c>
      <c r="I46" s="73"/>
      <c r="J46" s="74"/>
      <c r="K46" s="321">
        <f t="shared" si="1"/>
        <v>0</v>
      </c>
      <c r="L46" s="32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19"/>
      <c r="P46" s="319"/>
      <c r="Q46" s="319"/>
      <c r="R46" s="319"/>
      <c r="S46" s="319"/>
      <c r="T46" s="319"/>
      <c r="U46" s="319"/>
      <c r="V46" s="319"/>
    </row>
    <row r="47" spans="1:22" ht="22" customHeight="1">
      <c r="A47" s="402" t="s">
        <v>118</v>
      </c>
      <c r="B47" s="129">
        <v>401751</v>
      </c>
      <c r="C47" s="77" t="s">
        <v>272</v>
      </c>
      <c r="D47" s="78">
        <v>45961</v>
      </c>
      <c r="E47" s="79" t="s">
        <v>2</v>
      </c>
      <c r="F47" s="80">
        <v>86.5</v>
      </c>
      <c r="G47" s="321">
        <f>IF(OR(E47="",F47=""),"",PID_KVLohnLookup($A$1,E47,F47,LOHNTABELLE!$H$4))</f>
        <v>2152</v>
      </c>
      <c r="H47" s="322">
        <f>IF(AND(ISNUMBER(D47),ISNUMBER(F47)),ROUNDDOWN(MIN(IF(OR(ISBLANK(I47),I47=""),EOMONTH(DATE(EINSTELLUNG!$C$35,$A$1,1),0),I47)-MAX(D47,DATE(EINSTELLUNG!$C$35,$A$1,1))+1)/DAY(EOMONTH(DATE(EINSTELLUNG!$C$35,$A$1,1),0))*F47,2),"")</f>
        <v>86.5</v>
      </c>
      <c r="I47" s="81"/>
      <c r="J47" s="82"/>
      <c r="K47" s="321">
        <f t="shared" si="1"/>
        <v>0</v>
      </c>
      <c r="L47" s="32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19"/>
      <c r="P47" s="319"/>
      <c r="Q47" s="319"/>
      <c r="R47" s="319"/>
      <c r="S47" s="319"/>
      <c r="T47" s="319"/>
      <c r="U47" s="319"/>
      <c r="V47" s="319"/>
    </row>
    <row r="48" spans="1:22" ht="22" customHeight="1">
      <c r="A48" s="402" t="s">
        <v>119</v>
      </c>
      <c r="B48" s="128">
        <v>401752</v>
      </c>
      <c r="C48" s="69" t="s">
        <v>273</v>
      </c>
      <c r="D48" s="70">
        <v>45986</v>
      </c>
      <c r="E48" s="71" t="s">
        <v>2</v>
      </c>
      <c r="F48" s="72">
        <v>86.5</v>
      </c>
      <c r="G48" s="321">
        <f>IF(OR(E48="",F48=""),"",PID_KVLohnLookup($A$1,E48,F48,LOHNTABELLE!$H$4))</f>
        <v>2152</v>
      </c>
      <c r="H48" s="322">
        <f>IF(AND(ISNUMBER(D48),ISNUMBER(F48)),ROUNDDOWN(MIN(IF(OR(ISBLANK(I48),I48=""),EOMONTH(DATE(EINSTELLUNG!$C$35,$A$1,1),0),I48)-MAX(D48,DATE(EINSTELLUNG!$C$35,$A$1,1))+1)/DAY(EOMONTH(DATE(EINSTELLUNG!$C$35,$A$1,1),0))*F48,2),"")</f>
        <v>86.5</v>
      </c>
      <c r="I48" s="73"/>
      <c r="J48" s="74"/>
      <c r="K48" s="321">
        <f t="shared" si="1"/>
        <v>0</v>
      </c>
      <c r="L48" s="32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19"/>
      <c r="P48" s="319"/>
      <c r="Q48" s="319"/>
      <c r="R48" s="319"/>
      <c r="S48" s="319"/>
      <c r="T48" s="319"/>
      <c r="U48" s="319"/>
      <c r="V48" s="319"/>
    </row>
    <row r="49" spans="1:22" ht="22" customHeight="1">
      <c r="A49" s="402" t="s">
        <v>120</v>
      </c>
      <c r="B49" s="129">
        <v>401999</v>
      </c>
      <c r="C49" s="77" t="s">
        <v>423</v>
      </c>
      <c r="D49" s="78">
        <v>46041</v>
      </c>
      <c r="E49" s="79" t="s">
        <v>2</v>
      </c>
      <c r="F49" s="80">
        <v>151.38</v>
      </c>
      <c r="G49" s="321">
        <f>IF(OR(E49="",F49=""),"",PID_KVLohnLookup($A$1,E49,F49,LOHNTABELLE!$H$4))</f>
        <v>2500</v>
      </c>
      <c r="H49" s="322">
        <f>IF(AND(ISNUMBER(D49),ISNUMBER(F49)),ROUNDDOWN(MIN(IF(OR(ISBLANK(I49),I49=""),EOMONTH(DATE(EINSTELLUNG!$C$35,$A$1,1),0),I49)-MAX(D49,DATE(EINSTELLUNG!$C$35,$A$1,1))+1)/DAY(EOMONTH(DATE(EINSTELLUNG!$C$35,$A$1,1),0))*F49,2),"")</f>
        <v>151.38</v>
      </c>
      <c r="I49" s="81"/>
      <c r="J49" s="82"/>
      <c r="K49" s="321">
        <f t="shared" si="1"/>
        <v>0</v>
      </c>
      <c r="L49" s="32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19"/>
      <c r="P49" s="319"/>
      <c r="Q49" s="319"/>
      <c r="R49" s="319"/>
      <c r="S49" s="319"/>
      <c r="T49" s="319"/>
      <c r="U49" s="319"/>
      <c r="V49" s="319"/>
    </row>
    <row r="50" spans="1:22" ht="22" customHeight="1">
      <c r="A50" s="402" t="s">
        <v>121</v>
      </c>
      <c r="B50" s="128">
        <v>401999</v>
      </c>
      <c r="C50" s="69" t="s">
        <v>295</v>
      </c>
      <c r="D50" s="73">
        <v>46082</v>
      </c>
      <c r="E50" s="71" t="s">
        <v>2</v>
      </c>
      <c r="F50" s="72">
        <v>173</v>
      </c>
      <c r="G50" s="321">
        <f>IF(OR(E50="",F50=""),"",PID_KVLohnLookup($A$1,E50,F50,LOHNTABELLE!$H$4))</f>
        <v>2900</v>
      </c>
      <c r="H50" s="322">
        <f>IF(AND(ISNUMBER(D50),ISNUMBER(F50)),ROUNDDOWN(MIN(IF(OR(ISBLANK(I50),I50=""),EOMONTH(DATE(EINSTELLUNG!$C$35,$A$1,1),0),I50)-MAX(D50,DATE(EINSTELLUNG!$C$35,$A$1,1))+1)/DAY(EOMONTH(DATE(EINSTELLUNG!$C$35,$A$1,1),0))*F50,2),"")</f>
        <v>173</v>
      </c>
      <c r="I50" s="73"/>
      <c r="J50" s="74"/>
      <c r="K50" s="321">
        <f t="shared" si="1"/>
        <v>0</v>
      </c>
      <c r="L50" s="32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19"/>
      <c r="P50" s="319"/>
      <c r="Q50" s="319"/>
      <c r="R50" s="319"/>
      <c r="S50" s="319"/>
      <c r="T50" s="319"/>
      <c r="U50" s="319"/>
      <c r="V50" s="319"/>
    </row>
    <row r="51" spans="1:22" ht="22" customHeight="1">
      <c r="A51" s="402" t="s">
        <v>122</v>
      </c>
      <c r="B51" s="129">
        <v>402000</v>
      </c>
      <c r="C51" s="77" t="s">
        <v>298</v>
      </c>
      <c r="D51" s="81">
        <v>46143</v>
      </c>
      <c r="E51" s="79" t="s">
        <v>2</v>
      </c>
      <c r="F51" s="80">
        <v>173</v>
      </c>
      <c r="G51" s="321">
        <f>IF(OR(E51="",F51=""),"",PID_KVLohnLookup($A$1,E51,F51,LOHNTABELLE!$H$4))</f>
        <v>2900</v>
      </c>
      <c r="H51" s="322">
        <f>IF(AND(ISNUMBER(D51),ISNUMBER(F51)),ROUNDDOWN(MIN(IF(OR(ISBLANK(I51),I51=""),EOMONTH(DATE(EINSTELLUNG!$C$35,$A$1,1),0),I51)-MAX(D51,DATE(EINSTELLUNG!$C$35,$A$1,1))+1)/DAY(EOMONTH(DATE(EINSTELLUNG!$C$35,$A$1,1),0))*F51,2),"")</f>
        <v>173</v>
      </c>
      <c r="I51" s="81"/>
      <c r="J51" s="82"/>
      <c r="K51" s="321">
        <f t="shared" si="1"/>
        <v>0</v>
      </c>
      <c r="L51" s="32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402" t="s">
        <v>123</v>
      </c>
      <c r="B52" s="128">
        <v>402004</v>
      </c>
      <c r="C52" s="69" t="s">
        <v>299</v>
      </c>
      <c r="D52" s="73">
        <v>46122</v>
      </c>
      <c r="E52" s="71" t="s">
        <v>2</v>
      </c>
      <c r="F52" s="72">
        <v>173</v>
      </c>
      <c r="G52" s="321">
        <f>IF(OR(E52="",F52=""),"",PID_KVLohnLookup($A$1,E52,F52,LOHNTABELLE!$H$4))</f>
        <v>2900</v>
      </c>
      <c r="H52" s="322">
        <f>IF(AND(ISNUMBER(D52),ISNUMBER(F52)),ROUNDDOWN(MIN(IF(OR(ISBLANK(I52),I52=""),EOMONTH(DATE(EINSTELLUNG!$C$35,$A$1,1),0),I52)-MAX(D52,DATE(EINSTELLUNG!$C$35,$A$1,1))+1)/DAY(EOMONTH(DATE(EINSTELLUNG!$C$35,$A$1,1),0))*F52,2),"")</f>
        <v>173</v>
      </c>
      <c r="I52" s="73"/>
      <c r="J52" s="74"/>
      <c r="K52" s="321">
        <f t="shared" si="1"/>
        <v>0</v>
      </c>
      <c r="L52" s="32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02" t="s">
        <v>124</v>
      </c>
      <c r="B53" s="129">
        <v>402405</v>
      </c>
      <c r="C53" s="77" t="s">
        <v>301</v>
      </c>
      <c r="D53" s="81">
        <v>46054</v>
      </c>
      <c r="E53" s="79" t="s">
        <v>2</v>
      </c>
      <c r="F53" s="80">
        <v>173</v>
      </c>
      <c r="G53" s="321">
        <f>IF(OR(E53="",F53=""),"",PID_KVLohnLookup($A$1,E53,F53,LOHNTABELLE!$H$4))</f>
        <v>2900</v>
      </c>
      <c r="H53" s="322">
        <f>IF(AND(ISNUMBER(D53),ISNUMBER(F53)),ROUNDDOWN(MIN(IF(OR(ISBLANK(I53),I53=""),EOMONTH(DATE(EINSTELLUNG!$C$35,$A$1,1),0),I53)-MAX(D53,DATE(EINSTELLUNG!$C$35,$A$1,1))+1)/DAY(EOMONTH(DATE(EINSTELLUNG!$C$35,$A$1,1),0))*F53,2),"")</f>
        <v>-284.61</v>
      </c>
      <c r="I53" s="81">
        <v>46305</v>
      </c>
      <c r="J53" s="82">
        <v>2</v>
      </c>
      <c r="K53" s="321">
        <f t="shared" si="1"/>
        <v>207.14285714285714</v>
      </c>
      <c r="L53" s="323"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02" t="s">
        <v>125</v>
      </c>
      <c r="B54" s="128">
        <v>500600</v>
      </c>
      <c r="C54" s="69" t="s">
        <v>305</v>
      </c>
      <c r="D54" s="73">
        <v>46054</v>
      </c>
      <c r="E54" s="71" t="s">
        <v>2</v>
      </c>
      <c r="F54" s="72">
        <v>173</v>
      </c>
      <c r="G54" s="321">
        <f>IF(OR(E54="",F54=""),"",PID_KVLohnLookup($A$1,E54,F54,LOHNTABELLE!$H$4))</f>
        <v>2900</v>
      </c>
      <c r="H54" s="322">
        <f>IF(AND(ISNUMBER(D54),ISNUMBER(F54)),ROUNDDOWN(MIN(IF(OR(ISBLANK(I54),I54=""),EOMONTH(DATE(EINSTELLUNG!$C$35,$A$1,1),0),I54)-MAX(D54,DATE(EINSTELLUNG!$C$35,$A$1,1))+1)/DAY(EOMONTH(DATE(EINSTELLUNG!$C$35,$A$1,1),0))*F54,2),"")</f>
        <v>173</v>
      </c>
      <c r="I54" s="73"/>
      <c r="J54" s="74"/>
      <c r="K54" s="321">
        <f t="shared" si="1"/>
        <v>0</v>
      </c>
      <c r="L54" s="32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2" t="s">
        <v>126</v>
      </c>
      <c r="B55" s="129">
        <v>502000</v>
      </c>
      <c r="C55" s="77" t="s">
        <v>300</v>
      </c>
      <c r="D55" s="81">
        <v>46147</v>
      </c>
      <c r="E55" s="79" t="s">
        <v>2</v>
      </c>
      <c r="F55" s="80">
        <v>173</v>
      </c>
      <c r="G55" s="321">
        <f>IF(OR(E55="",F55=""),"",PID_KVLohnLookup($A$1,E55,F55,LOHNTABELLE!$H$4))</f>
        <v>2900</v>
      </c>
      <c r="H55" s="322">
        <f>IF(AND(ISNUMBER(D55),ISNUMBER(F55)),ROUNDDOWN(MIN(IF(OR(ISBLANK(I55),I55=""),EOMONTH(DATE(EINSTELLUNG!$C$35,$A$1,1),0),I55)-MAX(D55,DATE(EINSTELLUNG!$C$35,$A$1,1))+1)/DAY(EOMONTH(DATE(EINSTELLUNG!$C$35,$A$1,1),0))*F55,2),"")</f>
        <v>173</v>
      </c>
      <c r="I55" s="81"/>
      <c r="J55" s="82"/>
      <c r="K55" s="321">
        <f t="shared" si="1"/>
        <v>0</v>
      </c>
      <c r="L55" s="32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2" t="s">
        <v>127</v>
      </c>
      <c r="B56" s="128">
        <v>503000</v>
      </c>
      <c r="C56" s="69" t="s">
        <v>302</v>
      </c>
      <c r="D56" s="73">
        <v>42401</v>
      </c>
      <c r="E56" s="71" t="s">
        <v>2</v>
      </c>
      <c r="F56" s="72">
        <v>173</v>
      </c>
      <c r="G56" s="321">
        <f>IF(OR(E56="",F56=""),"",PID_KVLohnLookup($A$1,E56,F56,LOHNTABELLE!$H$4))</f>
        <v>2900</v>
      </c>
      <c r="H56" s="322">
        <f>IF(AND(ISNUMBER(D56),ISNUMBER(F56)),ROUNDDOWN(MIN(IF(OR(ISBLANK(I56),I56=""),EOMONTH(DATE(EINSTELLUNG!$C$35,$A$1,1),0),I56)-MAX(D56,DATE(EINSTELLUNG!$C$35,$A$1,1))+1)/DAY(EOMONTH(DATE(EINSTELLUNG!$C$35,$A$1,1),0))*F56,2),"")</f>
        <v>173</v>
      </c>
      <c r="I56" s="73"/>
      <c r="J56" s="74"/>
      <c r="K56" s="321">
        <f t="shared" si="1"/>
        <v>0</v>
      </c>
      <c r="L56" s="32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2" t="s">
        <v>128</v>
      </c>
      <c r="B57" s="129">
        <v>504000</v>
      </c>
      <c r="C57" s="77" t="s">
        <v>303</v>
      </c>
      <c r="D57" s="81">
        <v>46054</v>
      </c>
      <c r="E57" s="79" t="s">
        <v>3</v>
      </c>
      <c r="F57" s="80">
        <v>138.4</v>
      </c>
      <c r="G57" s="321">
        <f>IF(OR(E57="",F57=""),"",PID_KVLohnLookup($A$1,E57,F57,LOHNTABELLE!$H$4))</f>
        <v>1665.6</v>
      </c>
      <c r="H57" s="322">
        <f>IF(AND(ISNUMBER(D57),ISNUMBER(F57)),ROUNDDOWN(MIN(IF(OR(ISBLANK(I57),I57=""),EOMONTH(DATE(EINSTELLUNG!$C$35,$A$1,1),0),I57)-MAX(D57,DATE(EINSTELLUNG!$C$35,$A$1,1))+1)/DAY(EOMONTH(DATE(EINSTELLUNG!$C$35,$A$1,1),0))*F57,2),"")</f>
        <v>138.4</v>
      </c>
      <c r="I57" s="81"/>
      <c r="J57" s="82"/>
      <c r="K57" s="321">
        <f t="shared" si="1"/>
        <v>0</v>
      </c>
      <c r="L57" s="32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2" t="s">
        <v>129</v>
      </c>
      <c r="B58" s="128">
        <v>505000</v>
      </c>
      <c r="C58" s="69" t="s">
        <v>304</v>
      </c>
      <c r="D58" s="73">
        <v>46054</v>
      </c>
      <c r="E58" s="71" t="s">
        <v>2</v>
      </c>
      <c r="F58" s="72">
        <v>138.4</v>
      </c>
      <c r="G58" s="321">
        <f>IF(OR(E58="",F58=""),"",PID_KVLohnLookup($A$1,E58,F58,LOHNTABELLE!$H$4))</f>
        <v>2400</v>
      </c>
      <c r="H58" s="322">
        <f>IF(AND(ISNUMBER(D58),ISNUMBER(F58)),ROUNDDOWN(MIN(IF(OR(ISBLANK(I58),I58=""),EOMONTH(DATE(EINSTELLUNG!$C$35,$A$1,1),0),I58)-MAX(D58,DATE(EINSTELLUNG!$C$35,$A$1,1))+1)/DAY(EOMONTH(DATE(EINSTELLUNG!$C$35,$A$1,1),0))*F58,2),"")</f>
        <v>138.4</v>
      </c>
      <c r="I58" s="73"/>
      <c r="J58" s="74"/>
      <c r="K58" s="321">
        <f t="shared" si="1"/>
        <v>0</v>
      </c>
      <c r="L58" s="32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2" t="s">
        <v>130</v>
      </c>
      <c r="B59" s="129">
        <v>525025</v>
      </c>
      <c r="C59" s="77" t="s">
        <v>425</v>
      </c>
      <c r="D59" s="81">
        <v>46040</v>
      </c>
      <c r="E59" s="79" t="s">
        <v>2</v>
      </c>
      <c r="F59" s="80">
        <v>129.75</v>
      </c>
      <c r="G59" s="321">
        <f>IF(OR(E59="",F59=""),"",PID_KVLohnLookup($A$1,E59,F59,LOHNTABELLE!$H$4))</f>
        <v>2300</v>
      </c>
      <c r="H59" s="322">
        <f>IF(AND(ISNUMBER(D59),ISNUMBER(F59)),ROUNDDOWN(MIN(IF(OR(ISBLANK(I59),I59=""),EOMONTH(DATE(EINSTELLUNG!$C$35,$A$1,1),0),I59)-MAX(D59,DATE(EINSTELLUNG!$C$35,$A$1,1))+1)/DAY(EOMONTH(DATE(EINSTELLUNG!$C$35,$A$1,1),0))*F59,2),"")</f>
        <v>129.75</v>
      </c>
      <c r="I59" s="81"/>
      <c r="J59" s="82"/>
      <c r="K59" s="321">
        <f t="shared" si="1"/>
        <v>0</v>
      </c>
      <c r="L59" s="32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02" t="s">
        <v>131</v>
      </c>
      <c r="B60" s="128">
        <v>700000</v>
      </c>
      <c r="C60" s="69" t="s">
        <v>312</v>
      </c>
      <c r="D60" s="73">
        <v>46054</v>
      </c>
      <c r="E60" s="71" t="s">
        <v>2</v>
      </c>
      <c r="F60" s="72">
        <v>173</v>
      </c>
      <c r="G60" s="321">
        <f>IF(OR(E60="",F60=""),"",PID_KVLohnLookup($A$1,E60,F60,LOHNTABELLE!$H$4))</f>
        <v>2900</v>
      </c>
      <c r="H60" s="322">
        <f>IF(AND(ISNUMBER(D60),ISNUMBER(F60)),ROUNDDOWN(MIN(IF(OR(ISBLANK(I60),I60=""),EOMONTH(DATE(EINSTELLUNG!$C$35,$A$1,1),0),I60)-MAX(D60,DATE(EINSTELLUNG!$C$35,$A$1,1))+1)/DAY(EOMONTH(DATE(EINSTELLUNG!$C$35,$A$1,1),0))*F60,2),"")</f>
        <v>173</v>
      </c>
      <c r="I60" s="73"/>
      <c r="J60" s="74"/>
      <c r="K60" s="321">
        <f t="shared" si="1"/>
        <v>0</v>
      </c>
      <c r="L60" s="32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02" t="s">
        <v>132</v>
      </c>
      <c r="B61" s="129">
        <v>800000</v>
      </c>
      <c r="C61" s="77" t="s">
        <v>313</v>
      </c>
      <c r="D61" s="81">
        <v>46096</v>
      </c>
      <c r="E61" s="79" t="s">
        <v>2</v>
      </c>
      <c r="F61" s="80">
        <v>173</v>
      </c>
      <c r="G61" s="321">
        <f>IF(OR(E61="",F61=""),"",PID_KVLohnLookup($A$1,E61,F61,LOHNTABELLE!$H$4))</f>
        <v>2900</v>
      </c>
      <c r="H61" s="322">
        <f>IF(AND(ISNUMBER(D61),ISNUMBER(F61)),ROUNDDOWN(MIN(IF(OR(ISBLANK(I61),I61=""),EOMONTH(DATE(EINSTELLUNG!$C$35,$A$1,1),0),I61)-MAX(D61,DATE(EINSTELLUNG!$C$35,$A$1,1))+1)/DAY(EOMONTH(DATE(EINSTELLUNG!$C$35,$A$1,1),0))*F61,2),"")</f>
        <v>-83.7</v>
      </c>
      <c r="I61" s="81">
        <v>46341</v>
      </c>
      <c r="J61" s="82"/>
      <c r="K61" s="321">
        <f t="shared" si="1"/>
        <v>0</v>
      </c>
      <c r="L61" s="32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t="s">
        <v>186</v>
      </c>
    </row>
    <row r="62" spans="1:22" ht="22" customHeight="1">
      <c r="A62" s="402" t="s">
        <v>133</v>
      </c>
      <c r="B62" s="128"/>
      <c r="C62" s="69"/>
      <c r="D62" s="73"/>
      <c r="E62" s="71"/>
      <c r="F62" s="72"/>
      <c r="G62" s="321" t="str">
        <f>IF(OR(E62="",F62=""),"",PID_KVLohnLookup($A$1,E62,F62,LOHNTABELLE!$H$4))</f>
        <v/>
      </c>
      <c r="H62" s="322" t="str">
        <f>IF(AND(ISNUMBER(D62),ISNUMBER(F62)),ROUNDDOWN(MIN(IF(OR(ISBLANK(I62),I62=""),EOMONTH(DATE(EINSTELLUNG!$C$35,$A$1,1),0),I62)-MAX(D62,DATE(EINSTELLUNG!$C$35,$A$1,1))+1)/DAY(EOMONTH(DATE(EINSTELLUNG!$C$35,$A$1,1),0))*F62,2),"")</f>
        <v/>
      </c>
      <c r="I62" s="73"/>
      <c r="J62" s="74"/>
      <c r="K62" s="321">
        <f t="shared" si="1"/>
        <v>0</v>
      </c>
      <c r="L62" s="32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2" t="s">
        <v>134</v>
      </c>
      <c r="B63" s="129"/>
      <c r="C63" s="77"/>
      <c r="D63" s="81"/>
      <c r="E63" s="79"/>
      <c r="F63" s="80"/>
      <c r="G63" s="321" t="str">
        <f>IF(OR(E63="",F63=""),"",PID_KVLohnLookup($A$1,E63,F63,LOHNTABELLE!$H$4))</f>
        <v/>
      </c>
      <c r="H63" s="322" t="str">
        <f>IF(AND(ISNUMBER(D63),ISNUMBER(F63)),ROUNDDOWN(MIN(IF(OR(ISBLANK(I63),I63=""),EOMONTH(DATE(EINSTELLUNG!$C$35,$A$1,1),0),I63)-MAX(D63,DATE(EINSTELLUNG!$C$35,$A$1,1))+1)/DAY(EOMONTH(DATE(EINSTELLUNG!$C$35,$A$1,1),0))*F63,2),"")</f>
        <v/>
      </c>
      <c r="I63" s="81"/>
      <c r="J63" s="82"/>
      <c r="K63" s="321">
        <f t="shared" si="1"/>
        <v>0</v>
      </c>
      <c r="L63" s="32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2" t="s">
        <v>135</v>
      </c>
      <c r="B64" s="128"/>
      <c r="C64" s="69"/>
      <c r="D64" s="73"/>
      <c r="E64" s="71"/>
      <c r="F64" s="72"/>
      <c r="G64" s="321" t="str">
        <f>IF(OR(E64="",F64=""),"",PID_KVLohnLookup($A$1,E64,F64,LOHNTABELLE!$H$4))</f>
        <v/>
      </c>
      <c r="H64" s="322" t="str">
        <f>IF(AND(ISNUMBER(D64),ISNUMBER(F64)),ROUNDDOWN(MIN(IF(OR(ISBLANK(I64),I64=""),EOMONTH(DATE(EINSTELLUNG!$C$35,$A$1,1),0),I64)-MAX(D64,DATE(EINSTELLUNG!$C$35,$A$1,1))+1)/DAY(EOMONTH(DATE(EINSTELLUNG!$C$35,$A$1,1),0))*F64,2),"")</f>
        <v/>
      </c>
      <c r="I64" s="73"/>
      <c r="J64" s="74"/>
      <c r="K64" s="321">
        <f t="shared" si="1"/>
        <v>0</v>
      </c>
      <c r="L64" s="32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2" t="s">
        <v>136</v>
      </c>
      <c r="B65" s="129"/>
      <c r="C65" s="77"/>
      <c r="D65" s="81"/>
      <c r="E65" s="79"/>
      <c r="F65" s="80"/>
      <c r="G65" s="321" t="str">
        <f>IF(OR(E65="",F65=""),"",PID_KVLohnLookup($A$1,E65,F65,LOHNTABELLE!$H$4))</f>
        <v/>
      </c>
      <c r="H65" s="322" t="str">
        <f>IF(AND(ISNUMBER(D65),ISNUMBER(F65)),ROUNDDOWN(MIN(IF(OR(ISBLANK(I65),I65=""),EOMONTH(DATE(EINSTELLUNG!$C$35,$A$1,1),0),I65)-MAX(D65,DATE(EINSTELLUNG!$C$35,$A$1,1))+1)/DAY(EOMONTH(DATE(EINSTELLUNG!$C$35,$A$1,1),0))*F65,2),"")</f>
        <v/>
      </c>
      <c r="I65" s="81"/>
      <c r="J65" s="82"/>
      <c r="K65" s="321">
        <f t="shared" si="1"/>
        <v>0</v>
      </c>
      <c r="L65" s="32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2" t="s">
        <v>137</v>
      </c>
      <c r="B66" s="128"/>
      <c r="C66" s="69"/>
      <c r="D66" s="73"/>
      <c r="E66" s="71"/>
      <c r="F66" s="72"/>
      <c r="G66" s="321" t="str">
        <f>IF(OR(E66="",F66=""),"",PID_KVLohnLookup($A$1,E66,F66,LOHNTABELLE!$H$4))</f>
        <v/>
      </c>
      <c r="H66" s="322" t="str">
        <f>IF(AND(ISNUMBER(D66),ISNUMBER(F66)),ROUNDDOWN(MIN(IF(OR(ISBLANK(I66),I66=""),EOMONTH(DATE(EINSTELLUNG!$C$35,$A$1,1),0),I66)-MAX(D66,DATE(EINSTELLUNG!$C$35,$A$1,1))+1)/DAY(EOMONTH(DATE(EINSTELLUNG!$C$35,$A$1,1),0))*F66,2),"")</f>
        <v/>
      </c>
      <c r="I66" s="73"/>
      <c r="J66" s="74"/>
      <c r="K66" s="321">
        <f t="shared" si="1"/>
        <v>0</v>
      </c>
      <c r="L66" s="32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2" t="s">
        <v>138</v>
      </c>
      <c r="B67" s="129"/>
      <c r="C67" s="77"/>
      <c r="D67" s="81"/>
      <c r="E67" s="79"/>
      <c r="F67" s="80"/>
      <c r="G67" s="321" t="str">
        <f>IF(OR(E67="",F67=""),"",PID_KVLohnLookup($A$1,E67,F67,LOHNTABELLE!$H$4))</f>
        <v/>
      </c>
      <c r="H67" s="322" t="str">
        <f>IF(AND(ISNUMBER(D67),ISNUMBER(F67)),ROUNDDOWN(MIN(IF(OR(ISBLANK(I67),I67=""),EOMONTH(DATE(EINSTELLUNG!$C$35,$A$1,1),0),I67)-MAX(D67,DATE(EINSTELLUNG!$C$35,$A$1,1))+1)/DAY(EOMONTH(DATE(EINSTELLUNG!$C$35,$A$1,1),0))*F67,2),"")</f>
        <v/>
      </c>
      <c r="I67" s="81"/>
      <c r="J67" s="82"/>
      <c r="K67" s="321">
        <f t="shared" ref="K67:K82" si="3">IFERROR(IF(OR(MONTH(D67)=1, MONTH(D67)=3, MONTH(D67)=5, MONTH(D67)=7, MONTH(D67)=8, MONTH(D67)=10, MONTH(D67)=12), (G67/31)*J67, IF(OR(MONTH(D67)=4, MONTH(D67)=6, MONTH(D67)=9, MONTH(D67)=11), (G67/30)*J67, (G67/DAY(EOMONTH(D67,0)))*J67)), 0)</f>
        <v>0</v>
      </c>
      <c r="L67" s="32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2" t="s">
        <v>139</v>
      </c>
      <c r="B68" s="128"/>
      <c r="C68" s="69"/>
      <c r="D68" s="73"/>
      <c r="E68" s="71"/>
      <c r="F68" s="72"/>
      <c r="G68" s="321" t="str">
        <f>IF(OR(E68="",F68=""),"",PID_KVLohnLookup($A$1,E68,F68,LOHNTABELLE!$H$4))</f>
        <v/>
      </c>
      <c r="H68" s="322" t="str">
        <f>IF(AND(ISNUMBER(D68),ISNUMBER(F68)),ROUNDDOWN(MIN(IF(OR(ISBLANK(I68),I68=""),EOMONTH(DATE(EINSTELLUNG!$C$35,$A$1,1),0),I68)-MAX(D68,DATE(EINSTELLUNG!$C$35,$A$1,1))+1)/DAY(EOMONTH(DATE(EINSTELLUNG!$C$35,$A$1,1),0))*F68,2),"")</f>
        <v/>
      </c>
      <c r="I68" s="73"/>
      <c r="J68" s="74"/>
      <c r="K68" s="321">
        <f t="shared" si="3"/>
        <v>0</v>
      </c>
      <c r="L68" s="32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2" t="s">
        <v>140</v>
      </c>
      <c r="B69" s="129"/>
      <c r="C69" s="77"/>
      <c r="D69" s="81"/>
      <c r="E69" s="79"/>
      <c r="F69" s="80"/>
      <c r="G69" s="321" t="str">
        <f>IF(OR(E69="",F69=""),"",PID_KVLohnLookup($A$1,E69,F69,LOHNTABELLE!$H$4))</f>
        <v/>
      </c>
      <c r="H69" s="322" t="str">
        <f>IF(AND(ISNUMBER(D69),ISNUMBER(F69)),ROUNDDOWN(MIN(IF(OR(ISBLANK(I69),I69=""),EOMONTH(DATE(EINSTELLUNG!$C$35,$A$1,1),0),I69)-MAX(D69,DATE(EINSTELLUNG!$C$35,$A$1,1))+1)/DAY(EOMONTH(DATE(EINSTELLUNG!$C$35,$A$1,1),0))*F69,2),"")</f>
        <v/>
      </c>
      <c r="I69" s="81"/>
      <c r="J69" s="82"/>
      <c r="K69" s="321">
        <f t="shared" si="3"/>
        <v>0</v>
      </c>
      <c r="L69" s="32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2" t="s">
        <v>141</v>
      </c>
      <c r="B70" s="128"/>
      <c r="C70" s="69"/>
      <c r="D70" s="73"/>
      <c r="E70" s="71"/>
      <c r="F70" s="72"/>
      <c r="G70" s="321" t="str">
        <f>IF(OR(E70="",F70=""),"",PID_KVLohnLookup($A$1,E70,F70,LOHNTABELLE!$H$4))</f>
        <v/>
      </c>
      <c r="H70" s="322" t="str">
        <f>IF(AND(ISNUMBER(D70),ISNUMBER(F70)),ROUNDDOWN(MIN(IF(OR(ISBLANK(I70),I70=""),EOMONTH(DATE(EINSTELLUNG!$C$35,$A$1,1),0),I70)-MAX(D70,DATE(EINSTELLUNG!$C$35,$A$1,1))+1)/DAY(EOMONTH(DATE(EINSTELLUNG!$C$35,$A$1,1),0))*F70,2),"")</f>
        <v/>
      </c>
      <c r="I70" s="73"/>
      <c r="J70" s="74"/>
      <c r="K70" s="321">
        <f t="shared" si="3"/>
        <v>0</v>
      </c>
      <c r="L70" s="32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2" t="s">
        <v>142</v>
      </c>
      <c r="B71" s="129"/>
      <c r="C71" s="77"/>
      <c r="D71" s="81"/>
      <c r="E71" s="79"/>
      <c r="F71" s="80"/>
      <c r="G71" s="321" t="str">
        <f>IF(OR(E71="",F71=""),"",PID_KVLohnLookup($A$1,E71,F71,LOHNTABELLE!$H$4))</f>
        <v/>
      </c>
      <c r="H71" s="322" t="str">
        <f>IF(AND(ISNUMBER(D71),ISNUMBER(F71)),ROUNDDOWN(MIN(IF(OR(ISBLANK(I71),I71=""),EOMONTH(DATE(EINSTELLUNG!$C$35,$A$1,1),0),I71)-MAX(D71,DATE(EINSTELLUNG!$C$35,$A$1,1))+1)/DAY(EOMONTH(DATE(EINSTELLUNG!$C$35,$A$1,1),0))*F71,2),"")</f>
        <v/>
      </c>
      <c r="I71" s="81"/>
      <c r="J71" s="82"/>
      <c r="K71" s="321">
        <f t="shared" si="3"/>
        <v>0</v>
      </c>
      <c r="L71" s="32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2" t="s">
        <v>143</v>
      </c>
      <c r="B72" s="128"/>
      <c r="C72" s="69"/>
      <c r="D72" s="73"/>
      <c r="E72" s="71"/>
      <c r="F72" s="72"/>
      <c r="G72" s="321" t="str">
        <f>IF(OR(E72="",F72=""),"",PID_KVLohnLookup($A$1,E72,F72,LOHNTABELLE!$H$4))</f>
        <v/>
      </c>
      <c r="H72" s="322" t="str">
        <f>IF(AND(ISNUMBER(D72),ISNUMBER(F72)),ROUNDDOWN(MIN(IF(OR(ISBLANK(I72),I72=""),EOMONTH(DATE(EINSTELLUNG!$C$35,$A$1,1),0),I72)-MAX(D72,DATE(EINSTELLUNG!$C$35,$A$1,1))+1)/DAY(EOMONTH(DATE(EINSTELLUNG!$C$35,$A$1,1),0))*F72,2),"")</f>
        <v/>
      </c>
      <c r="I72" s="73"/>
      <c r="J72" s="74"/>
      <c r="K72" s="321">
        <f t="shared" si="3"/>
        <v>0</v>
      </c>
      <c r="L72" s="32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2" t="s">
        <v>144</v>
      </c>
      <c r="B73" s="129"/>
      <c r="C73" s="77"/>
      <c r="D73" s="81"/>
      <c r="E73" s="79"/>
      <c r="F73" s="80"/>
      <c r="G73" s="321" t="str">
        <f>IF(OR(E73="",F73=""),"",PID_KVLohnLookup($A$1,E73,F73,LOHNTABELLE!$H$4))</f>
        <v/>
      </c>
      <c r="H73" s="322" t="str">
        <f>IF(AND(ISNUMBER(D73),ISNUMBER(F73)),ROUNDDOWN(MIN(IF(OR(ISBLANK(I73),I73=""),EOMONTH(DATE(EINSTELLUNG!$C$35,$A$1,1),0),I73)-MAX(D73,DATE(EINSTELLUNG!$C$35,$A$1,1))+1)/DAY(EOMONTH(DATE(EINSTELLUNG!$C$35,$A$1,1),0))*F73,2),"")</f>
        <v/>
      </c>
      <c r="I73" s="81"/>
      <c r="J73" s="82"/>
      <c r="K73" s="321">
        <f t="shared" si="3"/>
        <v>0</v>
      </c>
      <c r="L73" s="32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2" t="s">
        <v>145</v>
      </c>
      <c r="B74" s="128"/>
      <c r="C74" s="69"/>
      <c r="D74" s="73"/>
      <c r="E74" s="71"/>
      <c r="F74" s="72"/>
      <c r="G74" s="321" t="str">
        <f>IF(OR(E74="",F74=""),"",PID_KVLohnLookup($A$1,E74,F74,LOHNTABELLE!$H$4))</f>
        <v/>
      </c>
      <c r="H74" s="322" t="str">
        <f>IF(AND(ISNUMBER(D74),ISNUMBER(F74)),ROUNDDOWN(MIN(IF(OR(ISBLANK(I74),I74=""),EOMONTH(DATE(EINSTELLUNG!$C$35,$A$1,1),0),I74)-MAX(D74,DATE(EINSTELLUNG!$C$35,$A$1,1))+1)/DAY(EOMONTH(DATE(EINSTELLUNG!$C$35,$A$1,1),0))*F74,2),"")</f>
        <v/>
      </c>
      <c r="I74" s="73"/>
      <c r="J74" s="74"/>
      <c r="K74" s="321">
        <f t="shared" si="3"/>
        <v>0</v>
      </c>
      <c r="L74" s="32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2" t="s">
        <v>146</v>
      </c>
      <c r="B75" s="129"/>
      <c r="C75" s="77"/>
      <c r="D75" s="81"/>
      <c r="E75" s="79"/>
      <c r="F75" s="80"/>
      <c r="G75" s="321" t="str">
        <f>IF(OR(E75="",F75=""),"",PID_KVLohnLookup($A$1,E75,F75,LOHNTABELLE!$H$4))</f>
        <v/>
      </c>
      <c r="H75" s="322" t="str">
        <f>IF(AND(ISNUMBER(D75),ISNUMBER(F75)),ROUNDDOWN(MIN(IF(OR(ISBLANK(I75),I75=""),EOMONTH(DATE(EINSTELLUNG!$C$35,$A$1,1),0),I75)-MAX(D75,DATE(EINSTELLUNG!$C$35,$A$1,1))+1)/DAY(EOMONTH(DATE(EINSTELLUNG!$C$35,$A$1,1),0))*F75,2),"")</f>
        <v/>
      </c>
      <c r="I75" s="81"/>
      <c r="J75" s="82"/>
      <c r="K75" s="321">
        <f t="shared" si="3"/>
        <v>0</v>
      </c>
      <c r="L75" s="32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2" t="s">
        <v>147</v>
      </c>
      <c r="B76" s="128"/>
      <c r="C76" s="69"/>
      <c r="D76" s="73"/>
      <c r="E76" s="71"/>
      <c r="F76" s="72"/>
      <c r="G76" s="321" t="str">
        <f>IF(OR(E76="",F76=""),"",PID_KVLohnLookup($A$1,E76,F76,LOHNTABELLE!$H$4))</f>
        <v/>
      </c>
      <c r="H76" s="322" t="str">
        <f>IF(AND(ISNUMBER(D76),ISNUMBER(F76)),ROUNDDOWN(MIN(IF(OR(ISBLANK(I76),I76=""),EOMONTH(DATE(EINSTELLUNG!$C$35,$A$1,1),0),I76)-MAX(D76,DATE(EINSTELLUNG!$C$35,$A$1,1))+1)/DAY(EOMONTH(DATE(EINSTELLUNG!$C$35,$A$1,1),0))*F76,2),"")</f>
        <v/>
      </c>
      <c r="I76" s="73"/>
      <c r="J76" s="74"/>
      <c r="K76" s="321">
        <f t="shared" si="3"/>
        <v>0</v>
      </c>
      <c r="L76" s="32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2" t="s">
        <v>148</v>
      </c>
      <c r="B77" s="129"/>
      <c r="C77" s="77"/>
      <c r="D77" s="81"/>
      <c r="E77" s="79"/>
      <c r="F77" s="80"/>
      <c r="G77" s="321" t="str">
        <f>IF(OR(E77="",F77=""),"",PID_KVLohnLookup($A$1,E77,F77,LOHNTABELLE!$H$4))</f>
        <v/>
      </c>
      <c r="H77" s="322" t="str">
        <f>IF(AND(ISNUMBER(D77),ISNUMBER(F77)),ROUNDDOWN(MIN(IF(OR(ISBLANK(I77),I77=""),EOMONTH(DATE(EINSTELLUNG!$C$35,$A$1,1),0),I77)-MAX(D77,DATE(EINSTELLUNG!$C$35,$A$1,1))+1)/DAY(EOMONTH(DATE(EINSTELLUNG!$C$35,$A$1,1),0))*F77,2),"")</f>
        <v/>
      </c>
      <c r="I77" s="81"/>
      <c r="J77" s="82"/>
      <c r="K77" s="321">
        <f t="shared" si="3"/>
        <v>0</v>
      </c>
      <c r="L77" s="32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2" t="s">
        <v>149</v>
      </c>
      <c r="B78" s="128"/>
      <c r="C78" s="69"/>
      <c r="D78" s="73"/>
      <c r="E78" s="71"/>
      <c r="F78" s="72"/>
      <c r="G78" s="321" t="str">
        <f>IF(OR(E78="",F78=""),"",PID_KVLohnLookup($A$1,E78,F78,LOHNTABELLE!$H$4))</f>
        <v/>
      </c>
      <c r="H78" s="322" t="str">
        <f>IF(AND(ISNUMBER(D78),ISNUMBER(F78)),ROUNDDOWN(MIN(IF(OR(ISBLANK(I78),I78=""),EOMONTH(DATE(EINSTELLUNG!$C$35,$A$1,1),0),I78)-MAX(D78,DATE(EINSTELLUNG!$C$35,$A$1,1))+1)/DAY(EOMONTH(DATE(EINSTELLUNG!$C$35,$A$1,1),0))*F78,2),"")</f>
        <v/>
      </c>
      <c r="I78" s="73"/>
      <c r="J78" s="74"/>
      <c r="K78" s="321">
        <f t="shared" si="3"/>
        <v>0</v>
      </c>
      <c r="L78" s="32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2" t="s">
        <v>150</v>
      </c>
      <c r="B79" s="129"/>
      <c r="C79" s="77"/>
      <c r="D79" s="81"/>
      <c r="E79" s="79"/>
      <c r="F79" s="80"/>
      <c r="G79" s="321" t="str">
        <f>IF(OR(E79="",F79=""),"",PID_KVLohnLookup($A$1,E79,F79,LOHNTABELLE!$H$4))</f>
        <v/>
      </c>
      <c r="H79" s="322" t="str">
        <f>IF(AND(ISNUMBER(D79),ISNUMBER(F79)),ROUNDDOWN(MIN(IF(OR(ISBLANK(I79),I79=""),EOMONTH(DATE(EINSTELLUNG!$C$35,$A$1,1),0),I79)-MAX(D79,DATE(EINSTELLUNG!$C$35,$A$1,1))+1)/DAY(EOMONTH(DATE(EINSTELLUNG!$C$35,$A$1,1),0))*F79,2),"")</f>
        <v/>
      </c>
      <c r="I79" s="81"/>
      <c r="J79" s="82"/>
      <c r="K79" s="321">
        <f t="shared" si="3"/>
        <v>0</v>
      </c>
      <c r="L79" s="32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2" t="s">
        <v>151</v>
      </c>
      <c r="B80" s="128"/>
      <c r="C80" s="69"/>
      <c r="D80" s="73"/>
      <c r="E80" s="71"/>
      <c r="F80" s="72"/>
      <c r="G80" s="321" t="str">
        <f>IF(OR(E80="",F80=""),"",PID_KVLohnLookup($A$1,E80,F80,LOHNTABELLE!$H$4))</f>
        <v/>
      </c>
      <c r="H80" s="322" t="str">
        <f>IF(AND(ISNUMBER(D80),ISNUMBER(F80)),ROUNDDOWN(MIN(IF(OR(ISBLANK(I80),I80=""),EOMONTH(DATE(EINSTELLUNG!$C$35,$A$1,1),0),I80)-MAX(D80,DATE(EINSTELLUNG!$C$35,$A$1,1))+1)/DAY(EOMONTH(DATE(EINSTELLUNG!$C$35,$A$1,1),0))*F80,2),"")</f>
        <v/>
      </c>
      <c r="I80" s="73"/>
      <c r="J80" s="74"/>
      <c r="K80" s="321">
        <f t="shared" si="3"/>
        <v>0</v>
      </c>
      <c r="L80" s="32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2" t="s">
        <v>152</v>
      </c>
      <c r="B81" s="129"/>
      <c r="C81" s="77"/>
      <c r="D81" s="81"/>
      <c r="E81" s="79"/>
      <c r="F81" s="80"/>
      <c r="G81" s="321" t="str">
        <f>IF(OR(E81="",F81=""),"",PID_KVLohnLookup($A$1,E81,F81,LOHNTABELLE!$H$4))</f>
        <v/>
      </c>
      <c r="H81" s="322" t="str">
        <f>IF(AND(ISNUMBER(D81),ISNUMBER(F81)),ROUNDDOWN(MIN(IF(OR(ISBLANK(I81),I81=""),EOMONTH(DATE(EINSTELLUNG!$C$35,$A$1,1),0),I81)-MAX(D81,DATE(EINSTELLUNG!$C$35,$A$1,1))+1)/DAY(EOMONTH(DATE(EINSTELLUNG!$C$35,$A$1,1),0))*F81,2),"")</f>
        <v/>
      </c>
      <c r="I81" s="81"/>
      <c r="J81" s="82"/>
      <c r="K81" s="321">
        <f t="shared" si="3"/>
        <v>0</v>
      </c>
      <c r="L81" s="32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9" t="s">
        <v>153</v>
      </c>
      <c r="B82" s="130"/>
      <c r="C82" s="86"/>
      <c r="D82" s="87"/>
      <c r="E82" s="88"/>
      <c r="F82" s="89"/>
      <c r="G82" s="383" t="str">
        <f>IF(OR(E82="",F82=""),"",PID_KVLohnLookup($A$1,E82,F82,LOHNTABELLE!$H$4))</f>
        <v/>
      </c>
      <c r="H82" s="384" t="str">
        <f>IF(AND(ISNUMBER(D82),ISNUMBER(F82)),ROUNDDOWN(MIN(IF(OR(ISBLANK(I82),I82=""),EOMONTH(DATE(EINSTELLUNG!$C$35,$A$1,1),0),I82)-MAX(D82,DATE(EINSTELLUNG!$C$35,$A$1,1))+1)/DAY(EOMONTH(DATE(EINSTELLUNG!$C$35,$A$1,1),0))*F82,2),"")</f>
        <v/>
      </c>
      <c r="I82" s="87"/>
      <c r="J82" s="90"/>
      <c r="K82" s="383">
        <f t="shared" si="3"/>
        <v>0</v>
      </c>
      <c r="L82" s="38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4"/>
      <c r="B83" s="424"/>
    </row>
    <row r="100" spans="26:26" ht="16" customHeight="1">
      <c r="Z100" s="303"/>
    </row>
  </sheetData>
  <sheetProtection algorithmName="SHA-512" hashValue="S2K9TEKgFwtimrvXEHJg8cSPLCJOr6gmvM12nj8nSQWueei9zcKtcaLegNtAXqQ8kF0UFUIRV1bScSilNY2NYg==" saltValue="YBZvawjDr0JUd8DJHCr+AA=="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36685683-1906-4354-B06F-F013FC05B659}">
          <x14:formula1>
            <xm:f>KV_DROPDOWN_HELPER!$AHA$1:$AHA$14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3" bestFit="1" customWidth="1"/>
    <col min="5" max="5" width="12.83203125" style="3" bestFit="1" customWidth="1"/>
    <col min="6" max="6" width="27.6640625" bestFit="1" customWidth="1"/>
    <col min="7" max="7" width="18.5" bestFit="1" customWidth="1"/>
    <col min="8" max="8" width="13" style="5" bestFit="1" customWidth="1"/>
    <col min="9" max="9" width="9.5" style="5" bestFit="1" customWidth="1"/>
    <col min="10" max="10" width="11.6640625" style="5" bestFit="1" customWidth="1"/>
    <col min="11" max="11" width="24.3320312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eHjQvEnUuN/0BKNDnVCO2ZBXM2QUlHZ11U+OnYyoOM0f4rRQq7U/1yxoCrQcUE/+A0BBo5vp6yGDTh8RePz/cQ==" saltValue="f3MPugJjwxAPr2cXyI7E2Q==" spinCount="100000" sheet="1" objects="1" scenarios="1"/>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gqmbHFsMVyJbW6tsMxqaQwEmGb8/HYxAlKaMw80/imPzWd21jJNEXa0yh2kvq3IitiVKsOCMs2uznCfrQej0xg==" saltValue="bkXLX0xZTOp6WifMgmR3JA==" spinCount="100000" sheet="1" objects="1" scenarios="1" sort="0" autoFilter="0"/>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151.38</v>
      </c>
      <c r="FF2" s="5">
        <v>151.38</v>
      </c>
      <c r="FG2" s="5">
        <v>151.38</v>
      </c>
      <c r="FH2" s="5">
        <v>169</v>
      </c>
      <c r="FI2" s="5">
        <v>151.38</v>
      </c>
      <c r="FJ2" s="5">
        <v>151.38</v>
      </c>
      <c r="FK2" s="5">
        <v>151.38</v>
      </c>
      <c r="IG2" s="5">
        <v>151.38</v>
      </c>
      <c r="IH2" s="5">
        <v>151.38</v>
      </c>
      <c r="II2" s="5">
        <v>151.38</v>
      </c>
      <c r="IJ2" s="5">
        <v>151.38</v>
      </c>
      <c r="IK2" s="5">
        <v>169</v>
      </c>
      <c r="IL2" s="5">
        <v>151.38</v>
      </c>
      <c r="IM2" s="5">
        <v>151.38</v>
      </c>
      <c r="IN2" s="5">
        <v>151.38</v>
      </c>
      <c r="LI2" s="5">
        <v>166</v>
      </c>
      <c r="LJ2" s="5">
        <v>151.38</v>
      </c>
      <c r="LK2" s="5">
        <v>151.38</v>
      </c>
      <c r="LL2" s="5">
        <v>151.38</v>
      </c>
      <c r="LM2" s="5">
        <v>151.38</v>
      </c>
      <c r="LN2" s="5">
        <v>151.38</v>
      </c>
      <c r="OK2" s="5">
        <v>151.38</v>
      </c>
      <c r="OL2" s="5">
        <v>151.38</v>
      </c>
      <c r="OM2" s="5">
        <v>151.38</v>
      </c>
      <c r="ON2" s="5">
        <v>151.38</v>
      </c>
      <c r="OO2" s="5">
        <v>166</v>
      </c>
      <c r="OP2" s="5">
        <v>151.38</v>
      </c>
      <c r="OQ2" s="5">
        <v>151.38</v>
      </c>
      <c r="RM2" s="5">
        <v>151.38</v>
      </c>
      <c r="RN2" s="5">
        <v>151.38</v>
      </c>
      <c r="RO2" s="5">
        <v>166</v>
      </c>
      <c r="RP2" s="5">
        <v>151.38</v>
      </c>
      <c r="RQ2" s="5">
        <v>151.38</v>
      </c>
      <c r="RR2" s="5">
        <v>151.38</v>
      </c>
      <c r="RS2" s="5">
        <v>151.38</v>
      </c>
      <c r="UO2" s="5">
        <v>151.38</v>
      </c>
      <c r="UP2" s="5">
        <v>151.38</v>
      </c>
      <c r="UQ2" s="5">
        <v>151.38</v>
      </c>
      <c r="UR2" s="5">
        <v>151.38</v>
      </c>
      <c r="US2" s="5">
        <v>166</v>
      </c>
      <c r="UT2" s="5">
        <v>151.38</v>
      </c>
      <c r="UU2" s="5">
        <v>151.38</v>
      </c>
      <c r="UV2" s="5">
        <v>151.38</v>
      </c>
      <c r="XQ2" s="5">
        <v>151.38</v>
      </c>
      <c r="XR2" s="5">
        <v>151.38</v>
      </c>
      <c r="XS2" s="5">
        <v>151.38</v>
      </c>
      <c r="XT2" s="5">
        <v>166</v>
      </c>
      <c r="XU2" s="5">
        <v>151.38</v>
      </c>
      <c r="XV2" s="5">
        <v>151.38</v>
      </c>
      <c r="XW2" s="5">
        <v>151.38</v>
      </c>
      <c r="XX2" s="5">
        <v>151.38</v>
      </c>
      <c r="AAS2" s="5">
        <v>151.38</v>
      </c>
      <c r="AAT2" s="5">
        <v>151.38</v>
      </c>
      <c r="AAU2" s="5">
        <v>151.38</v>
      </c>
      <c r="AAV2" s="5">
        <v>151.38</v>
      </c>
      <c r="AAW2" s="5">
        <v>166</v>
      </c>
      <c r="AAX2" s="5">
        <v>151.38</v>
      </c>
      <c r="AAY2" s="5">
        <v>151.38</v>
      </c>
      <c r="AAZ2" s="5">
        <v>151.38</v>
      </c>
      <c r="ADU2" s="5">
        <v>151.38</v>
      </c>
      <c r="ADV2" s="5">
        <v>151.38</v>
      </c>
      <c r="ADW2" s="5">
        <v>151.38</v>
      </c>
      <c r="ADX2" s="5">
        <v>151.38</v>
      </c>
      <c r="ADY2" s="5">
        <v>166</v>
      </c>
      <c r="ADZ2" s="5">
        <v>151.38</v>
      </c>
      <c r="AEA2" s="5">
        <v>151.38</v>
      </c>
      <c r="AEB2" s="5">
        <v>151.38</v>
      </c>
      <c r="AGW2" s="5">
        <v>151.38</v>
      </c>
      <c r="AGX2" s="5">
        <v>151.38</v>
      </c>
      <c r="AGY2" s="5">
        <v>151.38</v>
      </c>
      <c r="AGZ2" s="5">
        <v>151.38</v>
      </c>
      <c r="AHA2" s="5">
        <v>166</v>
      </c>
      <c r="AHB2" s="5">
        <v>151.38</v>
      </c>
      <c r="AHC2" s="5">
        <v>151.38</v>
      </c>
      <c r="AHD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138.4</v>
      </c>
      <c r="FF3" s="5">
        <v>138.4</v>
      </c>
      <c r="FG3" s="5">
        <v>138.4</v>
      </c>
      <c r="FH3" s="5">
        <v>151.38</v>
      </c>
      <c r="FI3" s="5">
        <v>138.4</v>
      </c>
      <c r="FJ3" s="5">
        <v>138.4</v>
      </c>
      <c r="FK3" s="5">
        <v>138.4</v>
      </c>
      <c r="IG3" s="5">
        <v>138.4</v>
      </c>
      <c r="IH3" s="5">
        <v>138.4</v>
      </c>
      <c r="II3" s="5">
        <v>138.4</v>
      </c>
      <c r="IJ3" s="5">
        <v>138.4</v>
      </c>
      <c r="IK3" s="5">
        <v>151.38</v>
      </c>
      <c r="IL3" s="5">
        <v>138.4</v>
      </c>
      <c r="IM3" s="5">
        <v>138.4</v>
      </c>
      <c r="IN3" s="5">
        <v>138.4</v>
      </c>
      <c r="LI3" s="5">
        <v>151.38</v>
      </c>
      <c r="LJ3" s="5">
        <v>138.4</v>
      </c>
      <c r="LK3" s="5">
        <v>138.4</v>
      </c>
      <c r="LL3" s="5">
        <v>138.4</v>
      </c>
      <c r="LM3" s="5">
        <v>138.4</v>
      </c>
      <c r="LN3" s="5">
        <v>138.4</v>
      </c>
      <c r="OK3" s="5">
        <v>138.4</v>
      </c>
      <c r="OL3" s="5">
        <v>138.4</v>
      </c>
      <c r="OM3" s="5">
        <v>138.4</v>
      </c>
      <c r="ON3" s="5">
        <v>138.4</v>
      </c>
      <c r="OO3" s="5">
        <v>151.38</v>
      </c>
      <c r="OP3" s="5">
        <v>138.4</v>
      </c>
      <c r="OQ3" s="5">
        <v>138.4</v>
      </c>
      <c r="RM3" s="5">
        <v>138.4</v>
      </c>
      <c r="RN3" s="5">
        <v>138.4</v>
      </c>
      <c r="RO3" s="5">
        <v>151.38</v>
      </c>
      <c r="RP3" s="5">
        <v>138.4</v>
      </c>
      <c r="RQ3" s="5">
        <v>138.4</v>
      </c>
      <c r="RR3" s="5">
        <v>138.4</v>
      </c>
      <c r="RS3" s="5">
        <v>138.4</v>
      </c>
      <c r="UO3" s="5">
        <v>138.4</v>
      </c>
      <c r="UP3" s="5">
        <v>138.4</v>
      </c>
      <c r="UQ3" s="5">
        <v>138.4</v>
      </c>
      <c r="UR3" s="5">
        <v>138.4</v>
      </c>
      <c r="US3" s="5">
        <v>151.38</v>
      </c>
      <c r="UT3" s="5">
        <v>138.4</v>
      </c>
      <c r="UU3" s="5">
        <v>138.4</v>
      </c>
      <c r="UV3" s="5">
        <v>138.4</v>
      </c>
      <c r="XQ3" s="5">
        <v>138.4</v>
      </c>
      <c r="XR3" s="5">
        <v>138.4</v>
      </c>
      <c r="XS3" s="5">
        <v>138.4</v>
      </c>
      <c r="XT3" s="5">
        <v>151.38</v>
      </c>
      <c r="XU3" s="5">
        <v>138.4</v>
      </c>
      <c r="XV3" s="5">
        <v>138.4</v>
      </c>
      <c r="XW3" s="5">
        <v>138.4</v>
      </c>
      <c r="XX3" s="5">
        <v>138.4</v>
      </c>
      <c r="AAS3" s="5">
        <v>138.4</v>
      </c>
      <c r="AAT3" s="5">
        <v>138.4</v>
      </c>
      <c r="AAU3" s="5">
        <v>138.4</v>
      </c>
      <c r="AAV3" s="5">
        <v>138.4</v>
      </c>
      <c r="AAW3" s="5">
        <v>151.38</v>
      </c>
      <c r="AAX3" s="5">
        <v>138.4</v>
      </c>
      <c r="AAY3" s="5">
        <v>138.4</v>
      </c>
      <c r="AAZ3" s="5">
        <v>138.4</v>
      </c>
      <c r="ADU3" s="5">
        <v>138.4</v>
      </c>
      <c r="ADV3" s="5">
        <v>138.4</v>
      </c>
      <c r="ADW3" s="5">
        <v>138.4</v>
      </c>
      <c r="ADX3" s="5">
        <v>138.4</v>
      </c>
      <c r="ADY3" s="5">
        <v>151.38</v>
      </c>
      <c r="ADZ3" s="5">
        <v>138.4</v>
      </c>
      <c r="AEA3" s="5">
        <v>138.4</v>
      </c>
      <c r="AEB3" s="5">
        <v>138.4</v>
      </c>
      <c r="AGW3" s="5">
        <v>138.4</v>
      </c>
      <c r="AGX3" s="5">
        <v>138.4</v>
      </c>
      <c r="AGY3" s="5">
        <v>138.4</v>
      </c>
      <c r="AGZ3" s="5">
        <v>138.4</v>
      </c>
      <c r="AHA3" s="5">
        <v>151.38</v>
      </c>
      <c r="AHB3" s="5">
        <v>138.4</v>
      </c>
      <c r="AHC3" s="5">
        <v>138.4</v>
      </c>
      <c r="AHD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129.75</v>
      </c>
      <c r="FF4" s="5">
        <v>129.75</v>
      </c>
      <c r="FG4" s="5">
        <v>129.75</v>
      </c>
      <c r="FH4" s="5">
        <v>138.4</v>
      </c>
      <c r="FI4" s="5">
        <v>129.75</v>
      </c>
      <c r="FJ4" s="5">
        <v>129.75</v>
      </c>
      <c r="FK4" s="5">
        <v>129.75</v>
      </c>
      <c r="IG4" s="5">
        <v>129.75</v>
      </c>
      <c r="IH4" s="5">
        <v>129.75</v>
      </c>
      <c r="II4" s="5">
        <v>129.75</v>
      </c>
      <c r="IJ4" s="5">
        <v>129.75</v>
      </c>
      <c r="IK4" s="5">
        <v>138.4</v>
      </c>
      <c r="IL4" s="5">
        <v>129.75</v>
      </c>
      <c r="IM4" s="5">
        <v>129.75</v>
      </c>
      <c r="IN4" s="5">
        <v>129.75</v>
      </c>
      <c r="LI4" s="5">
        <v>138.4</v>
      </c>
      <c r="LJ4" s="5">
        <v>129.75</v>
      </c>
      <c r="LK4" s="5">
        <v>129.75</v>
      </c>
      <c r="LL4" s="5">
        <v>129.75</v>
      </c>
      <c r="LM4" s="5">
        <v>129.75</v>
      </c>
      <c r="LN4" s="5">
        <v>129.75</v>
      </c>
      <c r="OK4" s="5">
        <v>129.75</v>
      </c>
      <c r="OL4" s="5">
        <v>129.75</v>
      </c>
      <c r="OM4" s="5">
        <v>129.75</v>
      </c>
      <c r="ON4" s="5">
        <v>129.75</v>
      </c>
      <c r="OO4" s="5">
        <v>138.4</v>
      </c>
      <c r="OP4" s="5">
        <v>129.75</v>
      </c>
      <c r="OQ4" s="5">
        <v>129.75</v>
      </c>
      <c r="RM4" s="5">
        <v>129.75</v>
      </c>
      <c r="RN4" s="5">
        <v>129.75</v>
      </c>
      <c r="RO4" s="5">
        <v>138.4</v>
      </c>
      <c r="RP4" s="5">
        <v>129.75</v>
      </c>
      <c r="RQ4" s="5">
        <v>129.75</v>
      </c>
      <c r="RR4" s="5">
        <v>129.75</v>
      </c>
      <c r="RS4" s="5">
        <v>129.75</v>
      </c>
      <c r="UO4" s="5">
        <v>129.75</v>
      </c>
      <c r="UP4" s="5">
        <v>129.75</v>
      </c>
      <c r="UQ4" s="5">
        <v>129.75</v>
      </c>
      <c r="UR4" s="5">
        <v>129.75</v>
      </c>
      <c r="US4" s="5">
        <v>138.4</v>
      </c>
      <c r="UT4" s="5">
        <v>129.75</v>
      </c>
      <c r="UU4" s="5">
        <v>129.75</v>
      </c>
      <c r="UV4" s="5">
        <v>129.75</v>
      </c>
      <c r="XQ4" s="5">
        <v>129.75</v>
      </c>
      <c r="XR4" s="5">
        <v>129.75</v>
      </c>
      <c r="XS4" s="5">
        <v>129.75</v>
      </c>
      <c r="XT4" s="5">
        <v>138.4</v>
      </c>
      <c r="XU4" s="5">
        <v>129.75</v>
      </c>
      <c r="XV4" s="5">
        <v>129.75</v>
      </c>
      <c r="XW4" s="5">
        <v>129.75</v>
      </c>
      <c r="XX4" s="5">
        <v>129.75</v>
      </c>
      <c r="AAS4" s="5">
        <v>129.75</v>
      </c>
      <c r="AAT4" s="5">
        <v>129.75</v>
      </c>
      <c r="AAU4" s="5">
        <v>129.75</v>
      </c>
      <c r="AAV4" s="5">
        <v>129.75</v>
      </c>
      <c r="AAW4" s="5">
        <v>138.4</v>
      </c>
      <c r="AAX4" s="5">
        <v>129.75</v>
      </c>
      <c r="AAY4" s="5">
        <v>129.75</v>
      </c>
      <c r="AAZ4" s="5">
        <v>129.75</v>
      </c>
      <c r="ADU4" s="5">
        <v>129.75</v>
      </c>
      <c r="ADV4" s="5">
        <v>129.75</v>
      </c>
      <c r="ADW4" s="5">
        <v>129.75</v>
      </c>
      <c r="ADX4" s="5">
        <v>129.75</v>
      </c>
      <c r="ADY4" s="5">
        <v>138.4</v>
      </c>
      <c r="ADZ4" s="5">
        <v>129.75</v>
      </c>
      <c r="AEA4" s="5">
        <v>129.75</v>
      </c>
      <c r="AEB4" s="5">
        <v>129.75</v>
      </c>
      <c r="AGW4" s="5">
        <v>129.75</v>
      </c>
      <c r="AGX4" s="5">
        <v>129.75</v>
      </c>
      <c r="AGY4" s="5">
        <v>129.75</v>
      </c>
      <c r="AGZ4" s="5">
        <v>129.75</v>
      </c>
      <c r="AHA4" s="5">
        <v>138.4</v>
      </c>
      <c r="AHB4" s="5">
        <v>129.75</v>
      </c>
      <c r="AHC4" s="5">
        <v>129.75</v>
      </c>
      <c r="AHD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108.13</v>
      </c>
      <c r="FF5" s="5">
        <v>108.13</v>
      </c>
      <c r="FG5" s="5">
        <v>108.13</v>
      </c>
      <c r="FH5" s="5">
        <v>129.75</v>
      </c>
      <c r="FI5" s="5">
        <v>108.13</v>
      </c>
      <c r="FJ5" s="5">
        <v>108.13</v>
      </c>
      <c r="FK5" s="5">
        <v>108.13</v>
      </c>
      <c r="IG5" s="5">
        <v>108.13</v>
      </c>
      <c r="IH5" s="5">
        <v>108.13</v>
      </c>
      <c r="II5" s="5">
        <v>108.13</v>
      </c>
      <c r="IJ5" s="5">
        <v>108.13</v>
      </c>
      <c r="IK5" s="5">
        <v>129.75</v>
      </c>
      <c r="IL5" s="5">
        <v>108.13</v>
      </c>
      <c r="IM5" s="5">
        <v>108.13</v>
      </c>
      <c r="IN5" s="5">
        <v>108.13</v>
      </c>
      <c r="LI5" s="5">
        <v>129.75</v>
      </c>
      <c r="LJ5" s="5">
        <v>108.13</v>
      </c>
      <c r="LK5" s="5">
        <v>108.13</v>
      </c>
      <c r="LL5" s="5">
        <v>108.13</v>
      </c>
      <c r="LM5" s="5">
        <v>108.13</v>
      </c>
      <c r="LN5" s="5">
        <v>108.13</v>
      </c>
      <c r="OK5" s="5">
        <v>108.13</v>
      </c>
      <c r="OL5" s="5">
        <v>108.13</v>
      </c>
      <c r="OM5" s="5">
        <v>108.13</v>
      </c>
      <c r="ON5" s="5">
        <v>108.13</v>
      </c>
      <c r="OO5" s="5">
        <v>129.75</v>
      </c>
      <c r="OP5" s="5">
        <v>108.13</v>
      </c>
      <c r="OQ5" s="5">
        <v>108.13</v>
      </c>
      <c r="RM5" s="5">
        <v>108.13</v>
      </c>
      <c r="RN5" s="5">
        <v>108.13</v>
      </c>
      <c r="RO5" s="5">
        <v>129.75</v>
      </c>
      <c r="RP5" s="5">
        <v>108.13</v>
      </c>
      <c r="RQ5" s="5">
        <v>108.13</v>
      </c>
      <c r="RR5" s="5">
        <v>108.13</v>
      </c>
      <c r="RS5" s="5">
        <v>108.13</v>
      </c>
      <c r="UO5" s="5">
        <v>108.13</v>
      </c>
      <c r="UP5" s="5">
        <v>108.13</v>
      </c>
      <c r="UQ5" s="5">
        <v>108.13</v>
      </c>
      <c r="UR5" s="5">
        <v>108.13</v>
      </c>
      <c r="US5" s="5">
        <v>129.75</v>
      </c>
      <c r="UT5" s="5">
        <v>108.13</v>
      </c>
      <c r="UU5" s="5">
        <v>108.13</v>
      </c>
      <c r="UV5" s="5">
        <v>108.13</v>
      </c>
      <c r="XQ5" s="5">
        <v>108.13</v>
      </c>
      <c r="XR5" s="5">
        <v>108.13</v>
      </c>
      <c r="XS5" s="5">
        <v>108.13</v>
      </c>
      <c r="XT5" s="5">
        <v>129.75</v>
      </c>
      <c r="XU5" s="5">
        <v>108.13</v>
      </c>
      <c r="XV5" s="5">
        <v>108.13</v>
      </c>
      <c r="XW5" s="5">
        <v>108.13</v>
      </c>
      <c r="XX5" s="5">
        <v>108.13</v>
      </c>
      <c r="AAS5" s="5">
        <v>108.13</v>
      </c>
      <c r="AAT5" s="5">
        <v>108.13</v>
      </c>
      <c r="AAU5" s="5">
        <v>108.13</v>
      </c>
      <c r="AAV5" s="5">
        <v>108.13</v>
      </c>
      <c r="AAW5" s="5">
        <v>129.75</v>
      </c>
      <c r="AAX5" s="5">
        <v>108.13</v>
      </c>
      <c r="AAY5" s="5">
        <v>108.13</v>
      </c>
      <c r="AAZ5" s="5">
        <v>108.13</v>
      </c>
      <c r="ADU5" s="5">
        <v>108.13</v>
      </c>
      <c r="ADV5" s="5">
        <v>108.13</v>
      </c>
      <c r="ADW5" s="5">
        <v>108.13</v>
      </c>
      <c r="ADX5" s="5">
        <v>108.13</v>
      </c>
      <c r="ADY5" s="5">
        <v>129.75</v>
      </c>
      <c r="ADZ5" s="5">
        <v>108.13</v>
      </c>
      <c r="AEA5" s="5">
        <v>108.13</v>
      </c>
      <c r="AEB5" s="5">
        <v>108.13</v>
      </c>
      <c r="AGW5" s="5">
        <v>108.13</v>
      </c>
      <c r="AGX5" s="5">
        <v>108.13</v>
      </c>
      <c r="AGY5" s="5">
        <v>108.13</v>
      </c>
      <c r="AGZ5" s="5">
        <v>108.13</v>
      </c>
      <c r="AHA5" s="5">
        <v>129.75</v>
      </c>
      <c r="AHB5" s="5">
        <v>108.13</v>
      </c>
      <c r="AHC5" s="5">
        <v>108.13</v>
      </c>
      <c r="AHD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103.8</v>
      </c>
      <c r="FF6" s="5">
        <v>103.8</v>
      </c>
      <c r="FG6" s="5">
        <v>103.8</v>
      </c>
      <c r="FH6" s="5">
        <v>108.13</v>
      </c>
      <c r="FI6" s="5">
        <v>103.8</v>
      </c>
      <c r="FJ6" s="5">
        <v>103.8</v>
      </c>
      <c r="FK6" s="5">
        <v>103.8</v>
      </c>
      <c r="IG6" s="5">
        <v>103.8</v>
      </c>
      <c r="IH6" s="5">
        <v>103.8</v>
      </c>
      <c r="II6" s="5">
        <v>103.8</v>
      </c>
      <c r="IJ6" s="5">
        <v>103.8</v>
      </c>
      <c r="IK6" s="5">
        <v>108.13</v>
      </c>
      <c r="IL6" s="5">
        <v>103.8</v>
      </c>
      <c r="IM6" s="5">
        <v>103.8</v>
      </c>
      <c r="IN6" s="5">
        <v>103.8</v>
      </c>
      <c r="LI6" s="5">
        <v>108.13</v>
      </c>
      <c r="LJ6" s="5">
        <v>103.8</v>
      </c>
      <c r="LK6" s="5">
        <v>103.8</v>
      </c>
      <c r="LL6" s="5">
        <v>103.8</v>
      </c>
      <c r="LM6" s="5">
        <v>103.8</v>
      </c>
      <c r="LN6" s="5">
        <v>103.8</v>
      </c>
      <c r="OK6" s="5">
        <v>103.8</v>
      </c>
      <c r="OL6" s="5">
        <v>103.8</v>
      </c>
      <c r="OM6" s="5">
        <v>103.8</v>
      </c>
      <c r="ON6" s="5">
        <v>103.8</v>
      </c>
      <c r="OO6" s="5">
        <v>108.13</v>
      </c>
      <c r="OP6" s="5">
        <v>103.8</v>
      </c>
      <c r="OQ6" s="5">
        <v>103.8</v>
      </c>
      <c r="RM6" s="5">
        <v>103.8</v>
      </c>
      <c r="RN6" s="5">
        <v>103.8</v>
      </c>
      <c r="RO6" s="5">
        <v>108.13</v>
      </c>
      <c r="RP6" s="5">
        <v>103.8</v>
      </c>
      <c r="RQ6" s="5">
        <v>103.8</v>
      </c>
      <c r="RR6" s="5">
        <v>103.8</v>
      </c>
      <c r="RS6" s="5">
        <v>103.8</v>
      </c>
      <c r="UO6" s="5">
        <v>103.8</v>
      </c>
      <c r="UP6" s="5">
        <v>103.8</v>
      </c>
      <c r="UQ6" s="5">
        <v>103.8</v>
      </c>
      <c r="UR6" s="5">
        <v>103.8</v>
      </c>
      <c r="US6" s="5">
        <v>108.13</v>
      </c>
      <c r="UT6" s="5">
        <v>103.8</v>
      </c>
      <c r="UU6" s="5">
        <v>103.8</v>
      </c>
      <c r="UV6" s="5">
        <v>103.8</v>
      </c>
      <c r="XQ6" s="5">
        <v>103.8</v>
      </c>
      <c r="XR6" s="5">
        <v>103.8</v>
      </c>
      <c r="XS6" s="5">
        <v>103.8</v>
      </c>
      <c r="XT6" s="5">
        <v>108.13</v>
      </c>
      <c r="XU6" s="5">
        <v>103.8</v>
      </c>
      <c r="XV6" s="5">
        <v>103.8</v>
      </c>
      <c r="XW6" s="5">
        <v>103.8</v>
      </c>
      <c r="XX6" s="5">
        <v>103.8</v>
      </c>
      <c r="AAS6" s="5">
        <v>103.8</v>
      </c>
      <c r="AAT6" s="5">
        <v>103.8</v>
      </c>
      <c r="AAU6" s="5">
        <v>103.8</v>
      </c>
      <c r="AAV6" s="5">
        <v>103.8</v>
      </c>
      <c r="AAW6" s="5">
        <v>108.13</v>
      </c>
      <c r="AAX6" s="5">
        <v>103.8</v>
      </c>
      <c r="AAY6" s="5">
        <v>103.8</v>
      </c>
      <c r="AAZ6" s="5">
        <v>103.8</v>
      </c>
      <c r="ADU6" s="5">
        <v>103.8</v>
      </c>
      <c r="ADV6" s="5">
        <v>103.8</v>
      </c>
      <c r="ADW6" s="5">
        <v>103.8</v>
      </c>
      <c r="ADX6" s="5">
        <v>103.8</v>
      </c>
      <c r="ADY6" s="5">
        <v>108.13</v>
      </c>
      <c r="ADZ6" s="5">
        <v>103.8</v>
      </c>
      <c r="AEA6" s="5">
        <v>103.8</v>
      </c>
      <c r="AEB6" s="5">
        <v>103.8</v>
      </c>
      <c r="AGW6" s="5">
        <v>103.8</v>
      </c>
      <c r="AGX6" s="5">
        <v>103.8</v>
      </c>
      <c r="AGY6" s="5">
        <v>103.8</v>
      </c>
      <c r="AGZ6" s="5">
        <v>103.8</v>
      </c>
      <c r="AHA6" s="5">
        <v>108.13</v>
      </c>
      <c r="AHB6" s="5">
        <v>103.8</v>
      </c>
      <c r="AHC6" s="5">
        <v>103.8</v>
      </c>
      <c r="AHD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86.5</v>
      </c>
      <c r="FF7" s="5">
        <v>86.5</v>
      </c>
      <c r="FG7" s="5">
        <v>86.5</v>
      </c>
      <c r="FH7" s="5">
        <v>103.8</v>
      </c>
      <c r="FI7" s="5">
        <v>86.5</v>
      </c>
      <c r="FJ7" s="5">
        <v>86.5</v>
      </c>
      <c r="FK7" s="5">
        <v>86.5</v>
      </c>
      <c r="IG7" s="5">
        <v>86.5</v>
      </c>
      <c r="IH7" s="5">
        <v>86.5</v>
      </c>
      <c r="II7" s="5">
        <v>86.5</v>
      </c>
      <c r="IJ7" s="5">
        <v>86.5</v>
      </c>
      <c r="IK7" s="5">
        <v>103.8</v>
      </c>
      <c r="IL7" s="5">
        <v>86.5</v>
      </c>
      <c r="IM7" s="5">
        <v>86.5</v>
      </c>
      <c r="IN7" s="5">
        <v>86.5</v>
      </c>
      <c r="LI7" s="5">
        <v>105</v>
      </c>
      <c r="LJ7" s="5">
        <v>86.5</v>
      </c>
      <c r="LK7" s="5">
        <v>86.5</v>
      </c>
      <c r="LL7" s="5">
        <v>86.5</v>
      </c>
      <c r="LM7" s="5">
        <v>86.5</v>
      </c>
      <c r="LN7" s="5">
        <v>86.5</v>
      </c>
      <c r="OK7" s="5">
        <v>86.5</v>
      </c>
      <c r="OL7" s="5">
        <v>86.5</v>
      </c>
      <c r="OM7" s="5">
        <v>86.5</v>
      </c>
      <c r="ON7" s="5">
        <v>86.5</v>
      </c>
      <c r="OO7" s="5">
        <v>105</v>
      </c>
      <c r="OP7" s="5">
        <v>86.5</v>
      </c>
      <c r="OQ7" s="5">
        <v>86.5</v>
      </c>
      <c r="RM7" s="5">
        <v>86.5</v>
      </c>
      <c r="RN7" s="5">
        <v>86.5</v>
      </c>
      <c r="RO7" s="5">
        <v>105</v>
      </c>
      <c r="RP7" s="5">
        <v>86.5</v>
      </c>
      <c r="RQ7" s="5">
        <v>86.5</v>
      </c>
      <c r="RR7" s="5">
        <v>86.5</v>
      </c>
      <c r="RS7" s="5">
        <v>86.5</v>
      </c>
      <c r="UO7" s="5">
        <v>86.5</v>
      </c>
      <c r="UP7" s="5">
        <v>86.5</v>
      </c>
      <c r="UQ7" s="5">
        <v>86.5</v>
      </c>
      <c r="UR7" s="5">
        <v>86.5</v>
      </c>
      <c r="US7" s="5">
        <v>105</v>
      </c>
      <c r="UT7" s="5">
        <v>86.5</v>
      </c>
      <c r="UU7" s="5">
        <v>86.5</v>
      </c>
      <c r="UV7" s="5">
        <v>86.5</v>
      </c>
      <c r="XQ7" s="5">
        <v>86.5</v>
      </c>
      <c r="XR7" s="5">
        <v>86.5</v>
      </c>
      <c r="XS7" s="5">
        <v>86.5</v>
      </c>
      <c r="XT7" s="5">
        <v>105</v>
      </c>
      <c r="XU7" s="5">
        <v>86.5</v>
      </c>
      <c r="XV7" s="5">
        <v>86.5</v>
      </c>
      <c r="XW7" s="5">
        <v>86.5</v>
      </c>
      <c r="XX7" s="5">
        <v>86.5</v>
      </c>
      <c r="AAS7" s="5">
        <v>86.5</v>
      </c>
      <c r="AAT7" s="5">
        <v>86.5</v>
      </c>
      <c r="AAU7" s="5">
        <v>86.5</v>
      </c>
      <c r="AAV7" s="5">
        <v>86.5</v>
      </c>
      <c r="AAW7" s="5">
        <v>105</v>
      </c>
      <c r="AAX7" s="5">
        <v>86.5</v>
      </c>
      <c r="AAY7" s="5">
        <v>86.5</v>
      </c>
      <c r="AAZ7" s="5">
        <v>86.5</v>
      </c>
      <c r="ADU7" s="5">
        <v>86.5</v>
      </c>
      <c r="ADV7" s="5">
        <v>86.5</v>
      </c>
      <c r="ADW7" s="5">
        <v>86.5</v>
      </c>
      <c r="ADX7" s="5">
        <v>86.5</v>
      </c>
      <c r="ADY7" s="5">
        <v>105</v>
      </c>
      <c r="ADZ7" s="5">
        <v>86.5</v>
      </c>
      <c r="AEA7" s="5">
        <v>86.5</v>
      </c>
      <c r="AEB7" s="5">
        <v>86.5</v>
      </c>
      <c r="AGW7" s="5">
        <v>86.5</v>
      </c>
      <c r="AGX7" s="5">
        <v>86.5</v>
      </c>
      <c r="AGY7" s="5">
        <v>86.5</v>
      </c>
      <c r="AGZ7" s="5">
        <v>86.5</v>
      </c>
      <c r="AHA7" s="5">
        <v>105</v>
      </c>
      <c r="AHB7" s="5">
        <v>86.5</v>
      </c>
      <c r="AHC7" s="5">
        <v>86.5</v>
      </c>
      <c r="AHD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69.2</v>
      </c>
      <c r="FF8" s="5">
        <v>69.2</v>
      </c>
      <c r="FG8" s="5">
        <v>69.2</v>
      </c>
      <c r="FH8" s="5">
        <v>86.5</v>
      </c>
      <c r="FI8" s="5">
        <v>69.2</v>
      </c>
      <c r="FJ8" s="5">
        <v>69.2</v>
      </c>
      <c r="FK8" s="5">
        <v>69.2</v>
      </c>
      <c r="IG8" s="5">
        <v>69.2</v>
      </c>
      <c r="IH8" s="5">
        <v>69.2</v>
      </c>
      <c r="II8" s="5">
        <v>69.2</v>
      </c>
      <c r="IJ8" s="5">
        <v>69.2</v>
      </c>
      <c r="IK8" s="5">
        <v>86.5</v>
      </c>
      <c r="IL8" s="5">
        <v>69.2</v>
      </c>
      <c r="IM8" s="5">
        <v>69.2</v>
      </c>
      <c r="IN8" s="5">
        <v>69.2</v>
      </c>
      <c r="LI8" s="5">
        <v>103.8</v>
      </c>
      <c r="LJ8" s="5">
        <v>69.2</v>
      </c>
      <c r="LK8" s="5">
        <v>69.2</v>
      </c>
      <c r="LL8" s="5">
        <v>69.2</v>
      </c>
      <c r="LM8" s="5">
        <v>69.2</v>
      </c>
      <c r="LN8" s="5">
        <v>69.2</v>
      </c>
      <c r="OK8" s="5">
        <v>69.2</v>
      </c>
      <c r="OL8" s="5">
        <v>69.2</v>
      </c>
      <c r="OM8" s="5">
        <v>69.2</v>
      </c>
      <c r="ON8" s="5">
        <v>69.2</v>
      </c>
      <c r="OO8" s="5">
        <v>103.8</v>
      </c>
      <c r="OP8" s="5">
        <v>69.2</v>
      </c>
      <c r="OQ8" s="5">
        <v>69.2</v>
      </c>
      <c r="RM8" s="5">
        <v>69.2</v>
      </c>
      <c r="RN8" s="5">
        <v>69.2</v>
      </c>
      <c r="RO8" s="5">
        <v>103.8</v>
      </c>
      <c r="RP8" s="5">
        <v>69.2</v>
      </c>
      <c r="RQ8" s="5">
        <v>69.2</v>
      </c>
      <c r="RR8" s="5">
        <v>69.2</v>
      </c>
      <c r="RS8" s="5">
        <v>69.2</v>
      </c>
      <c r="UO8" s="5">
        <v>69.2</v>
      </c>
      <c r="UP8" s="5">
        <v>69.2</v>
      </c>
      <c r="UQ8" s="5">
        <v>69.2</v>
      </c>
      <c r="UR8" s="5">
        <v>69.2</v>
      </c>
      <c r="US8" s="5">
        <v>103.8</v>
      </c>
      <c r="UT8" s="5">
        <v>69.2</v>
      </c>
      <c r="UU8" s="5">
        <v>69.2</v>
      </c>
      <c r="UV8" s="5">
        <v>69.2</v>
      </c>
      <c r="XQ8" s="5">
        <v>69.2</v>
      </c>
      <c r="XR8" s="5">
        <v>69.2</v>
      </c>
      <c r="XS8" s="5">
        <v>69.2</v>
      </c>
      <c r="XT8" s="5">
        <v>103.8</v>
      </c>
      <c r="XU8" s="5">
        <v>69.2</v>
      </c>
      <c r="XV8" s="5">
        <v>69.2</v>
      </c>
      <c r="XW8" s="5">
        <v>69.2</v>
      </c>
      <c r="XX8" s="5">
        <v>69.2</v>
      </c>
      <c r="AAS8" s="5">
        <v>69.2</v>
      </c>
      <c r="AAT8" s="5">
        <v>69.2</v>
      </c>
      <c r="AAU8" s="5">
        <v>69.2</v>
      </c>
      <c r="AAV8" s="5">
        <v>69.2</v>
      </c>
      <c r="AAW8" s="5">
        <v>103.8</v>
      </c>
      <c r="AAX8" s="5">
        <v>69.2</v>
      </c>
      <c r="AAY8" s="5">
        <v>69.2</v>
      </c>
      <c r="AAZ8" s="5">
        <v>69.2</v>
      </c>
      <c r="ADU8" s="5">
        <v>69.2</v>
      </c>
      <c r="ADV8" s="5">
        <v>69.2</v>
      </c>
      <c r="ADW8" s="5">
        <v>69.2</v>
      </c>
      <c r="ADX8" s="5">
        <v>69.2</v>
      </c>
      <c r="ADY8" s="5">
        <v>103.8</v>
      </c>
      <c r="ADZ8" s="5">
        <v>69.2</v>
      </c>
      <c r="AEA8" s="5">
        <v>69.2</v>
      </c>
      <c r="AEB8" s="5">
        <v>69.2</v>
      </c>
      <c r="AGW8" s="5">
        <v>69.2</v>
      </c>
      <c r="AGX8" s="5">
        <v>69.2</v>
      </c>
      <c r="AGY8" s="5">
        <v>69.2</v>
      </c>
      <c r="AGZ8" s="5">
        <v>69.2</v>
      </c>
      <c r="AHA8" s="5">
        <v>103.8</v>
      </c>
      <c r="AHB8" s="5">
        <v>69.2</v>
      </c>
      <c r="AHC8" s="5">
        <v>69.2</v>
      </c>
      <c r="AHD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51.9</v>
      </c>
      <c r="FF9" s="5">
        <v>51.9</v>
      </c>
      <c r="FG9" s="5">
        <v>51.9</v>
      </c>
      <c r="FH9" s="5">
        <v>69.2</v>
      </c>
      <c r="FI9" s="5">
        <v>51.9</v>
      </c>
      <c r="FJ9" s="5">
        <v>51.9</v>
      </c>
      <c r="FK9" s="5">
        <v>51.9</v>
      </c>
      <c r="IG9" s="5">
        <v>51.9</v>
      </c>
      <c r="IH9" s="5">
        <v>51.9</v>
      </c>
      <c r="II9" s="5">
        <v>51.9</v>
      </c>
      <c r="IJ9" s="5">
        <v>51.9</v>
      </c>
      <c r="IK9" s="5">
        <v>69.2</v>
      </c>
      <c r="IL9" s="5">
        <v>51.9</v>
      </c>
      <c r="IM9" s="5">
        <v>51.9</v>
      </c>
      <c r="IN9" s="5">
        <v>51.9</v>
      </c>
      <c r="LI9" s="5">
        <v>86.5</v>
      </c>
      <c r="LJ9" s="5">
        <v>51.9</v>
      </c>
      <c r="LK9" s="5">
        <v>51.9</v>
      </c>
      <c r="LL9" s="5">
        <v>51.9</v>
      </c>
      <c r="LM9" s="5">
        <v>51.9</v>
      </c>
      <c r="LN9" s="5">
        <v>51.9</v>
      </c>
      <c r="OK9" s="5">
        <v>51.9</v>
      </c>
      <c r="OL9" s="5">
        <v>51.9</v>
      </c>
      <c r="OM9" s="5">
        <v>51.9</v>
      </c>
      <c r="ON9" s="5">
        <v>51.9</v>
      </c>
      <c r="OO9" s="5">
        <v>86.5</v>
      </c>
      <c r="OP9" s="5">
        <v>51.9</v>
      </c>
      <c r="OQ9" s="5">
        <v>51.9</v>
      </c>
      <c r="RM9" s="5">
        <v>51.9</v>
      </c>
      <c r="RN9" s="5">
        <v>51.9</v>
      </c>
      <c r="RO9" s="5">
        <v>86.5</v>
      </c>
      <c r="RP9" s="5">
        <v>51.9</v>
      </c>
      <c r="RQ9" s="5">
        <v>51.9</v>
      </c>
      <c r="RR9" s="5">
        <v>51.9</v>
      </c>
      <c r="RS9" s="5">
        <v>51.9</v>
      </c>
      <c r="UO9" s="5">
        <v>51.9</v>
      </c>
      <c r="UP9" s="5">
        <v>51.9</v>
      </c>
      <c r="UQ9" s="5">
        <v>51.9</v>
      </c>
      <c r="UR9" s="5">
        <v>51.9</v>
      </c>
      <c r="US9" s="5">
        <v>86.5</v>
      </c>
      <c r="UT9" s="5">
        <v>51.9</v>
      </c>
      <c r="UU9" s="5">
        <v>51.9</v>
      </c>
      <c r="UV9" s="5">
        <v>51.9</v>
      </c>
      <c r="XQ9" s="5">
        <v>51.9</v>
      </c>
      <c r="XR9" s="5">
        <v>51.9</v>
      </c>
      <c r="XS9" s="5">
        <v>51.9</v>
      </c>
      <c r="XT9" s="5">
        <v>86.5</v>
      </c>
      <c r="XU9" s="5">
        <v>51.9</v>
      </c>
      <c r="XV9" s="5">
        <v>51.9</v>
      </c>
      <c r="XW9" s="5">
        <v>51.9</v>
      </c>
      <c r="XX9" s="5">
        <v>51.9</v>
      </c>
      <c r="AAS9" s="5">
        <v>51.9</v>
      </c>
      <c r="AAT9" s="5">
        <v>51.9</v>
      </c>
      <c r="AAU9" s="5">
        <v>51.9</v>
      </c>
      <c r="AAV9" s="5">
        <v>51.9</v>
      </c>
      <c r="AAW9" s="5">
        <v>86.5</v>
      </c>
      <c r="AAX9" s="5">
        <v>51.9</v>
      </c>
      <c r="AAY9" s="5">
        <v>51.9</v>
      </c>
      <c r="AAZ9" s="5">
        <v>51.9</v>
      </c>
      <c r="ADU9" s="5">
        <v>51.9</v>
      </c>
      <c r="ADV9" s="5">
        <v>51.9</v>
      </c>
      <c r="ADW9" s="5">
        <v>51.9</v>
      </c>
      <c r="ADX9" s="5">
        <v>51.9</v>
      </c>
      <c r="ADY9" s="5">
        <v>86.5</v>
      </c>
      <c r="ADZ9" s="5">
        <v>51.9</v>
      </c>
      <c r="AEA9" s="5">
        <v>51.9</v>
      </c>
      <c r="AEB9" s="5">
        <v>51.9</v>
      </c>
      <c r="AGW9" s="5">
        <v>51.9</v>
      </c>
      <c r="AGX9" s="5">
        <v>51.9</v>
      </c>
      <c r="AGY9" s="5">
        <v>51.9</v>
      </c>
      <c r="AGZ9" s="5">
        <v>51.9</v>
      </c>
      <c r="AHA9" s="5">
        <v>86.5</v>
      </c>
      <c r="AHB9" s="5">
        <v>51.9</v>
      </c>
      <c r="AHC9" s="5">
        <v>51.9</v>
      </c>
      <c r="AHD9" s="5">
        <v>51.9</v>
      </c>
      <c r="AJY9" t="s">
        <v>10</v>
      </c>
    </row>
    <row r="10" spans="1:961">
      <c r="A10" s="5">
        <v>51.9</v>
      </c>
      <c r="B10" s="5">
        <v>47.58</v>
      </c>
      <c r="C10" s="5">
        <v>47.58</v>
      </c>
      <c r="D10" s="5">
        <v>47.58</v>
      </c>
      <c r="E10" s="5">
        <v>47.58</v>
      </c>
      <c r="F10" s="5">
        <v>47.58</v>
      </c>
      <c r="G10" s="5">
        <v>47.58</v>
      </c>
      <c r="CC10" s="5">
        <v>51.9</v>
      </c>
      <c r="CD10" s="5">
        <v>47.58</v>
      </c>
      <c r="CE10" s="5">
        <v>47.58</v>
      </c>
      <c r="CF10" s="5">
        <v>47.58</v>
      </c>
      <c r="CG10" s="5">
        <v>47.58</v>
      </c>
      <c r="CH10" s="5">
        <v>47.58</v>
      </c>
      <c r="CI10" s="5">
        <v>47.58</v>
      </c>
      <c r="FE10" s="5">
        <v>47.58</v>
      </c>
      <c r="FF10" s="5">
        <v>47.58</v>
      </c>
      <c r="FG10" s="5">
        <v>47.58</v>
      </c>
      <c r="FH10" s="5">
        <v>51.9</v>
      </c>
      <c r="FI10" s="5">
        <v>47.58</v>
      </c>
      <c r="FJ10" s="5">
        <v>47.58</v>
      </c>
      <c r="FK10" s="5">
        <v>47.58</v>
      </c>
      <c r="IG10" s="5">
        <v>47.58</v>
      </c>
      <c r="IH10" s="5">
        <v>47.58</v>
      </c>
      <c r="II10" s="5">
        <v>47.58</v>
      </c>
      <c r="IJ10" s="5">
        <v>47.58</v>
      </c>
      <c r="IK10" s="5">
        <v>51.9</v>
      </c>
      <c r="IL10" s="5">
        <v>47.58</v>
      </c>
      <c r="IM10" s="5">
        <v>47.58</v>
      </c>
      <c r="IN10" s="5">
        <v>47.58</v>
      </c>
      <c r="LI10" s="5">
        <v>69.2</v>
      </c>
      <c r="LJ10" s="5">
        <v>47.58</v>
      </c>
      <c r="LK10" s="5">
        <v>47.58</v>
      </c>
      <c r="LL10" s="5">
        <v>47.58</v>
      </c>
      <c r="LM10" s="5">
        <v>47.58</v>
      </c>
      <c r="LN10" s="5">
        <v>47.58</v>
      </c>
      <c r="OK10" s="5">
        <v>47.58</v>
      </c>
      <c r="OL10" s="5">
        <v>47.58</v>
      </c>
      <c r="OM10" s="5">
        <v>47.58</v>
      </c>
      <c r="ON10" s="5">
        <v>47.58</v>
      </c>
      <c r="OO10" s="5">
        <v>69.2</v>
      </c>
      <c r="OP10" s="5">
        <v>47.58</v>
      </c>
      <c r="OQ10" s="5">
        <v>47.58</v>
      </c>
      <c r="RM10" s="5">
        <v>47.58</v>
      </c>
      <c r="RN10" s="5">
        <v>47.58</v>
      </c>
      <c r="RO10" s="5">
        <v>69.2</v>
      </c>
      <c r="RP10" s="5">
        <v>47.58</v>
      </c>
      <c r="RQ10" s="5">
        <v>47.58</v>
      </c>
      <c r="RR10" s="5">
        <v>47.58</v>
      </c>
      <c r="RS10" s="5">
        <v>47.58</v>
      </c>
      <c r="UO10" s="5">
        <v>47.58</v>
      </c>
      <c r="UP10" s="5">
        <v>47.58</v>
      </c>
      <c r="UQ10" s="5">
        <v>47.58</v>
      </c>
      <c r="UR10" s="5">
        <v>47.58</v>
      </c>
      <c r="US10" s="5">
        <v>69.2</v>
      </c>
      <c r="UT10" s="5">
        <v>47.58</v>
      </c>
      <c r="UU10" s="5">
        <v>47.58</v>
      </c>
      <c r="UV10" s="5">
        <v>47.58</v>
      </c>
      <c r="XQ10" s="5">
        <v>47.58</v>
      </c>
      <c r="XR10" s="5">
        <v>47.58</v>
      </c>
      <c r="XS10" s="5">
        <v>47.58</v>
      </c>
      <c r="XT10" s="5">
        <v>69.2</v>
      </c>
      <c r="XU10" s="5">
        <v>47.58</v>
      </c>
      <c r="XV10" s="5">
        <v>47.58</v>
      </c>
      <c r="XW10" s="5">
        <v>47.58</v>
      </c>
      <c r="XX10" s="5">
        <v>47.58</v>
      </c>
      <c r="AAS10" s="5">
        <v>47.58</v>
      </c>
      <c r="AAT10" s="5">
        <v>47.58</v>
      </c>
      <c r="AAU10" s="5">
        <v>47.58</v>
      </c>
      <c r="AAV10" s="5">
        <v>47.58</v>
      </c>
      <c r="AAW10" s="5">
        <v>69.2</v>
      </c>
      <c r="AAX10" s="5">
        <v>47.58</v>
      </c>
      <c r="AAY10" s="5">
        <v>47.58</v>
      </c>
      <c r="AAZ10" s="5">
        <v>47.58</v>
      </c>
      <c r="ADU10" s="5">
        <v>47.58</v>
      </c>
      <c r="ADV10" s="5">
        <v>47.58</v>
      </c>
      <c r="ADW10" s="5">
        <v>47.58</v>
      </c>
      <c r="ADX10" s="5">
        <v>47.58</v>
      </c>
      <c r="ADY10" s="5">
        <v>69.2</v>
      </c>
      <c r="ADZ10" s="5">
        <v>47.58</v>
      </c>
      <c r="AEA10" s="5">
        <v>47.58</v>
      </c>
      <c r="AEB10" s="5">
        <v>47.58</v>
      </c>
      <c r="AGW10" s="5">
        <v>47.58</v>
      </c>
      <c r="AGX10" s="5">
        <v>47.58</v>
      </c>
      <c r="AGY10" s="5">
        <v>47.58</v>
      </c>
      <c r="AGZ10" s="5">
        <v>47.58</v>
      </c>
      <c r="AHA10" s="5">
        <v>69.2</v>
      </c>
      <c r="AHB10" s="5">
        <v>47.58</v>
      </c>
      <c r="AHC10" s="5">
        <v>47.58</v>
      </c>
      <c r="AHD10" s="5">
        <v>47.58</v>
      </c>
      <c r="AJY10" t="s">
        <v>11</v>
      </c>
    </row>
    <row r="11" spans="1:961">
      <c r="A11" s="5">
        <v>47.58</v>
      </c>
      <c r="B11" s="5">
        <v>43.25</v>
      </c>
      <c r="C11" s="5">
        <v>43.25</v>
      </c>
      <c r="D11" s="5">
        <v>43.25</v>
      </c>
      <c r="E11" s="5">
        <v>43.25</v>
      </c>
      <c r="F11" s="5">
        <v>43.25</v>
      </c>
      <c r="G11" s="5">
        <v>43.25</v>
      </c>
      <c r="CC11" s="5">
        <v>47.58</v>
      </c>
      <c r="CD11" s="5">
        <v>43.25</v>
      </c>
      <c r="CE11" s="5">
        <v>43.25</v>
      </c>
      <c r="CF11" s="5">
        <v>43.25</v>
      </c>
      <c r="CG11" s="5">
        <v>43.25</v>
      </c>
      <c r="CH11" s="5">
        <v>43.25</v>
      </c>
      <c r="CI11" s="5">
        <v>43.25</v>
      </c>
      <c r="FE11" s="5">
        <v>43.25</v>
      </c>
      <c r="FF11" s="5">
        <v>43.25</v>
      </c>
      <c r="FG11" s="5">
        <v>43.25</v>
      </c>
      <c r="FH11" s="5">
        <v>47.58</v>
      </c>
      <c r="FI11" s="5">
        <v>43.25</v>
      </c>
      <c r="FJ11" s="5">
        <v>43.25</v>
      </c>
      <c r="FK11" s="5">
        <v>43.25</v>
      </c>
      <c r="IG11" s="5">
        <v>43.25</v>
      </c>
      <c r="IH11" s="5">
        <v>43.25</v>
      </c>
      <c r="II11" s="5">
        <v>43.25</v>
      </c>
      <c r="IJ11" s="5">
        <v>43.25</v>
      </c>
      <c r="IK11" s="5">
        <v>47.58</v>
      </c>
      <c r="IL11" s="5">
        <v>43.25</v>
      </c>
      <c r="IM11" s="5">
        <v>43.25</v>
      </c>
      <c r="IN11" s="5">
        <v>43.25</v>
      </c>
      <c r="LI11" s="5">
        <v>51.9</v>
      </c>
      <c r="LJ11" s="5">
        <v>43.25</v>
      </c>
      <c r="LK11" s="5">
        <v>43.25</v>
      </c>
      <c r="LL11" s="5">
        <v>43.25</v>
      </c>
      <c r="LM11" s="5">
        <v>43.25</v>
      </c>
      <c r="LN11" s="5">
        <v>43.25</v>
      </c>
      <c r="OK11" s="5">
        <v>43.25</v>
      </c>
      <c r="OL11" s="5">
        <v>43.25</v>
      </c>
      <c r="OM11" s="5">
        <v>43.25</v>
      </c>
      <c r="ON11" s="5">
        <v>43.25</v>
      </c>
      <c r="OO11" s="5">
        <v>51.9</v>
      </c>
      <c r="OP11" s="5">
        <v>43.25</v>
      </c>
      <c r="OQ11" s="5">
        <v>43.25</v>
      </c>
      <c r="RM11" s="5">
        <v>43.25</v>
      </c>
      <c r="RN11" s="5">
        <v>43.25</v>
      </c>
      <c r="RO11" s="5">
        <v>51.9</v>
      </c>
      <c r="RP11" s="5">
        <v>43.25</v>
      </c>
      <c r="RQ11" s="5">
        <v>43.25</v>
      </c>
      <c r="RR11" s="5">
        <v>43.25</v>
      </c>
      <c r="RS11" s="5">
        <v>43.25</v>
      </c>
      <c r="UO11" s="5">
        <v>43.25</v>
      </c>
      <c r="UP11" s="5">
        <v>43.25</v>
      </c>
      <c r="UQ11" s="5">
        <v>43.25</v>
      </c>
      <c r="UR11" s="5">
        <v>43.25</v>
      </c>
      <c r="US11" s="5">
        <v>51.9</v>
      </c>
      <c r="UT11" s="5">
        <v>43.25</v>
      </c>
      <c r="UU11" s="5">
        <v>43.25</v>
      </c>
      <c r="UV11" s="5">
        <v>43.25</v>
      </c>
      <c r="XQ11" s="5">
        <v>43.25</v>
      </c>
      <c r="XR11" s="5">
        <v>43.25</v>
      </c>
      <c r="XS11" s="5">
        <v>43.25</v>
      </c>
      <c r="XT11" s="5">
        <v>51.9</v>
      </c>
      <c r="XU11" s="5">
        <v>43.25</v>
      </c>
      <c r="XV11" s="5">
        <v>43.25</v>
      </c>
      <c r="XW11" s="5">
        <v>43.25</v>
      </c>
      <c r="XX11" s="5">
        <v>43.25</v>
      </c>
      <c r="AAS11" s="5">
        <v>43.25</v>
      </c>
      <c r="AAT11" s="5">
        <v>43.25</v>
      </c>
      <c r="AAU11" s="5">
        <v>43.25</v>
      </c>
      <c r="AAV11" s="5">
        <v>43.25</v>
      </c>
      <c r="AAW11" s="5">
        <v>51.9</v>
      </c>
      <c r="AAX11" s="5">
        <v>43.25</v>
      </c>
      <c r="AAY11" s="5">
        <v>43.25</v>
      </c>
      <c r="AAZ11" s="5">
        <v>43.25</v>
      </c>
      <c r="ADU11" s="5">
        <v>43.25</v>
      </c>
      <c r="ADV11" s="5">
        <v>43.25</v>
      </c>
      <c r="ADW11" s="5">
        <v>43.25</v>
      </c>
      <c r="ADX11" s="5">
        <v>43.25</v>
      </c>
      <c r="ADY11" s="5">
        <v>51.9</v>
      </c>
      <c r="ADZ11" s="5">
        <v>43.25</v>
      </c>
      <c r="AEA11" s="5">
        <v>43.25</v>
      </c>
      <c r="AEB11" s="5">
        <v>43.25</v>
      </c>
      <c r="AGW11" s="5">
        <v>43.25</v>
      </c>
      <c r="AGX11" s="5">
        <v>43.25</v>
      </c>
      <c r="AGY11" s="5">
        <v>43.25</v>
      </c>
      <c r="AGZ11" s="5">
        <v>43.25</v>
      </c>
      <c r="AHA11" s="5">
        <v>51.9</v>
      </c>
      <c r="AHB11" s="5">
        <v>43.25</v>
      </c>
      <c r="AHC11" s="5">
        <v>43.25</v>
      </c>
      <c r="AHD11" s="5">
        <v>43.25</v>
      </c>
      <c r="AJY11" t="s">
        <v>12</v>
      </c>
    </row>
    <row r="12" spans="1:961">
      <c r="A12" s="5">
        <v>43.25</v>
      </c>
      <c r="B12" s="5">
        <v>34.6</v>
      </c>
      <c r="C12" s="5">
        <v>34.6</v>
      </c>
      <c r="D12" s="5">
        <v>34.6</v>
      </c>
      <c r="E12" s="5">
        <v>34.6</v>
      </c>
      <c r="F12" s="5">
        <v>34.6</v>
      </c>
      <c r="G12" s="5">
        <v>34.6</v>
      </c>
      <c r="CC12" s="5">
        <v>43.25</v>
      </c>
      <c r="CD12" s="5">
        <v>34.6</v>
      </c>
      <c r="CE12" s="5">
        <v>34.6</v>
      </c>
      <c r="CF12" s="5">
        <v>34.6</v>
      </c>
      <c r="CG12" s="5">
        <v>34.6</v>
      </c>
      <c r="CH12" s="5">
        <v>34.6</v>
      </c>
      <c r="CI12" s="5">
        <v>34.6</v>
      </c>
      <c r="FE12" s="5">
        <v>34.6</v>
      </c>
      <c r="FF12" s="5">
        <v>34.6</v>
      </c>
      <c r="FG12" s="5">
        <v>34.6</v>
      </c>
      <c r="FH12" s="5">
        <v>43.25</v>
      </c>
      <c r="FI12" s="5">
        <v>34.6</v>
      </c>
      <c r="FJ12" s="5">
        <v>34.6</v>
      </c>
      <c r="FK12" s="5">
        <v>34.6</v>
      </c>
      <c r="IG12" s="5">
        <v>34.6</v>
      </c>
      <c r="IH12" s="5">
        <v>34.6</v>
      </c>
      <c r="II12" s="5">
        <v>34.6</v>
      </c>
      <c r="IJ12" s="5">
        <v>34.6</v>
      </c>
      <c r="IK12" s="5">
        <v>43.25</v>
      </c>
      <c r="IL12" s="5">
        <v>34.6</v>
      </c>
      <c r="IM12" s="5">
        <v>34.6</v>
      </c>
      <c r="IN12" s="5">
        <v>34.6</v>
      </c>
      <c r="LI12" s="5">
        <v>47.58</v>
      </c>
      <c r="LJ12" s="5">
        <v>34.6</v>
      </c>
      <c r="LK12" s="5">
        <v>34.6</v>
      </c>
      <c r="LL12" s="5">
        <v>34.6</v>
      </c>
      <c r="LM12" s="5">
        <v>34.6</v>
      </c>
      <c r="LN12" s="5">
        <v>34.6</v>
      </c>
      <c r="OK12" s="5">
        <v>34.6</v>
      </c>
      <c r="OL12" s="5">
        <v>34.6</v>
      </c>
      <c r="OM12" s="5">
        <v>34.6</v>
      </c>
      <c r="ON12" s="5">
        <v>34.6</v>
      </c>
      <c r="OO12" s="5">
        <v>47.58</v>
      </c>
      <c r="OP12" s="5">
        <v>34.6</v>
      </c>
      <c r="OQ12" s="5">
        <v>34.6</v>
      </c>
      <c r="RM12" s="5">
        <v>34.6</v>
      </c>
      <c r="RN12" s="5">
        <v>34.6</v>
      </c>
      <c r="RO12" s="5">
        <v>47.58</v>
      </c>
      <c r="RP12" s="5">
        <v>34.6</v>
      </c>
      <c r="RQ12" s="5">
        <v>34.6</v>
      </c>
      <c r="RR12" s="5">
        <v>34.6</v>
      </c>
      <c r="RS12" s="5">
        <v>34.6</v>
      </c>
      <c r="UO12" s="5">
        <v>34.6</v>
      </c>
      <c r="UP12" s="5">
        <v>34.6</v>
      </c>
      <c r="UQ12" s="5">
        <v>34.6</v>
      </c>
      <c r="UR12" s="5">
        <v>34.6</v>
      </c>
      <c r="US12" s="5">
        <v>47.58</v>
      </c>
      <c r="UT12" s="5">
        <v>34.6</v>
      </c>
      <c r="UU12" s="5">
        <v>34.6</v>
      </c>
      <c r="UV12" s="5">
        <v>34.6</v>
      </c>
      <c r="XQ12" s="5">
        <v>34.6</v>
      </c>
      <c r="XR12" s="5">
        <v>34.6</v>
      </c>
      <c r="XS12" s="5">
        <v>34.6</v>
      </c>
      <c r="XT12" s="5">
        <v>47.58</v>
      </c>
      <c r="XU12" s="5">
        <v>34.6</v>
      </c>
      <c r="XV12" s="5">
        <v>34.6</v>
      </c>
      <c r="XW12" s="5">
        <v>34.6</v>
      </c>
      <c r="XX12" s="5">
        <v>34.6</v>
      </c>
      <c r="AAS12" s="5">
        <v>34.6</v>
      </c>
      <c r="AAT12" s="5">
        <v>34.6</v>
      </c>
      <c r="AAU12" s="5">
        <v>34.6</v>
      </c>
      <c r="AAV12" s="5">
        <v>34.6</v>
      </c>
      <c r="AAW12" s="5">
        <v>47.58</v>
      </c>
      <c r="AAX12" s="5">
        <v>34.6</v>
      </c>
      <c r="AAY12" s="5">
        <v>34.6</v>
      </c>
      <c r="AAZ12" s="5">
        <v>34.6</v>
      </c>
      <c r="ADU12" s="5">
        <v>34.6</v>
      </c>
      <c r="ADV12" s="5">
        <v>34.6</v>
      </c>
      <c r="ADW12" s="5">
        <v>34.6</v>
      </c>
      <c r="ADX12" s="5">
        <v>34.6</v>
      </c>
      <c r="ADY12" s="5">
        <v>47.58</v>
      </c>
      <c r="ADZ12" s="5">
        <v>34.6</v>
      </c>
      <c r="AEA12" s="5">
        <v>34.6</v>
      </c>
      <c r="AEB12" s="5">
        <v>34.6</v>
      </c>
      <c r="AGW12" s="5">
        <v>34.6</v>
      </c>
      <c r="AGX12" s="5">
        <v>34.6</v>
      </c>
      <c r="AGY12" s="5">
        <v>34.6</v>
      </c>
      <c r="AGZ12" s="5">
        <v>34.6</v>
      </c>
      <c r="AHA12" s="5">
        <v>47.58</v>
      </c>
      <c r="AHB12" s="5">
        <v>34.6</v>
      </c>
      <c r="AHC12" s="5">
        <v>34.6</v>
      </c>
      <c r="AHD12" s="5">
        <v>34.6</v>
      </c>
      <c r="AJY12" t="s">
        <v>13</v>
      </c>
    </row>
    <row r="13" spans="1:961">
      <c r="A13" s="5">
        <v>34.6</v>
      </c>
      <c r="B13" s="5">
        <v>32.01</v>
      </c>
      <c r="C13" s="5">
        <v>32.01</v>
      </c>
      <c r="D13" s="5">
        <v>32.01</v>
      </c>
      <c r="E13" s="5">
        <v>32.01</v>
      </c>
      <c r="F13" s="5">
        <v>32.01</v>
      </c>
      <c r="G13" s="5">
        <v>32.01</v>
      </c>
      <c r="CC13" s="5">
        <v>34.6</v>
      </c>
      <c r="CD13" s="5">
        <v>32.01</v>
      </c>
      <c r="CE13" s="5">
        <v>32.01</v>
      </c>
      <c r="CF13" s="5">
        <v>32.01</v>
      </c>
      <c r="CG13" s="5">
        <v>32.01</v>
      </c>
      <c r="CH13" s="5">
        <v>32.01</v>
      </c>
      <c r="CI13" s="5">
        <v>32.01</v>
      </c>
      <c r="FE13" s="5">
        <v>32.01</v>
      </c>
      <c r="FF13" s="5">
        <v>32.01</v>
      </c>
      <c r="FG13" s="5">
        <v>32.01</v>
      </c>
      <c r="FH13" s="5">
        <v>34.6</v>
      </c>
      <c r="FI13" s="5">
        <v>32.01</v>
      </c>
      <c r="FJ13" s="5">
        <v>32.01</v>
      </c>
      <c r="FK13" s="5">
        <v>32.01</v>
      </c>
      <c r="IG13" s="5">
        <v>32.01</v>
      </c>
      <c r="IH13" s="5">
        <v>32.01</v>
      </c>
      <c r="II13" s="5">
        <v>32.01</v>
      </c>
      <c r="IJ13" s="5">
        <v>32.01</v>
      </c>
      <c r="IK13" s="5">
        <v>34.6</v>
      </c>
      <c r="IL13" s="5">
        <v>32.01</v>
      </c>
      <c r="IM13" s="5">
        <v>32.01</v>
      </c>
      <c r="IN13" s="5">
        <v>32.01</v>
      </c>
      <c r="LI13" s="5">
        <v>43.25</v>
      </c>
      <c r="LJ13" s="5">
        <v>32.01</v>
      </c>
      <c r="LK13" s="5">
        <v>32.01</v>
      </c>
      <c r="LL13" s="5">
        <v>32.01</v>
      </c>
      <c r="LM13" s="5">
        <v>32.01</v>
      </c>
      <c r="LN13" s="5">
        <v>32.01</v>
      </c>
      <c r="OK13" s="5">
        <v>32.01</v>
      </c>
      <c r="OL13" s="5">
        <v>32.01</v>
      </c>
      <c r="OM13" s="5">
        <v>32.01</v>
      </c>
      <c r="ON13" s="5">
        <v>32.01</v>
      </c>
      <c r="OO13" s="5">
        <v>43.25</v>
      </c>
      <c r="OP13" s="5">
        <v>32.01</v>
      </c>
      <c r="OQ13" s="5">
        <v>32.01</v>
      </c>
      <c r="RM13" s="5">
        <v>32.01</v>
      </c>
      <c r="RN13" s="5">
        <v>32.01</v>
      </c>
      <c r="RO13" s="5">
        <v>43.25</v>
      </c>
      <c r="RP13" s="5">
        <v>32.01</v>
      </c>
      <c r="RQ13" s="5">
        <v>32.01</v>
      </c>
      <c r="RR13" s="5">
        <v>32.01</v>
      </c>
      <c r="RS13" s="5">
        <v>32.01</v>
      </c>
      <c r="UO13" s="5">
        <v>32.01</v>
      </c>
      <c r="UP13" s="5">
        <v>32.01</v>
      </c>
      <c r="UQ13" s="5">
        <v>32.01</v>
      </c>
      <c r="UR13" s="5">
        <v>32.01</v>
      </c>
      <c r="US13" s="5">
        <v>43.25</v>
      </c>
      <c r="UT13" s="5">
        <v>32.01</v>
      </c>
      <c r="UU13" s="5">
        <v>32.01</v>
      </c>
      <c r="UV13" s="5">
        <v>32.01</v>
      </c>
      <c r="XQ13" s="5">
        <v>32.01</v>
      </c>
      <c r="XR13" s="5">
        <v>32.01</v>
      </c>
      <c r="XS13" s="5">
        <v>32.01</v>
      </c>
      <c r="XT13" s="5">
        <v>43.25</v>
      </c>
      <c r="XU13" s="5">
        <v>32.01</v>
      </c>
      <c r="XV13" s="5">
        <v>32.01</v>
      </c>
      <c r="XW13" s="5">
        <v>32.01</v>
      </c>
      <c r="XX13" s="5">
        <v>32.01</v>
      </c>
      <c r="AAS13" s="5">
        <v>32.01</v>
      </c>
      <c r="AAT13" s="5">
        <v>32.01</v>
      </c>
      <c r="AAU13" s="5">
        <v>32.01</v>
      </c>
      <c r="AAV13" s="5">
        <v>32.01</v>
      </c>
      <c r="AAW13" s="5">
        <v>43.25</v>
      </c>
      <c r="AAX13" s="5">
        <v>32.01</v>
      </c>
      <c r="AAY13" s="5">
        <v>32.01</v>
      </c>
      <c r="AAZ13" s="5">
        <v>32.01</v>
      </c>
      <c r="ADU13" s="5">
        <v>32.01</v>
      </c>
      <c r="ADV13" s="5">
        <v>32.01</v>
      </c>
      <c r="ADW13" s="5">
        <v>32.01</v>
      </c>
      <c r="ADX13" s="5">
        <v>32.01</v>
      </c>
      <c r="ADY13" s="5">
        <v>43.25</v>
      </c>
      <c r="ADZ13" s="5">
        <v>32.01</v>
      </c>
      <c r="AEA13" s="5">
        <v>32.01</v>
      </c>
      <c r="AEB13" s="5">
        <v>32.01</v>
      </c>
      <c r="AGW13" s="5">
        <v>32.01</v>
      </c>
      <c r="AGX13" s="5">
        <v>32.01</v>
      </c>
      <c r="AGY13" s="5">
        <v>32.01</v>
      </c>
      <c r="AGZ13" s="5">
        <v>32.01</v>
      </c>
      <c r="AHA13" s="5">
        <v>43.25</v>
      </c>
      <c r="AHB13" s="5">
        <v>32.01</v>
      </c>
      <c r="AHC13" s="5">
        <v>32.01</v>
      </c>
      <c r="AHD13" s="5">
        <v>32.01</v>
      </c>
    </row>
    <row r="14" spans="1:961">
      <c r="A14" s="5">
        <v>32.01</v>
      </c>
      <c r="CC14" s="5">
        <v>32.01</v>
      </c>
      <c r="FH14" s="5">
        <v>32.01</v>
      </c>
      <c r="IK14" s="5">
        <v>32.01</v>
      </c>
      <c r="LI14" s="5">
        <v>34.6</v>
      </c>
      <c r="OO14" s="5">
        <v>34.6</v>
      </c>
      <c r="RO14" s="5">
        <v>34.6</v>
      </c>
      <c r="US14" s="5">
        <v>34.6</v>
      </c>
      <c r="XT14" s="5">
        <v>34.6</v>
      </c>
      <c r="AAW14" s="5">
        <v>34.6</v>
      </c>
      <c r="ADY14" s="5">
        <v>34.6</v>
      </c>
      <c r="AHA14" s="5">
        <v>34.6</v>
      </c>
    </row>
  </sheetData>
  <sheetProtection algorithmName="SHA-512" hashValue="anHtDwLt5gGpRyL3LY58oirb029jb4q7Bp90qXwu0EDljduLUYz3sUcQt9kGBB1HhRJ2tlxTf9z7oqHqFFt3Yw==" saltValue="wIdd10RnX0bllA+cXWWJng=="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8"/>
  <sheetViews>
    <sheetView workbookViewId="0"/>
  </sheetViews>
  <sheetFormatPr baseColWidth="10" defaultRowHeight="1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151.38</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144</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173</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170</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173</v>
      </c>
    </row>
    <row r="445" spans="1:5">
      <c r="A445">
        <v>2026</v>
      </c>
      <c r="B445">
        <v>5</v>
      </c>
      <c r="C445" t="s">
        <v>346</v>
      </c>
      <c r="D445" t="s">
        <v>347</v>
      </c>
      <c r="E445" t="s">
        <v>4</v>
      </c>
    </row>
    <row r="446" spans="1:5">
      <c r="A446">
        <v>2026</v>
      </c>
      <c r="B446">
        <v>5</v>
      </c>
      <c r="C446" t="s">
        <v>346</v>
      </c>
      <c r="D446" t="s">
        <v>317</v>
      </c>
      <c r="E446">
        <v>173</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173</v>
      </c>
    </row>
    <row r="455" spans="1:5">
      <c r="A455">
        <v>2026</v>
      </c>
      <c r="B455">
        <v>5</v>
      </c>
      <c r="C455" t="s">
        <v>341</v>
      </c>
      <c r="D455" t="s">
        <v>347</v>
      </c>
      <c r="E455" t="s">
        <v>3</v>
      </c>
    </row>
    <row r="456" spans="1:5">
      <c r="A456">
        <v>2026</v>
      </c>
      <c r="B456">
        <v>5</v>
      </c>
      <c r="C456" t="s">
        <v>341</v>
      </c>
      <c r="D456" t="s">
        <v>317</v>
      </c>
      <c r="E456">
        <v>173</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173</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173</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166</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row r="1388" spans="1:5">
      <c r="A1388">
        <v>2026</v>
      </c>
      <c r="B1388">
        <v>1</v>
      </c>
      <c r="C1388" t="s">
        <v>526</v>
      </c>
      <c r="D1388" t="s">
        <v>317</v>
      </c>
      <c r="E1388">
        <v>171</v>
      </c>
    </row>
  </sheetData>
  <sheetProtection algorithmName="SHA-512" hashValue="/zCwsPOjFWxsjr08nKsrneO+58pKPRxjm5h/+obiR5jy/kkae5+HwlgAyPhoVpVcTApmG1+t2VhmSqMG7eLtVA==" saltValue="1o1ll4w2TSy07MF44p6OMw==" spinCount="100000" sheet="1" objects="1" scenarios="1" sort="0" autoFilter="0"/>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5" defaultRowHeight="14"/>
  <cols>
    <col min="1" max="1" width="4.5" style="223" customWidth="1"/>
    <col min="2" max="2" width="16.33203125" style="223" customWidth="1"/>
    <col min="3" max="4" width="15.6640625" style="223" customWidth="1"/>
    <col min="5" max="5" width="14.6640625" style="223" customWidth="1"/>
    <col min="6" max="6" width="20.83203125" style="223" customWidth="1"/>
    <col min="7" max="7" width="15.83203125" style="223" customWidth="1"/>
    <col min="8" max="8" width="14.6640625" style="223" customWidth="1"/>
    <col min="9" max="9" width="15.6640625" style="223" customWidth="1"/>
    <col min="10" max="10" width="28.6640625" style="223" customWidth="1"/>
    <col min="11" max="11" width="14" style="223" customWidth="1"/>
    <col min="12" max="13" width="20.6640625" style="223" customWidth="1"/>
    <col min="14" max="15" width="15.6640625" style="223" customWidth="1"/>
    <col min="16" max="16" width="11.6640625" style="223" customWidth="1"/>
    <col min="17" max="17" width="20.6640625" style="223" customWidth="1"/>
    <col min="18" max="16384" width="11.5" style="223"/>
  </cols>
  <sheetData>
    <row r="2" spans="2:21" ht="28" customHeight="1">
      <c r="B2" s="218" t="str">
        <f xml:space="preserve"> "FINANZIELL ÜBERSICHT " &amp; EINSTELLUNG!C35</f>
        <v>FINANZIELL ÜBERSICHT 2026</v>
      </c>
      <c r="C2" s="219"/>
      <c r="D2" s="219"/>
      <c r="E2" s="219"/>
      <c r="F2" s="219"/>
      <c r="G2" s="219"/>
      <c r="H2" s="219"/>
      <c r="I2" s="219"/>
      <c r="J2" s="219"/>
      <c r="K2" s="219"/>
      <c r="L2" s="219"/>
      <c r="M2" s="219"/>
      <c r="N2" s="219"/>
      <c r="O2" s="219"/>
      <c r="P2" s="219"/>
      <c r="Q2" s="220"/>
      <c r="R2" s="221"/>
      <c r="S2" s="222"/>
      <c r="T2" s="222"/>
      <c r="U2" s="222"/>
    </row>
    <row r="3" spans="2:21" ht="18" customHeight="1" thickBot="1">
      <c r="B3" s="224"/>
      <c r="C3" s="225"/>
      <c r="D3" s="225"/>
      <c r="E3" s="225"/>
      <c r="F3" s="225"/>
      <c r="G3" s="225"/>
      <c r="H3" s="225"/>
      <c r="I3" s="225"/>
      <c r="J3" s="225"/>
      <c r="K3" s="225"/>
      <c r="L3" s="225"/>
      <c r="M3" s="225"/>
      <c r="N3" s="225"/>
      <c r="O3" s="225"/>
      <c r="P3" s="225"/>
      <c r="Q3" s="226"/>
      <c r="R3" s="221"/>
    </row>
    <row r="4" spans="2:21" ht="24" customHeight="1">
      <c r="B4" s="227"/>
      <c r="C4" s="228" t="s">
        <v>17</v>
      </c>
      <c r="D4" s="228"/>
      <c r="E4" s="228"/>
      <c r="F4" s="228" t="s">
        <v>154</v>
      </c>
      <c r="G4" s="228"/>
      <c r="H4" s="228"/>
      <c r="I4" s="228" t="s">
        <v>155</v>
      </c>
      <c r="J4" s="228"/>
      <c r="K4" s="228"/>
      <c r="L4" s="228" t="s">
        <v>156</v>
      </c>
      <c r="M4" s="228" t="s">
        <v>157</v>
      </c>
      <c r="N4" s="228" t="s">
        <v>158</v>
      </c>
      <c r="O4" s="228"/>
      <c r="P4" s="228"/>
      <c r="Q4" s="229" t="s">
        <v>90</v>
      </c>
    </row>
    <row r="5" spans="2:21" ht="30" customHeight="1">
      <c r="B5" s="230"/>
      <c r="C5" s="231"/>
      <c r="D5" s="231"/>
      <c r="E5" s="231"/>
      <c r="F5" s="231"/>
      <c r="G5" s="231"/>
      <c r="H5" s="231"/>
      <c r="I5" s="231"/>
      <c r="J5" s="231"/>
      <c r="K5" s="231"/>
      <c r="L5" s="231"/>
      <c r="M5" s="231"/>
      <c r="N5" s="231"/>
      <c r="O5" s="231"/>
      <c r="P5" s="231"/>
      <c r="Q5" s="232"/>
    </row>
    <row r="6" spans="2:21" ht="30" customHeight="1">
      <c r="B6" s="230"/>
      <c r="C6" s="233" t="s">
        <v>159</v>
      </c>
      <c r="D6" s="233" t="s">
        <v>160</v>
      </c>
      <c r="E6" s="233" t="s">
        <v>161</v>
      </c>
      <c r="F6" s="233" t="s">
        <v>159</v>
      </c>
      <c r="G6" s="233" t="s">
        <v>160</v>
      </c>
      <c r="H6" s="233" t="s">
        <v>161</v>
      </c>
      <c r="I6" s="233" t="s">
        <v>159</v>
      </c>
      <c r="J6" s="233" t="s">
        <v>160</v>
      </c>
      <c r="K6" s="233" t="s">
        <v>161</v>
      </c>
      <c r="L6" s="231"/>
      <c r="M6" s="231"/>
      <c r="N6" s="233" t="s">
        <v>162</v>
      </c>
      <c r="O6" s="233" t="s">
        <v>163</v>
      </c>
      <c r="P6" s="233" t="s">
        <v>161</v>
      </c>
      <c r="Q6" s="232"/>
    </row>
    <row r="7" spans="2:21" ht="30" customHeight="1">
      <c r="B7" s="234" t="s">
        <v>164</v>
      </c>
      <c r="C7" s="235">
        <f>EINSTELLUNG!C6</f>
        <v>450000</v>
      </c>
      <c r="D7" s="235">
        <f>EINSTELLUNG!C22</f>
        <v>450000</v>
      </c>
      <c r="E7" s="235">
        <f>D7-C7</f>
        <v>0</v>
      </c>
      <c r="F7" s="235">
        <f>EINSTELLUNG!D6</f>
        <v>100000</v>
      </c>
      <c r="G7" s="235">
        <v>94447.220799999996</v>
      </c>
      <c r="H7" s="235">
        <f t="shared" ref="H7:H23" si="0">G7-F7</f>
        <v>-5552.7792000000045</v>
      </c>
      <c r="I7" s="236">
        <f>EINSTELLUNG!E6</f>
        <v>0.22222222222222221</v>
      </c>
      <c r="J7" s="236">
        <v>0.20988271288888888</v>
      </c>
      <c r="K7" s="236">
        <f t="shared" ref="K7:K23" si="1">J7-I7</f>
        <v>-1.2339509333333332E-2</v>
      </c>
      <c r="L7" s="237">
        <f>Januar!S40</f>
        <v>69.25175784045318</v>
      </c>
      <c r="M7" s="237">
        <f>Januar!S41</f>
        <v>4.4628910608292056</v>
      </c>
      <c r="N7" s="237">
        <f>Januar!O5</f>
        <v>748.72526913747924</v>
      </c>
      <c r="O7" s="237">
        <f>Januar!P5</f>
        <v>600</v>
      </c>
      <c r="P7" s="237">
        <f>O7-N7</f>
        <v>-148.72526913747924</v>
      </c>
      <c r="Q7" s="238">
        <v>3.9215686274509803E-2</v>
      </c>
    </row>
    <row r="8" spans="2:21" ht="30" customHeight="1">
      <c r="B8" s="239" t="s">
        <v>165</v>
      </c>
      <c r="C8" s="240">
        <f>EINSTELLUNG!C7</f>
        <v>400000</v>
      </c>
      <c r="D8" s="240">
        <f>EINSTELLUNG!C23</f>
        <v>425000</v>
      </c>
      <c r="E8" s="240">
        <f>D8-C8</f>
        <v>25000</v>
      </c>
      <c r="F8" s="240">
        <f>EINSTELLUNG!D7</f>
        <v>100000</v>
      </c>
      <c r="G8" s="240">
        <v>115139.14290000001</v>
      </c>
      <c r="H8" s="240">
        <f t="shared" si="0"/>
        <v>15139.142900000006</v>
      </c>
      <c r="I8" s="241">
        <f>EINSTELLUNG!E7</f>
        <v>0.25</v>
      </c>
      <c r="J8" s="241">
        <v>0.27091563035294119</v>
      </c>
      <c r="K8" s="241">
        <f t="shared" si="1"/>
        <v>2.0915630352941195E-2</v>
      </c>
      <c r="L8" s="242">
        <f>Februar!S40</f>
        <v>53.280579291531275</v>
      </c>
      <c r="M8" s="242">
        <f>Februar!S41</f>
        <v>3.6356159987162515</v>
      </c>
      <c r="N8" s="242">
        <f>Februar!O5</f>
        <v>887.3295957509589</v>
      </c>
      <c r="O8" s="242">
        <f>Februar!P5</f>
        <v>600</v>
      </c>
      <c r="P8" s="242">
        <f t="shared" ref="P8:P23" si="2">O8-N8</f>
        <v>-287.3295957509589</v>
      </c>
      <c r="Q8" s="243">
        <v>1.6393442622950821E-2</v>
      </c>
    </row>
    <row r="9" spans="2:21" ht="30" customHeight="1">
      <c r="B9" s="234" t="s">
        <v>166</v>
      </c>
      <c r="C9" s="235">
        <f>EINSTELLUNG!C8</f>
        <v>400000</v>
      </c>
      <c r="D9" s="235">
        <f>EINSTELLUNG!C24</f>
        <v>430000</v>
      </c>
      <c r="E9" s="235">
        <f>D9-C9</f>
        <v>30000</v>
      </c>
      <c r="F9" s="235">
        <f>EINSTELLUNG!D8</f>
        <v>100000</v>
      </c>
      <c r="G9" s="235">
        <v>118358.2261</v>
      </c>
      <c r="H9" s="235">
        <f t="shared" si="0"/>
        <v>18358.2261</v>
      </c>
      <c r="I9" s="236">
        <f>EINSTELLUNG!E8</f>
        <v>0.25</v>
      </c>
      <c r="J9" s="236">
        <v>0.27525168860465116</v>
      </c>
      <c r="K9" s="236">
        <f t="shared" si="1"/>
        <v>2.5251688604651157E-2</v>
      </c>
      <c r="L9" s="237">
        <f>Marz!S40</f>
        <v>46.914089392069769</v>
      </c>
      <c r="M9" s="237">
        <f>Marz!S41</f>
        <v>3.1639734706279614</v>
      </c>
      <c r="N9" s="237">
        <f>Marz!O5</f>
        <v>911.59975577664341</v>
      </c>
      <c r="O9" s="237">
        <f>Marz!P5</f>
        <v>600</v>
      </c>
      <c r="P9" s="237">
        <f t="shared" si="2"/>
        <v>-311.59975577664341</v>
      </c>
      <c r="Q9" s="238">
        <v>0</v>
      </c>
    </row>
    <row r="10" spans="2:21" ht="30" customHeight="1">
      <c r="B10" s="244" t="s">
        <v>167</v>
      </c>
      <c r="C10" s="245">
        <f>SUM(C7:C9)</f>
        <v>1250000</v>
      </c>
      <c r="D10" s="245">
        <f>SUM(D7:D9)</f>
        <v>1305000</v>
      </c>
      <c r="E10" s="245">
        <f>D10-C10</f>
        <v>55000</v>
      </c>
      <c r="F10" s="245">
        <f>SUM(F7:F9)</f>
        <v>300000</v>
      </c>
      <c r="G10" s="245">
        <f>SUM(G7:G9)</f>
        <v>327944.58979999996</v>
      </c>
      <c r="H10" s="245">
        <f t="shared" si="0"/>
        <v>27944.589799999958</v>
      </c>
      <c r="I10" s="246">
        <f>AVERAGE(I7:I9)</f>
        <v>0.24074074074074073</v>
      </c>
      <c r="J10" s="246">
        <f>AVERAGE(J7:J9)</f>
        <v>0.25201667728216043</v>
      </c>
      <c r="K10" s="246">
        <f t="shared" si="1"/>
        <v>1.1275936541419701E-2</v>
      </c>
      <c r="L10" s="247">
        <f>AVERAGE(L7:L9)</f>
        <v>56.482142174684746</v>
      </c>
      <c r="M10" s="247">
        <f>AVERAGE(M7:M9)</f>
        <v>3.7541601767244734</v>
      </c>
      <c r="N10" s="247">
        <f>SUM(N7:N9)</f>
        <v>2547.6546206650819</v>
      </c>
      <c r="O10" s="247">
        <f>SUM(O7:O9)</f>
        <v>1800</v>
      </c>
      <c r="P10" s="247">
        <f t="shared" si="2"/>
        <v>-747.65462066508189</v>
      </c>
      <c r="Q10" s="248">
        <v>5.1724137931034482E-2</v>
      </c>
    </row>
    <row r="11" spans="2:21" ht="30" customHeight="1">
      <c r="B11" s="234" t="s">
        <v>168</v>
      </c>
      <c r="C11" s="235">
        <f>EINSTELLUNG!C9</f>
        <v>400000</v>
      </c>
      <c r="D11" s="235">
        <f>EINSTELLUNG!C25</f>
        <v>300000</v>
      </c>
      <c r="E11" s="235">
        <f t="shared" ref="E11:E21" si="3">D11-C11</f>
        <v>-100000</v>
      </c>
      <c r="F11" s="235">
        <f>EINSTELLUNG!D9</f>
        <v>100000</v>
      </c>
      <c r="G11" s="235">
        <v>99166.863299999997</v>
      </c>
      <c r="H11" s="235">
        <f t="shared" si="0"/>
        <v>-833.13670000000275</v>
      </c>
      <c r="I11" s="236">
        <f>EINSTELLUNG!E9</f>
        <v>0.25</v>
      </c>
      <c r="J11" s="236">
        <v>0.33055621099999999</v>
      </c>
      <c r="K11" s="236">
        <f t="shared" si="1"/>
        <v>8.0556210999999989E-2</v>
      </c>
      <c r="L11" s="237">
        <f>April!S40</f>
        <v>40.309577555627222</v>
      </c>
      <c r="M11" s="237">
        <f>April!S41</f>
        <v>3.3591314629689348</v>
      </c>
      <c r="N11" s="237">
        <f>April!O5</f>
        <v>776.44922251234595</v>
      </c>
      <c r="O11" s="237">
        <f>April!P5</f>
        <v>600</v>
      </c>
      <c r="P11" s="237">
        <f t="shared" si="2"/>
        <v>-176.44922251234595</v>
      </c>
      <c r="Q11" s="238">
        <v>1.6129032258064516E-2</v>
      </c>
    </row>
    <row r="12" spans="2:21" ht="30" customHeight="1">
      <c r="B12" s="239" t="s">
        <v>169</v>
      </c>
      <c r="C12" s="240">
        <f>EINSTELLUNG!C10</f>
        <v>400000</v>
      </c>
      <c r="D12" s="240">
        <f>EINSTELLUNG!C26</f>
        <v>420000</v>
      </c>
      <c r="E12" s="240">
        <f t="shared" si="3"/>
        <v>20000</v>
      </c>
      <c r="F12" s="240">
        <f>EINSTELLUNG!D10</f>
        <v>100000</v>
      </c>
      <c r="G12" s="240">
        <v>163981.4558</v>
      </c>
      <c r="H12" s="240">
        <f t="shared" si="0"/>
        <v>63981.455799999996</v>
      </c>
      <c r="I12" s="241">
        <f>EINSTELLUNG!E10</f>
        <v>0.25</v>
      </c>
      <c r="J12" s="241">
        <v>0.3904320376190476</v>
      </c>
      <c r="K12" s="241">
        <f t="shared" si="1"/>
        <v>0.1404320376190476</v>
      </c>
      <c r="L12" s="242">
        <f>Mai!S40</f>
        <v>48.979763194506809</v>
      </c>
      <c r="M12" s="242">
        <f>Mai!S41</f>
        <v>3.6151729976897879</v>
      </c>
      <c r="N12" s="242">
        <f>Mai!O5</f>
        <v>942.84119357670352</v>
      </c>
      <c r="O12" s="242">
        <f>Mai!P5</f>
        <v>600</v>
      </c>
      <c r="P12" s="242">
        <f t="shared" si="2"/>
        <v>-342.84119357670352</v>
      </c>
      <c r="Q12" s="243">
        <v>3.2258064516129031E-2</v>
      </c>
    </row>
    <row r="13" spans="2:21" ht="30" customHeight="1">
      <c r="B13" s="234" t="s">
        <v>170</v>
      </c>
      <c r="C13" s="235">
        <f>EINSTELLUNG!C11</f>
        <v>400000</v>
      </c>
      <c r="D13" s="235">
        <f>EINSTELLUNG!C27</f>
        <v>435000</v>
      </c>
      <c r="E13" s="235">
        <f t="shared" si="3"/>
        <v>35000</v>
      </c>
      <c r="F13" s="235">
        <f>EINSTELLUNG!D11</f>
        <v>100000</v>
      </c>
      <c r="G13" s="235">
        <v>156716.375</v>
      </c>
      <c r="H13" s="235">
        <f t="shared" si="0"/>
        <v>56716.375</v>
      </c>
      <c r="I13" s="236">
        <f>EINSTELLUNG!E11</f>
        <v>0.25</v>
      </c>
      <c r="J13" s="236">
        <v>0.36026752873563217</v>
      </c>
      <c r="K13" s="236">
        <f t="shared" si="1"/>
        <v>0.11026752873563217</v>
      </c>
      <c r="L13" s="237">
        <f>Juni!S40</f>
        <v>4350</v>
      </c>
      <c r="M13" s="237">
        <f>Juni!S41</f>
        <v>310</v>
      </c>
      <c r="N13" s="237">
        <f>Juni!O5</f>
        <v>896.73657467463192</v>
      </c>
      <c r="O13" s="237">
        <f>Juni!P5</f>
        <v>600</v>
      </c>
      <c r="P13" s="237">
        <f t="shared" si="2"/>
        <v>-296.73657467463192</v>
      </c>
      <c r="Q13" s="238">
        <v>1.6393442622950821E-2</v>
      </c>
    </row>
    <row r="14" spans="2:21" ht="30" customHeight="1">
      <c r="B14" s="244" t="s">
        <v>171</v>
      </c>
      <c r="C14" s="245">
        <f>SUM(C11:C13)</f>
        <v>1200000</v>
      </c>
      <c r="D14" s="245">
        <f>SUM(D11:D13)</f>
        <v>1155000</v>
      </c>
      <c r="E14" s="245">
        <f t="shared" si="3"/>
        <v>-45000</v>
      </c>
      <c r="F14" s="245">
        <f>SUM(F11:F13)</f>
        <v>300000</v>
      </c>
      <c r="G14" s="245">
        <f>SUM(G11:G13)</f>
        <v>419864.69409999996</v>
      </c>
      <c r="H14" s="245">
        <f t="shared" si="0"/>
        <v>119864.69409999996</v>
      </c>
      <c r="I14" s="246">
        <f>AVERAGE(I11:I13)</f>
        <v>0.25</v>
      </c>
      <c r="J14" s="246">
        <f>AVERAGE(J11:J13)</f>
        <v>0.36041859245155994</v>
      </c>
      <c r="K14" s="246">
        <f t="shared" si="1"/>
        <v>0.11041859245155994</v>
      </c>
      <c r="L14" s="247">
        <f>AVERAGE(L11:L13)</f>
        <v>1479.7631135833781</v>
      </c>
      <c r="M14" s="247">
        <f>AVERAGE(M11:M13)</f>
        <v>105.65810148688625</v>
      </c>
      <c r="N14" s="247">
        <f>SUM(N11:N13)</f>
        <v>2616.0269907636812</v>
      </c>
      <c r="O14" s="247">
        <f>SUM(O11:O13)</f>
        <v>1800</v>
      </c>
      <c r="P14" s="247">
        <f t="shared" si="2"/>
        <v>-816.02699076368117</v>
      </c>
      <c r="Q14" s="248">
        <v>6.4864864864864868E-2</v>
      </c>
    </row>
    <row r="15" spans="2:21" ht="30" customHeight="1">
      <c r="B15" s="234" t="s">
        <v>172</v>
      </c>
      <c r="C15" s="235">
        <f>EINSTELLUNG!C12</f>
        <v>400000</v>
      </c>
      <c r="D15" s="235">
        <f>EINSTELLUNG!C28</f>
        <v>435000</v>
      </c>
      <c r="E15" s="235">
        <f t="shared" si="3"/>
        <v>35000</v>
      </c>
      <c r="F15" s="235">
        <f>EINSTELLUNG!D12</f>
        <v>100000</v>
      </c>
      <c r="G15" s="235">
        <v>149980.6323</v>
      </c>
      <c r="H15" s="235">
        <f t="shared" si="0"/>
        <v>49980.632299999997</v>
      </c>
      <c r="I15" s="236">
        <f>EINSTELLUNG!E12</f>
        <v>0.25</v>
      </c>
      <c r="J15" s="236">
        <v>0.3447830627586207</v>
      </c>
      <c r="K15" s="236">
        <f t="shared" si="1"/>
        <v>9.4783062758620695E-2</v>
      </c>
      <c r="L15" s="237">
        <f>Juli!S40</f>
        <v>56.695548812912513</v>
      </c>
      <c r="M15" s="237">
        <f>Juli!S41</f>
        <v>4.0403724441385931</v>
      </c>
      <c r="N15" s="237">
        <f>Juli!O5</f>
        <v>797.26655420515192</v>
      </c>
      <c r="O15" s="237">
        <f>Juli!P5</f>
        <v>600</v>
      </c>
      <c r="P15" s="237">
        <f t="shared" si="2"/>
        <v>-197.26655420515192</v>
      </c>
      <c r="Q15" s="238">
        <v>1.6666666666666666E-2</v>
      </c>
    </row>
    <row r="16" spans="2:21" ht="30" customHeight="1">
      <c r="B16" s="239" t="s">
        <v>173</v>
      </c>
      <c r="C16" s="240">
        <f>EINSTELLUNG!C13</f>
        <v>400000</v>
      </c>
      <c r="D16" s="240">
        <f>EINSTELLUNG!C29</f>
        <v>435000</v>
      </c>
      <c r="E16" s="240">
        <f t="shared" si="3"/>
        <v>35000</v>
      </c>
      <c r="F16" s="240">
        <f>EINSTELLUNG!D13</f>
        <v>100000</v>
      </c>
      <c r="G16" s="240">
        <v>145798.35</v>
      </c>
      <c r="H16" s="240">
        <f t="shared" si="0"/>
        <v>45798.350000000006</v>
      </c>
      <c r="I16" s="241">
        <f>EINSTELLUNG!E13</f>
        <v>0.25</v>
      </c>
      <c r="J16" s="241">
        <v>0.33516862068965519</v>
      </c>
      <c r="K16" s="241">
        <f t="shared" si="1"/>
        <v>8.5168620689655195E-2</v>
      </c>
      <c r="L16" s="242">
        <f>August!S40</f>
        <v>60.078143019126948</v>
      </c>
      <c r="M16" s="242">
        <f>August!S41</f>
        <v>4.2814308818228399</v>
      </c>
      <c r="N16" s="242">
        <f>August!O5</f>
        <v>773.80507784155623</v>
      </c>
      <c r="O16" s="242">
        <f>August!P5</f>
        <v>620</v>
      </c>
      <c r="P16" s="242">
        <f t="shared" si="2"/>
        <v>-153.80507784155623</v>
      </c>
      <c r="Q16" s="243">
        <v>0</v>
      </c>
    </row>
    <row r="17" spans="2:17" ht="30" customHeight="1">
      <c r="B17" s="234" t="s">
        <v>174</v>
      </c>
      <c r="C17" s="235">
        <f>EINSTELLUNG!C14</f>
        <v>400000</v>
      </c>
      <c r="D17" s="235">
        <f>EINSTELLUNG!C30</f>
        <v>450000</v>
      </c>
      <c r="E17" s="235">
        <f t="shared" si="3"/>
        <v>50000</v>
      </c>
      <c r="F17" s="235">
        <f>EINSTELLUNG!D14</f>
        <v>100000</v>
      </c>
      <c r="G17" s="235">
        <v>142099.6833</v>
      </c>
      <c r="H17" s="235">
        <f t="shared" si="0"/>
        <v>42099.683300000004</v>
      </c>
      <c r="I17" s="236">
        <f>EINSTELLUNG!E14</f>
        <v>0.25</v>
      </c>
      <c r="J17" s="236">
        <v>0.31577707399999999</v>
      </c>
      <c r="K17" s="236">
        <f t="shared" si="1"/>
        <v>6.5777073999999991E-2</v>
      </c>
      <c r="L17" s="237">
        <f>September!S40</f>
        <v>62.406996240325185</v>
      </c>
      <c r="M17" s="237">
        <f>September!S41</f>
        <v>4.2991486298890687</v>
      </c>
      <c r="N17" s="237">
        <f>September!O5</f>
        <v>781.86296397334399</v>
      </c>
      <c r="O17" s="237">
        <f>September!P5</f>
        <v>600</v>
      </c>
      <c r="P17" s="237">
        <f t="shared" si="2"/>
        <v>-181.86296397334399</v>
      </c>
      <c r="Q17" s="238">
        <v>1.6949152542372881E-2</v>
      </c>
    </row>
    <row r="18" spans="2:17" ht="30" customHeight="1">
      <c r="B18" s="244" t="s">
        <v>175</v>
      </c>
      <c r="C18" s="245">
        <f>SUM(C15:C17)</f>
        <v>1200000</v>
      </c>
      <c r="D18" s="245">
        <f>SUM(D15:D17)</f>
        <v>1320000</v>
      </c>
      <c r="E18" s="245">
        <f>D18-C18</f>
        <v>120000</v>
      </c>
      <c r="F18" s="245">
        <f>SUM(F15:F17)</f>
        <v>300000</v>
      </c>
      <c r="G18" s="245">
        <f>SUM(G15:G17)</f>
        <v>437878.66560000007</v>
      </c>
      <c r="H18" s="245">
        <f t="shared" si="0"/>
        <v>137878.66560000007</v>
      </c>
      <c r="I18" s="246">
        <f>AVERAGE(I15:I17)</f>
        <v>0.25</v>
      </c>
      <c r="J18" s="246">
        <f>AVERAGE(J15:J17)</f>
        <v>0.33190958581609198</v>
      </c>
      <c r="K18" s="246">
        <f t="shared" si="1"/>
        <v>8.1909585816091979E-2</v>
      </c>
      <c r="L18" s="247">
        <f>AVERAGE(L15:L17)</f>
        <v>59.726896024121551</v>
      </c>
      <c r="M18" s="247">
        <f>AVERAGE(M15:M17)</f>
        <v>4.2069839852835003</v>
      </c>
      <c r="N18" s="247">
        <f>SUM(N15:N17)</f>
        <v>2352.9345960200521</v>
      </c>
      <c r="O18" s="247">
        <f>SUM(O15:O17)</f>
        <v>1820</v>
      </c>
      <c r="P18" s="247">
        <f t="shared" si="2"/>
        <v>-532.93459602005214</v>
      </c>
      <c r="Q18" s="248">
        <v>3.3519553072625698E-2</v>
      </c>
    </row>
    <row r="19" spans="2:17" ht="30" customHeight="1">
      <c r="B19" s="234" t="s">
        <v>176</v>
      </c>
      <c r="C19" s="235">
        <f>EINSTELLUNG!C15</f>
        <v>400000</v>
      </c>
      <c r="D19" s="235">
        <f>EINSTELLUNG!C31</f>
        <v>401000</v>
      </c>
      <c r="E19" s="235">
        <f>D19-C19</f>
        <v>1000</v>
      </c>
      <c r="F19" s="235">
        <f>EINSTELLUNG!D15</f>
        <v>100000</v>
      </c>
      <c r="G19" s="235">
        <v>140933.8339</v>
      </c>
      <c r="H19" s="235">
        <f t="shared" si="0"/>
        <v>40933.833899999998</v>
      </c>
      <c r="I19" s="236">
        <f>EINSTELLUNG!E15</f>
        <v>0.25</v>
      </c>
      <c r="J19" s="236">
        <v>0.35145594488778054</v>
      </c>
      <c r="K19" s="236">
        <f t="shared" si="1"/>
        <v>0.10145594488778054</v>
      </c>
      <c r="L19" s="237">
        <f>Oktober!S40</f>
        <v>55.391560315331304</v>
      </c>
      <c r="M19" s="237">
        <f>Oktober!S41</f>
        <v>4.2821405730056625</v>
      </c>
      <c r="N19" s="237">
        <f>Oktober!O5</f>
        <v>757.11029579605577</v>
      </c>
      <c r="O19" s="237">
        <f>Oktober!P5</f>
        <v>600</v>
      </c>
      <c r="P19" s="237">
        <f t="shared" si="2"/>
        <v>-157.11029579605577</v>
      </c>
      <c r="Q19" s="238">
        <v>1.7241379310344827E-2</v>
      </c>
    </row>
    <row r="20" spans="2:17" ht="30" customHeight="1">
      <c r="B20" s="239" t="s">
        <v>177</v>
      </c>
      <c r="C20" s="240">
        <f>EINSTELLUNG!C16</f>
        <v>400000</v>
      </c>
      <c r="D20" s="240">
        <f>EINSTELLUNG!C32</f>
        <v>398000</v>
      </c>
      <c r="E20" s="240">
        <f>D20-C20</f>
        <v>-2000</v>
      </c>
      <c r="F20" s="240">
        <f>EINSTELLUNG!D16</f>
        <v>100000</v>
      </c>
      <c r="G20" s="240">
        <v>138548.35</v>
      </c>
      <c r="H20" s="240">
        <f t="shared" si="0"/>
        <v>38548.350000000006</v>
      </c>
      <c r="I20" s="241">
        <f>EINSTELLUNG!E16</f>
        <v>0.25</v>
      </c>
      <c r="J20" s="241">
        <v>0.34811143216080404</v>
      </c>
      <c r="K20" s="241">
        <f t="shared" si="1"/>
        <v>9.8111432160804035E-2</v>
      </c>
      <c r="L20" s="242">
        <f>November!S40</f>
        <v>59.367807433505824</v>
      </c>
      <c r="M20" s="242">
        <f>November!S41</f>
        <v>4.6241257046198001</v>
      </c>
      <c r="N20" s="242">
        <f>November!O5</f>
        <v>757.11029579605577</v>
      </c>
      <c r="O20" s="242">
        <f>November!P5</f>
        <v>600</v>
      </c>
      <c r="P20" s="242">
        <f t="shared" si="2"/>
        <v>-157.11029579605577</v>
      </c>
      <c r="Q20" s="243">
        <v>1.7543859649122806E-2</v>
      </c>
    </row>
    <row r="21" spans="2:17" ht="30" customHeight="1">
      <c r="B21" s="234" t="s">
        <v>178</v>
      </c>
      <c r="C21" s="235">
        <f>EINSTELLUNG!C17</f>
        <v>400000</v>
      </c>
      <c r="D21" s="235">
        <f>EINSTELLUNG!C33</f>
        <v>390000</v>
      </c>
      <c r="E21" s="235">
        <f t="shared" si="3"/>
        <v>-10000</v>
      </c>
      <c r="F21" s="235">
        <f>EINSTELLUNG!D17</f>
        <v>100000</v>
      </c>
      <c r="G21" s="235">
        <v>137098.35</v>
      </c>
      <c r="H21" s="235">
        <f t="shared" si="0"/>
        <v>37098.350000000006</v>
      </c>
      <c r="I21" s="236">
        <f>EINSTELLUNG!E17</f>
        <v>0.25</v>
      </c>
      <c r="J21" s="236">
        <v>0.35153423076923079</v>
      </c>
      <c r="K21" s="236">
        <f t="shared" si="1"/>
        <v>0.10153423076923079</v>
      </c>
      <c r="L21" s="237">
        <f>Dezember!S40</f>
        <v>60.726286385166588</v>
      </c>
      <c r="M21" s="237">
        <f>Dezember!S41</f>
        <v>4.8269612254876009</v>
      </c>
      <c r="N21" s="237">
        <f>Dezember!O5</f>
        <v>757.11029579605577</v>
      </c>
      <c r="O21" s="237">
        <f>Dezember!P5</f>
        <v>600</v>
      </c>
      <c r="P21" s="237">
        <f t="shared" si="2"/>
        <v>-157.11029579605577</v>
      </c>
      <c r="Q21" s="238">
        <v>0</v>
      </c>
    </row>
    <row r="22" spans="2:17" ht="30" customHeight="1">
      <c r="B22" s="244" t="s">
        <v>179</v>
      </c>
      <c r="C22" s="245">
        <f>SUM(C19:C21)</f>
        <v>1200000</v>
      </c>
      <c r="D22" s="245">
        <f>SUM(D19:D21)</f>
        <v>1189000</v>
      </c>
      <c r="E22" s="245">
        <f>D22-C22</f>
        <v>-11000</v>
      </c>
      <c r="F22" s="245">
        <f>SUM(F19:F21)</f>
        <v>300000</v>
      </c>
      <c r="G22" s="245">
        <f>SUM(G19:G21)</f>
        <v>416580.53390000004</v>
      </c>
      <c r="H22" s="245">
        <f t="shared" si="0"/>
        <v>116580.53390000004</v>
      </c>
      <c r="I22" s="246">
        <f>AVERAGE(I19:I21)</f>
        <v>0.25</v>
      </c>
      <c r="J22" s="246">
        <f>AVERAGE(J19:J21)</f>
        <v>0.35036720260593851</v>
      </c>
      <c r="K22" s="246">
        <f t="shared" si="1"/>
        <v>0.10036720260593851</v>
      </c>
      <c r="L22" s="247">
        <f>AVERAGE(L19:L21)</f>
        <v>58.495218044667901</v>
      </c>
      <c r="M22" s="247">
        <f>AVERAGE(M19:M21)</f>
        <v>4.5777425010376875</v>
      </c>
      <c r="N22" s="247">
        <f>SUM(N19:N21)</f>
        <v>2271.3308873881674</v>
      </c>
      <c r="O22" s="247">
        <f>SUM(O19:O21)</f>
        <v>1800</v>
      </c>
      <c r="P22" s="247">
        <f>O22-N22</f>
        <v>-471.33088738816741</v>
      </c>
      <c r="Q22" s="248">
        <v>3.4883720930232558E-2</v>
      </c>
    </row>
    <row r="23" spans="2:17" ht="32" customHeight="1" thickBot="1">
      <c r="B23" s="249" t="str">
        <f xml:space="preserve"> "GESAMT " &amp; EINSTELLUNG!C35</f>
        <v>GESAMT 2026</v>
      </c>
      <c r="C23" s="250">
        <f>SUM(C10,C14,C18,C22)</f>
        <v>4850000</v>
      </c>
      <c r="D23" s="250">
        <f>SUM(D10,D14,D18,D22)</f>
        <v>4969000</v>
      </c>
      <c r="E23" s="250">
        <f>D23-C23</f>
        <v>119000</v>
      </c>
      <c r="F23" s="250">
        <f>SUM(F10,F14,F18,F22)</f>
        <v>1200000</v>
      </c>
      <c r="G23" s="250">
        <f>SUM(G10,G14,G18,G22)</f>
        <v>1602268.4834000003</v>
      </c>
      <c r="H23" s="250">
        <f t="shared" si="0"/>
        <v>402268.48340000026</v>
      </c>
      <c r="I23" s="251">
        <f>AVERAGE(I10,I14,I18,I22)</f>
        <v>0.24768518518518517</v>
      </c>
      <c r="J23" s="251">
        <f>AVERAGE(J10,J14,J18,J22)</f>
        <v>0.32367801453893769</v>
      </c>
      <c r="K23" s="251">
        <f t="shared" si="1"/>
        <v>7.5992829353752511E-2</v>
      </c>
      <c r="L23" s="252">
        <f>AVERAGE(L22,L18,L14,L10)</f>
        <v>413.61684245671307</v>
      </c>
      <c r="M23" s="252">
        <f>AVERAGE(M10,M14,M18,M22)</f>
        <v>29.549247037482978</v>
      </c>
      <c r="N23" s="252">
        <f>SUM(N10,N14,N18,N22)</f>
        <v>9787.9470948369817</v>
      </c>
      <c r="O23" s="252">
        <f>SUM(O10,O14,O18,O22)</f>
        <v>7220</v>
      </c>
      <c r="P23" s="252">
        <f t="shared" si="2"/>
        <v>-2567.9470948369817</v>
      </c>
      <c r="Q23" s="253">
        <v>0.11699164345403899</v>
      </c>
    </row>
    <row r="24" spans="2:17" ht="15">
      <c r="B24" s="425" t="s">
        <v>460</v>
      </c>
      <c r="O24" s="255"/>
    </row>
    <row r="25" spans="2:17">
      <c r="B25" s="254"/>
      <c r="C25" s="254"/>
      <c r="D25" s="254"/>
      <c r="E25" s="254"/>
      <c r="F25" s="254"/>
      <c r="G25" s="254"/>
      <c r="H25" s="254"/>
    </row>
    <row r="26" spans="2:17">
      <c r="B26" s="256"/>
      <c r="C26" s="256"/>
      <c r="D26" s="256"/>
      <c r="E26" s="256"/>
    </row>
    <row r="27" spans="2:17" ht="15" thickBot="1">
      <c r="B27" s="256"/>
      <c r="C27" s="256"/>
      <c r="D27" s="256"/>
      <c r="E27" s="256"/>
    </row>
    <row r="28" spans="2:17" ht="28" customHeight="1">
      <c r="B28" s="257" t="str">
        <f xml:space="preserve"> "DURCHRECHNUNGSSTUNDEN - " &amp; EINSTELLUNG!C35</f>
        <v>DURCHRECHNUNGSSTUNDEN - 2026</v>
      </c>
      <c r="C28" s="258"/>
      <c r="D28" s="258"/>
      <c r="E28" s="258"/>
      <c r="F28" s="258"/>
      <c r="G28" s="258"/>
      <c r="H28" s="258"/>
      <c r="I28" s="258"/>
      <c r="J28" s="258"/>
      <c r="K28" s="258"/>
      <c r="L28" s="258"/>
      <c r="M28" s="258"/>
      <c r="N28" s="258"/>
      <c r="O28" s="258"/>
      <c r="P28" s="258"/>
      <c r="Q28" s="259"/>
    </row>
    <row r="29" spans="2:17" ht="48" customHeight="1" thickBot="1">
      <c r="B29" s="260" t="s">
        <v>400</v>
      </c>
      <c r="C29" s="261"/>
      <c r="D29" s="261"/>
      <c r="E29" s="261"/>
      <c r="F29" s="261"/>
      <c r="G29" s="261"/>
      <c r="H29" s="261"/>
      <c r="I29" s="261"/>
      <c r="J29" s="261"/>
      <c r="K29" s="261"/>
      <c r="L29" s="261"/>
      <c r="M29" s="261"/>
      <c r="N29" s="261"/>
      <c r="O29" s="261"/>
      <c r="P29" s="261"/>
      <c r="Q29" s="262"/>
    </row>
    <row r="30" spans="2:17" ht="40" customHeight="1" thickBot="1">
      <c r="B30" s="263" t="s">
        <v>363</v>
      </c>
      <c r="C30" s="264"/>
      <c r="D30" s="264"/>
      <c r="E30" s="45">
        <v>1200</v>
      </c>
      <c r="F30" s="264" t="s">
        <v>364</v>
      </c>
      <c r="G30" s="264"/>
      <c r="H30" s="264"/>
      <c r="I30" s="45">
        <v>2000</v>
      </c>
      <c r="J30" s="265"/>
      <c r="K30" s="265"/>
      <c r="L30" s="265"/>
      <c r="M30" s="265"/>
      <c r="N30" s="265"/>
      <c r="O30" s="265"/>
      <c r="P30" s="265"/>
      <c r="Q30" s="266"/>
    </row>
    <row r="31" spans="2:17" s="274" customFormat="1" ht="30" customHeight="1">
      <c r="B31" s="267" t="s">
        <v>332</v>
      </c>
      <c r="C31" s="268" t="s">
        <v>357</v>
      </c>
      <c r="D31" s="268" t="s">
        <v>365</v>
      </c>
      <c r="E31" s="269" t="s">
        <v>358</v>
      </c>
      <c r="F31" s="268" t="s">
        <v>95</v>
      </c>
      <c r="G31" s="268" t="s">
        <v>359</v>
      </c>
      <c r="H31" s="268" t="s">
        <v>360</v>
      </c>
      <c r="I31" s="270" t="s">
        <v>361</v>
      </c>
      <c r="J31" s="271" t="s">
        <v>362</v>
      </c>
      <c r="K31" s="272"/>
      <c r="L31" s="272"/>
      <c r="M31" s="272"/>
      <c r="N31" s="272"/>
      <c r="O31" s="272"/>
      <c r="P31" s="272"/>
      <c r="Q31" s="273"/>
    </row>
    <row r="32" spans="2:17" ht="42" customHeight="1">
      <c r="B32" s="275" t="s">
        <v>366</v>
      </c>
      <c r="C32" s="276" t="s">
        <v>168</v>
      </c>
      <c r="D32" s="277">
        <f>Februar!Q12+Marz!Q13+April!Q13</f>
        <v>24584.730000000003</v>
      </c>
      <c r="E32" s="277">
        <f>EINSTELLUNG!L7+EINSTELLUNG!L8+EINSTELLUNG!L9</f>
        <v>27900</v>
      </c>
      <c r="F32" s="277">
        <f>April!Q15</f>
        <v>-1857.6000000000004</v>
      </c>
      <c r="G32" s="278">
        <f>April!Q42</f>
        <v>11.646195168254289</v>
      </c>
      <c r="H32" s="277">
        <f>MAX(0,-F32)</f>
        <v>1857.6000000000004</v>
      </c>
      <c r="I32" s="279">
        <f>IF(OR(G32=0,H32=0),"",H32*G32*3/2)</f>
        <v>32450.958216823754</v>
      </c>
      <c r="J32" s="280" t="str">
        <f>IF(F32&lt;0,"ACHTUNG: Überstunden",IF(F32&gt;0,"Reserve möglich","OK"))</f>
        <v>ACHTUNG: Überstunden</v>
      </c>
      <c r="K32" s="281"/>
      <c r="L32" s="281"/>
      <c r="M32" s="281"/>
      <c r="N32" s="281"/>
      <c r="O32" s="281"/>
      <c r="P32" s="281"/>
      <c r="Q32" s="282"/>
    </row>
    <row r="33" spans="2:17" ht="42" customHeight="1">
      <c r="B33" s="283" t="s">
        <v>333</v>
      </c>
      <c r="C33" s="284" t="s">
        <v>172</v>
      </c>
      <c r="D33" s="285">
        <f>Mai!Q12+Juni!Q13+Juli!Q13</f>
        <v>24633.519999999997</v>
      </c>
      <c r="E33" s="285">
        <f>EINSTELLUNG!L10+EINSTELLUNG!L11+EINSTELLUNG!L12</f>
        <v>27900</v>
      </c>
      <c r="F33" s="285">
        <f>Juli!Q15</f>
        <v>-1627.4400000000005</v>
      </c>
      <c r="G33" s="286">
        <f>Juli!Q42</f>
        <v>17.585707165153973</v>
      </c>
      <c r="H33" s="285">
        <f>MAX(0,-F33)</f>
        <v>1627.4400000000005</v>
      </c>
      <c r="I33" s="287">
        <f>IF(OR(G33=0,H33=0),"",H33*G33*3/2)</f>
        <v>42929.524903287289</v>
      </c>
      <c r="J33" s="288" t="str">
        <f>IF(F33&lt;0,"ACHTUNG: Überstunden",IF(F33&gt;0,"Reserve möglich","OK"))</f>
        <v>ACHTUNG: Überstunden</v>
      </c>
      <c r="K33" s="289"/>
      <c r="L33" s="289"/>
      <c r="M33" s="289"/>
      <c r="N33" s="289"/>
      <c r="O33" s="289"/>
      <c r="P33" s="289"/>
      <c r="Q33" s="290"/>
    </row>
    <row r="34" spans="2:17" ht="42" customHeight="1">
      <c r="B34" s="275" t="s">
        <v>334</v>
      </c>
      <c r="C34" s="276" t="s">
        <v>176</v>
      </c>
      <c r="D34" s="277">
        <f>August!Q12+September!Q13+Oktober!Q13</f>
        <v>21690.67</v>
      </c>
      <c r="E34" s="277">
        <f>EINSTELLUNG!L13+EINSTELLUNG!L14+EINSTELLUNG!L15</f>
        <v>27900</v>
      </c>
      <c r="F34" s="277">
        <f>Oktober!Q15</f>
        <v>-2060.63</v>
      </c>
      <c r="G34" s="278">
        <f>Oktober!Q42</f>
        <v>17.364053981753944</v>
      </c>
      <c r="H34" s="277">
        <f>MAX(0,-F34)</f>
        <v>2060.63</v>
      </c>
      <c r="I34" s="279">
        <f>IF(OR(G34=0,H34=0),"",H34*G34*3/2)</f>
        <v>53671.335834632453</v>
      </c>
      <c r="J34" s="280" t="str">
        <f>IF(F34&lt;0,"ACHTUNG: Überstunden",IF(F34&gt;0,"Reserve möglich","OK"))</f>
        <v>ACHTUNG: Überstunden</v>
      </c>
      <c r="K34" s="281"/>
      <c r="L34" s="281"/>
      <c r="M34" s="281"/>
      <c r="N34" s="281"/>
      <c r="O34" s="281"/>
      <c r="P34" s="281"/>
      <c r="Q34" s="282"/>
    </row>
    <row r="35" spans="2:17" ht="42" customHeight="1" thickBot="1">
      <c r="B35" s="291" t="s">
        <v>367</v>
      </c>
      <c r="C35" s="292" t="s">
        <v>368</v>
      </c>
      <c r="D35" s="293">
        <f>November!Q12+Dezember!Q13+E30</f>
        <v>14326.23</v>
      </c>
      <c r="E35" s="293">
        <f>EINSTELLUNG!L16+EINSTELLUNG!L17+I30</f>
        <v>20600</v>
      </c>
      <c r="F35" s="293">
        <f>D35-E35</f>
        <v>-6273.77</v>
      </c>
      <c r="G35" s="294">
        <f>Dezember!Q42</f>
        <v>18.280128616822275</v>
      </c>
      <c r="H35" s="293">
        <f>MAX(0,-F35)</f>
        <v>6273.77</v>
      </c>
      <c r="I35" s="295">
        <f>IF(OR(G35=0,H35=0),"",H35*G35*3/2)</f>
        <v>172027.98376854163</v>
      </c>
      <c r="J35" s="296" t="str">
        <f>IF(F35&lt;0,"ACHTUNG: Überstunden",IF(F35&gt;0,"Reserve möglich","OK"))</f>
        <v>ACHTUNG: Überstunden</v>
      </c>
      <c r="K35" s="297"/>
      <c r="L35" s="297"/>
      <c r="M35" s="297"/>
      <c r="N35" s="297"/>
      <c r="O35" s="297"/>
      <c r="P35" s="297"/>
      <c r="Q35" s="298"/>
    </row>
    <row r="36" spans="2:17" ht="40" customHeight="1" thickBot="1">
      <c r="B36" s="299" t="s">
        <v>369</v>
      </c>
      <c r="C36" s="300"/>
      <c r="D36" s="300"/>
      <c r="E36" s="300"/>
      <c r="F36" s="300"/>
      <c r="G36" s="300"/>
      <c r="H36" s="300"/>
      <c r="I36" s="300"/>
      <c r="J36" s="300"/>
      <c r="K36" s="300"/>
      <c r="L36" s="300"/>
      <c r="M36" s="300"/>
      <c r="N36" s="300"/>
      <c r="O36" s="300"/>
      <c r="P36" s="300"/>
      <c r="Q36" s="301"/>
    </row>
    <row r="37" spans="2:17">
      <c r="B37" s="302"/>
      <c r="C37" s="302"/>
      <c r="D37" s="302"/>
      <c r="E37" s="302"/>
      <c r="F37" s="302"/>
      <c r="G37" s="302"/>
      <c r="H37" s="302"/>
      <c r="I37" s="302"/>
      <c r="J37" s="302"/>
      <c r="K37" s="302"/>
      <c r="L37" s="302"/>
      <c r="M37" s="302"/>
      <c r="N37" s="302"/>
      <c r="O37" s="302"/>
      <c r="P37" s="302"/>
      <c r="Q37" s="302"/>
    </row>
    <row r="38" spans="2:17" ht="40" customHeight="1">
      <c r="B38" s="302"/>
      <c r="C38" s="302"/>
      <c r="D38" s="302"/>
      <c r="E38" s="302"/>
      <c r="F38" s="302"/>
      <c r="G38" s="302"/>
      <c r="H38" s="302"/>
      <c r="I38" s="302"/>
      <c r="J38" s="302"/>
      <c r="K38" s="302"/>
      <c r="L38" s="302"/>
      <c r="M38" s="302"/>
      <c r="N38" s="302"/>
      <c r="O38" s="302"/>
      <c r="P38" s="302"/>
      <c r="Q38" s="302"/>
    </row>
    <row r="100" spans="26:26">
      <c r="Z100" s="303"/>
    </row>
  </sheetData>
  <sheetProtection algorithmName="SHA-512" hashValue="tA5Ei5Drxk0Ozcx1UcrVd0BDUAJ2l2qAyko/g166kHD2qkz1Vdf8yhoJmvNcF9uHwCpZf4VhGoIOBEfEAvgCcQ==" saltValue="3nCzfrN36Q/iUpsNOAsCzA=="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H16" sqref="H16"/>
    </sheetView>
  </sheetViews>
  <sheetFormatPr baseColWidth="10" defaultColWidth="10.83203125" defaultRowHeight="15" customHeight="1"/>
  <cols>
    <col min="1" max="1" width="16.83203125" style="172" customWidth="1"/>
    <col min="2" max="2" width="20.83203125" style="172" customWidth="1"/>
    <col min="3" max="4" width="26.83203125" style="172" customWidth="1"/>
    <col min="5" max="5" width="27.83203125" style="172" customWidth="1"/>
    <col min="6" max="6" width="14.5" style="172" customWidth="1"/>
    <col min="7" max="7" width="12" style="172" customWidth="1"/>
    <col min="8" max="8" width="16.5" style="172" customWidth="1"/>
    <col min="9" max="9" width="22.1640625" style="172" customWidth="1"/>
    <col min="10" max="10" width="15.33203125" style="172" customWidth="1"/>
    <col min="11" max="12" width="37.6640625" style="172" customWidth="1"/>
    <col min="13" max="14" width="31.6640625" style="172" customWidth="1"/>
    <col min="15" max="15" width="10.83203125" style="172"/>
    <col min="16" max="19" width="2.83203125" style="172" customWidth="1"/>
    <col min="20" max="26" width="10.83203125" style="172" hidden="1" customWidth="1"/>
    <col min="27" max="16384" width="10.83203125" style="172"/>
  </cols>
  <sheetData>
    <row r="1" spans="1:17" ht="28" customHeight="1">
      <c r="A1" s="192" t="s">
        <v>426</v>
      </c>
      <c r="B1" s="192"/>
      <c r="C1" s="192"/>
      <c r="D1" s="192"/>
      <c r="E1" s="192"/>
      <c r="P1" s="172" t="s">
        <v>206</v>
      </c>
      <c r="Q1" s="172" t="s">
        <v>218</v>
      </c>
    </row>
    <row r="2" spans="1:17" ht="18" customHeight="1">
      <c r="A2" s="8" t="s">
        <v>319</v>
      </c>
      <c r="B2" s="8">
        <v>2026</v>
      </c>
      <c r="C2" s="8" t="s">
        <v>320</v>
      </c>
      <c r="D2" s="8" t="s">
        <v>475</v>
      </c>
      <c r="E2" s="8"/>
      <c r="P2" s="172" t="s">
        <v>277</v>
      </c>
      <c r="Q2" s="172">
        <v>2</v>
      </c>
    </row>
    <row r="3" spans="1:17" ht="15" customHeight="1">
      <c r="P3" s="172" t="s">
        <v>314</v>
      </c>
      <c r="Q3" s="172">
        <v>1</v>
      </c>
    </row>
    <row r="4" spans="1:17" ht="22" customHeight="1" thickBot="1">
      <c r="A4" s="201" t="s">
        <v>321</v>
      </c>
      <c r="B4" s="201"/>
      <c r="C4" s="201"/>
      <c r="D4" s="201"/>
      <c r="E4" s="201"/>
      <c r="P4" s="172" t="s">
        <v>168</v>
      </c>
      <c r="Q4" s="172">
        <v>1</v>
      </c>
    </row>
    <row r="5" spans="1:17" ht="24" customHeight="1">
      <c r="A5" s="207" t="s">
        <v>288</v>
      </c>
      <c r="B5" s="209" t="s">
        <v>461</v>
      </c>
      <c r="C5" s="205" t="s">
        <v>476</v>
      </c>
      <c r="D5" s="205"/>
      <c r="E5" s="206"/>
      <c r="P5" s="172" t="s">
        <v>169</v>
      </c>
      <c r="Q5" s="172">
        <v>2</v>
      </c>
    </row>
    <row r="6" spans="1:17" ht="24" customHeight="1" thickBot="1">
      <c r="A6" s="208"/>
      <c r="B6" s="210"/>
      <c r="C6" s="202"/>
      <c r="D6" s="202"/>
      <c r="E6" s="203"/>
      <c r="P6" s="172" t="s">
        <v>170</v>
      </c>
      <c r="Q6" s="172">
        <v>1</v>
      </c>
    </row>
    <row r="7" spans="1:17" ht="15" customHeight="1" thickBot="1">
      <c r="A7" s="425" t="s">
        <v>460</v>
      </c>
      <c r="P7" s="172" t="s">
        <v>172</v>
      </c>
      <c r="Q7" s="172">
        <v>1</v>
      </c>
    </row>
    <row r="8" spans="1:17" ht="24" customHeight="1">
      <c r="A8" s="9" t="s">
        <v>212</v>
      </c>
      <c r="B8" s="10" t="s">
        <v>322</v>
      </c>
      <c r="C8" s="10" t="s">
        <v>214</v>
      </c>
      <c r="D8" s="10" t="s">
        <v>323</v>
      </c>
      <c r="E8" s="11" t="s">
        <v>324</v>
      </c>
      <c r="P8" s="172" t="s">
        <v>174</v>
      </c>
      <c r="Q8" s="172">
        <v>1</v>
      </c>
    </row>
    <row r="9" spans="1:17" ht="22" customHeight="1" thickBot="1">
      <c r="A9" s="47">
        <v>11</v>
      </c>
      <c r="B9" s="173">
        <v>0.11699164345403899</v>
      </c>
      <c r="C9" s="48">
        <v>9.4499999999999993</v>
      </c>
      <c r="D9" s="49">
        <v>5</v>
      </c>
      <c r="E9" s="112">
        <v>0</v>
      </c>
      <c r="P9" s="172" t="s">
        <v>176</v>
      </c>
      <c r="Q9" s="172">
        <v>1</v>
      </c>
    </row>
    <row r="10" spans="1:17" ht="15" customHeight="1">
      <c r="P10" s="172" t="s">
        <v>177</v>
      </c>
      <c r="Q10" s="172">
        <v>1</v>
      </c>
    </row>
    <row r="11" spans="1:17" ht="22" customHeight="1" thickBot="1">
      <c r="A11" s="201" t="s">
        <v>427</v>
      </c>
      <c r="B11" s="201"/>
      <c r="C11" s="201"/>
      <c r="D11" s="201"/>
      <c r="E11" s="201"/>
    </row>
    <row r="12" spans="1:17" ht="22" customHeight="1">
      <c r="A12" s="9" t="s">
        <v>325</v>
      </c>
      <c r="B12" s="10" t="s">
        <v>326</v>
      </c>
      <c r="C12" s="10" t="s">
        <v>327</v>
      </c>
      <c r="D12" s="211" t="s">
        <v>428</v>
      </c>
      <c r="E12" s="212"/>
    </row>
    <row r="13" spans="1:17" ht="57.25" customHeight="1">
      <c r="A13" s="50">
        <v>1</v>
      </c>
      <c r="B13" s="51" t="s">
        <v>452</v>
      </c>
      <c r="C13" s="51" t="s">
        <v>465</v>
      </c>
      <c r="D13" s="197" t="s">
        <v>453</v>
      </c>
      <c r="E13" s="198"/>
    </row>
    <row r="14" spans="1:17" ht="57.25" customHeight="1">
      <c r="A14" s="50">
        <v>2</v>
      </c>
      <c r="B14" s="51" t="s">
        <v>219</v>
      </c>
      <c r="C14" s="51" t="s">
        <v>429</v>
      </c>
      <c r="D14" s="197" t="s">
        <v>430</v>
      </c>
      <c r="E14" s="198"/>
    </row>
    <row r="15" spans="1:17" ht="73" customHeight="1">
      <c r="A15" s="50">
        <v>3</v>
      </c>
      <c r="B15" s="51" t="s">
        <v>219</v>
      </c>
      <c r="C15" s="51" t="s">
        <v>431</v>
      </c>
      <c r="D15" s="197" t="s">
        <v>430</v>
      </c>
      <c r="E15" s="198"/>
    </row>
    <row r="16" spans="1:17" ht="57.25" customHeight="1">
      <c r="A16" s="50">
        <v>4</v>
      </c>
      <c r="B16" s="51" t="s">
        <v>452</v>
      </c>
      <c r="C16" s="51" t="s">
        <v>471</v>
      </c>
      <c r="D16" s="197" t="s">
        <v>453</v>
      </c>
      <c r="E16" s="198"/>
    </row>
    <row r="17" spans="1:17" ht="57.25" customHeight="1">
      <c r="A17" s="50">
        <v>5</v>
      </c>
      <c r="B17" s="51" t="s">
        <v>220</v>
      </c>
      <c r="C17" s="51" t="s">
        <v>432</v>
      </c>
      <c r="D17" s="197" t="s">
        <v>433</v>
      </c>
      <c r="E17" s="198"/>
    </row>
    <row r="18" spans="1:17" ht="73" customHeight="1" thickBot="1">
      <c r="A18" s="52">
        <v>6</v>
      </c>
      <c r="B18" s="46" t="s">
        <v>452</v>
      </c>
      <c r="C18" s="46" t="s">
        <v>462</v>
      </c>
      <c r="D18" s="202" t="s">
        <v>453</v>
      </c>
      <c r="E18" s="203"/>
    </row>
    <row r="20" spans="1:17" ht="15" customHeight="1">
      <c r="P20" s="172" t="s">
        <v>211</v>
      </c>
      <c r="Q20" s="172" t="s">
        <v>329</v>
      </c>
    </row>
    <row r="21" spans="1:17" ht="22" customHeight="1" thickBot="1">
      <c r="A21" s="201" t="s">
        <v>328</v>
      </c>
      <c r="B21" s="201"/>
      <c r="C21" s="201"/>
      <c r="D21" s="201"/>
      <c r="E21" s="201"/>
      <c r="P21" s="172" t="s">
        <v>297</v>
      </c>
      <c r="Q21" s="172">
        <v>1</v>
      </c>
    </row>
    <row r="22" spans="1:17" ht="41.5" customHeight="1">
      <c r="A22" s="53">
        <v>1</v>
      </c>
      <c r="B22" s="205" t="s">
        <v>454</v>
      </c>
      <c r="C22" s="205"/>
      <c r="D22" s="205"/>
      <c r="E22" s="206"/>
      <c r="P22" s="172" t="s">
        <v>455</v>
      </c>
      <c r="Q22" s="172">
        <v>3</v>
      </c>
    </row>
    <row r="23" spans="1:17" ht="41.5" customHeight="1">
      <c r="A23" s="50">
        <v>2</v>
      </c>
      <c r="B23" s="197" t="s">
        <v>434</v>
      </c>
      <c r="C23" s="197"/>
      <c r="D23" s="197"/>
      <c r="E23" s="198"/>
      <c r="P23" s="172" t="s">
        <v>216</v>
      </c>
      <c r="Q23" s="172">
        <v>1</v>
      </c>
    </row>
    <row r="24" spans="1:17" ht="41.5" customHeight="1">
      <c r="A24" s="50">
        <v>3</v>
      </c>
      <c r="B24" s="197" t="s">
        <v>435</v>
      </c>
      <c r="C24" s="197"/>
      <c r="D24" s="197"/>
      <c r="E24" s="198"/>
      <c r="P24" s="172" t="s">
        <v>330</v>
      </c>
      <c r="Q24" s="172">
        <v>5</v>
      </c>
    </row>
    <row r="25" spans="1:17" ht="41.5" customHeight="1">
      <c r="A25" s="50">
        <v>4</v>
      </c>
      <c r="B25" s="197" t="s">
        <v>463</v>
      </c>
      <c r="C25" s="197"/>
      <c r="D25" s="197"/>
      <c r="E25" s="198"/>
      <c r="P25" s="172" t="s">
        <v>355</v>
      </c>
      <c r="Q25" s="172">
        <v>1</v>
      </c>
    </row>
    <row r="26" spans="1:17" ht="41.5" customHeight="1" thickBot="1">
      <c r="A26" s="52">
        <v>5</v>
      </c>
      <c r="B26" s="202" t="s">
        <v>466</v>
      </c>
      <c r="C26" s="202"/>
      <c r="D26" s="202"/>
      <c r="E26" s="203"/>
    </row>
    <row r="28" spans="1:17" ht="15" customHeight="1">
      <c r="A28" s="204" t="s">
        <v>331</v>
      </c>
      <c r="B28" s="204"/>
      <c r="C28" s="204"/>
      <c r="D28" s="204"/>
      <c r="E28" s="204"/>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72" t="s">
        <v>183</v>
      </c>
      <c r="S40" s="172" t="s">
        <v>329</v>
      </c>
    </row>
    <row r="41" spans="18:19" ht="18" customHeight="1">
      <c r="R41" s="172" t="s">
        <v>194</v>
      </c>
      <c r="S41" s="172">
        <v>3</v>
      </c>
    </row>
    <row r="42" spans="18:19" ht="18" customHeight="1">
      <c r="R42" s="172" t="s">
        <v>186</v>
      </c>
      <c r="S42" s="172">
        <v>4</v>
      </c>
    </row>
    <row r="43" spans="18:19" ht="18" customHeight="1">
      <c r="R43" s="172" t="s">
        <v>184</v>
      </c>
      <c r="S43" s="172">
        <v>2</v>
      </c>
    </row>
    <row r="44" spans="18:19" ht="18" customHeight="1">
      <c r="R44" s="172" t="s">
        <v>185</v>
      </c>
      <c r="S44" s="172">
        <v>1</v>
      </c>
    </row>
    <row r="45" spans="18:19" ht="18" customHeight="1">
      <c r="R45" s="172" t="s">
        <v>195</v>
      </c>
      <c r="S45" s="172">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192" t="s">
        <v>436</v>
      </c>
      <c r="B60" s="192"/>
      <c r="C60" s="192"/>
      <c r="D60" s="192"/>
      <c r="E60" s="192"/>
      <c r="F60" s="192"/>
      <c r="G60" s="192"/>
      <c r="H60" s="192"/>
      <c r="I60" s="192"/>
      <c r="J60" s="192"/>
      <c r="K60" s="192"/>
      <c r="L60" s="192"/>
      <c r="M60" s="192"/>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199" t="s">
        <v>457</v>
      </c>
      <c r="L63" s="199"/>
      <c r="M63" s="200"/>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199" t="s">
        <v>440</v>
      </c>
      <c r="L64" s="199"/>
      <c r="M64" s="200"/>
    </row>
    <row r="65" spans="1:13" ht="41.5" customHeight="1">
      <c r="A65" s="54" t="s">
        <v>168</v>
      </c>
      <c r="B65" s="55">
        <v>1</v>
      </c>
      <c r="C65" s="56">
        <v>1.6129032258064516E-2</v>
      </c>
      <c r="D65" s="57">
        <v>1.125</v>
      </c>
      <c r="E65" s="57">
        <v>1.125</v>
      </c>
      <c r="F65" s="55">
        <v>0</v>
      </c>
      <c r="G65" s="55">
        <v>1</v>
      </c>
      <c r="H65" s="55">
        <v>0</v>
      </c>
      <c r="I65" s="55">
        <v>0</v>
      </c>
      <c r="J65" s="58" t="s">
        <v>439</v>
      </c>
      <c r="K65" s="199" t="s">
        <v>457</v>
      </c>
      <c r="L65" s="199"/>
      <c r="M65" s="200"/>
    </row>
    <row r="66" spans="1:13" ht="73" customHeight="1">
      <c r="A66" s="54" t="s">
        <v>169</v>
      </c>
      <c r="B66" s="55">
        <v>2</v>
      </c>
      <c r="C66" s="56">
        <v>3.2258064516129031E-2</v>
      </c>
      <c r="D66" s="57">
        <v>1.75</v>
      </c>
      <c r="E66" s="57">
        <v>0.875</v>
      </c>
      <c r="F66" s="55">
        <v>0</v>
      </c>
      <c r="G66" s="55">
        <v>0</v>
      </c>
      <c r="H66" s="55">
        <v>1</v>
      </c>
      <c r="I66" s="55">
        <v>0</v>
      </c>
      <c r="J66" s="58" t="s">
        <v>456</v>
      </c>
      <c r="K66" s="199" t="s">
        <v>441</v>
      </c>
      <c r="L66" s="199"/>
      <c r="M66" s="200"/>
    </row>
    <row r="67" spans="1:13" ht="34" customHeight="1">
      <c r="A67" s="54" t="s">
        <v>170</v>
      </c>
      <c r="B67" s="55">
        <v>1</v>
      </c>
      <c r="C67" s="56">
        <v>1.6393442622950821E-2</v>
      </c>
      <c r="D67" s="57">
        <v>0</v>
      </c>
      <c r="E67" s="57">
        <v>0</v>
      </c>
      <c r="F67" s="55">
        <v>0</v>
      </c>
      <c r="G67" s="55">
        <v>0</v>
      </c>
      <c r="H67" s="55">
        <v>0</v>
      </c>
      <c r="I67" s="55">
        <v>1</v>
      </c>
      <c r="J67" s="58" t="s">
        <v>353</v>
      </c>
      <c r="K67" s="199" t="s">
        <v>354</v>
      </c>
      <c r="L67" s="199"/>
      <c r="M67" s="200"/>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199" t="s">
        <v>457</v>
      </c>
      <c r="L68" s="199"/>
      <c r="M68" s="200"/>
    </row>
    <row r="69" spans="1:13" ht="41.5" customHeight="1">
      <c r="A69" s="54" t="s">
        <v>174</v>
      </c>
      <c r="B69" s="55">
        <v>1</v>
      </c>
      <c r="C69" s="56">
        <v>1.6949152542372881E-2</v>
      </c>
      <c r="D69" s="57">
        <v>0.75</v>
      </c>
      <c r="E69" s="57">
        <v>0.75</v>
      </c>
      <c r="F69" s="55">
        <v>0</v>
      </c>
      <c r="G69" s="55">
        <v>0</v>
      </c>
      <c r="H69" s="55">
        <v>0</v>
      </c>
      <c r="I69" s="55">
        <v>0</v>
      </c>
      <c r="J69" s="58" t="s">
        <v>438</v>
      </c>
      <c r="K69" s="199" t="s">
        <v>279</v>
      </c>
      <c r="L69" s="199"/>
      <c r="M69" s="200"/>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199" t="s">
        <v>279</v>
      </c>
      <c r="L70" s="199"/>
      <c r="M70" s="200"/>
    </row>
    <row r="71" spans="1:13" ht="41.5" customHeight="1">
      <c r="A71" s="54" t="s">
        <v>177</v>
      </c>
      <c r="B71" s="55">
        <v>1</v>
      </c>
      <c r="C71" s="56">
        <v>1.7543859649122806E-2</v>
      </c>
      <c r="D71" s="57">
        <v>0.5</v>
      </c>
      <c r="E71" s="57">
        <v>0.5</v>
      </c>
      <c r="F71" s="55">
        <v>0</v>
      </c>
      <c r="G71" s="55">
        <v>0</v>
      </c>
      <c r="H71" s="55">
        <v>0</v>
      </c>
      <c r="I71" s="55">
        <v>0</v>
      </c>
      <c r="J71" s="58" t="s">
        <v>438</v>
      </c>
      <c r="K71" s="199" t="s">
        <v>279</v>
      </c>
      <c r="L71" s="199"/>
      <c r="M71" s="200"/>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215" t="s">
        <v>442</v>
      </c>
      <c r="B76" s="216"/>
      <c r="C76" s="216"/>
      <c r="D76" s="216"/>
      <c r="E76" s="217"/>
    </row>
    <row r="77" spans="1:13" ht="41.5" customHeight="1">
      <c r="A77" s="50" t="s">
        <v>221</v>
      </c>
      <c r="B77" s="199" t="s">
        <v>223</v>
      </c>
      <c r="C77" s="199"/>
      <c r="D77" s="199"/>
      <c r="E77" s="200"/>
    </row>
    <row r="78" spans="1:13" ht="41.5" customHeight="1">
      <c r="A78" s="50" t="s">
        <v>214</v>
      </c>
      <c r="B78" s="199" t="s">
        <v>443</v>
      </c>
      <c r="C78" s="199"/>
      <c r="D78" s="199"/>
      <c r="E78" s="200"/>
    </row>
    <row r="79" spans="1:13" ht="41.5" customHeight="1">
      <c r="A79" s="50" t="s">
        <v>275</v>
      </c>
      <c r="B79" s="199" t="s">
        <v>444</v>
      </c>
      <c r="C79" s="199"/>
      <c r="D79" s="199"/>
      <c r="E79" s="200"/>
    </row>
    <row r="80" spans="1:13" ht="41.5" customHeight="1">
      <c r="A80" s="50" t="s">
        <v>219</v>
      </c>
      <c r="B80" s="199" t="s">
        <v>445</v>
      </c>
      <c r="C80" s="199"/>
      <c r="D80" s="199"/>
      <c r="E80" s="200"/>
    </row>
    <row r="81" spans="1:5" ht="41.5" customHeight="1">
      <c r="A81" s="50" t="s">
        <v>215</v>
      </c>
      <c r="B81" s="199" t="s">
        <v>446</v>
      </c>
      <c r="C81" s="199"/>
      <c r="D81" s="199"/>
      <c r="E81" s="200"/>
    </row>
    <row r="82" spans="1:5" ht="41.5" customHeight="1">
      <c r="A82" s="50" t="s">
        <v>220</v>
      </c>
      <c r="B82" s="199" t="s">
        <v>447</v>
      </c>
      <c r="C82" s="199"/>
      <c r="D82" s="199"/>
      <c r="E82" s="200"/>
    </row>
    <row r="83" spans="1:5" ht="28" customHeight="1">
      <c r="A83" s="50" t="s">
        <v>217</v>
      </c>
      <c r="B83" s="199" t="s">
        <v>448</v>
      </c>
      <c r="C83" s="199"/>
      <c r="D83" s="199"/>
      <c r="E83" s="200"/>
    </row>
    <row r="84" spans="1:5" ht="28" customHeight="1" thickBot="1">
      <c r="A84" s="52" t="s">
        <v>449</v>
      </c>
      <c r="B84" s="213" t="s">
        <v>450</v>
      </c>
      <c r="C84" s="213"/>
      <c r="D84" s="213"/>
      <c r="E84" s="214"/>
    </row>
  </sheetData>
  <sheetProtection algorithmName="SHA-512" hashValue="gSwvK6bdmKgrgzdiuN9B9hl+Plv9a9gggSyXX8iHJIYDGVM+nD45TvImW+sSEo4soB6wbYhnl7Ln72qK7ylJoA==" saltValue="tjIc5nR43TJtY9+sg2flTQ==" spinCount="100000" sheet="1" objects="1" scenarios="1" sort="0" autoFilter="0"/>
  <mergeCells count="39">
    <mergeCell ref="K67:M67"/>
    <mergeCell ref="K68:M68"/>
    <mergeCell ref="B84:E84"/>
    <mergeCell ref="A76:E76"/>
    <mergeCell ref="K71:M71"/>
    <mergeCell ref="B83:E8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8">
      <c r="A1" s="131" t="s">
        <v>477</v>
      </c>
      <c r="B1" s="131" t="s">
        <v>288</v>
      </c>
      <c r="C1" s="131" t="s">
        <v>478</v>
      </c>
      <c r="D1" s="131" t="s">
        <v>479</v>
      </c>
      <c r="E1" s="131" t="s">
        <v>480</v>
      </c>
    </row>
    <row r="2" spans="1:8" ht="32">
      <c r="A2" s="132" t="s">
        <v>481</v>
      </c>
      <c r="B2" s="133" t="s">
        <v>482</v>
      </c>
      <c r="C2" s="135" t="s">
        <v>483</v>
      </c>
      <c r="D2" s="136">
        <v>46186.017812500002</v>
      </c>
      <c r="E2" s="135" t="s">
        <v>484</v>
      </c>
      <c r="F2" s="426" t="s">
        <v>460</v>
      </c>
      <c r="G2" s="427"/>
      <c r="H2" s="427"/>
    </row>
    <row r="3" spans="1:8" ht="32">
      <c r="A3" s="132" t="s">
        <v>485</v>
      </c>
      <c r="B3" s="133" t="s">
        <v>482</v>
      </c>
      <c r="C3" s="135" t="s">
        <v>486</v>
      </c>
      <c r="D3" s="136">
        <v>46186.017812500002</v>
      </c>
      <c r="E3" s="135" t="s">
        <v>487</v>
      </c>
    </row>
    <row r="4" spans="1:8" ht="32">
      <c r="A4" s="132" t="s">
        <v>488</v>
      </c>
      <c r="B4" s="133" t="s">
        <v>482</v>
      </c>
      <c r="C4" s="135" t="s">
        <v>489</v>
      </c>
      <c r="D4" s="136">
        <v>46186.017812500002</v>
      </c>
      <c r="E4" s="135" t="s">
        <v>490</v>
      </c>
    </row>
    <row r="5" spans="1:8" ht="32">
      <c r="A5" s="132" t="s">
        <v>491</v>
      </c>
      <c r="B5" s="133" t="s">
        <v>482</v>
      </c>
      <c r="C5" s="135" t="s">
        <v>492</v>
      </c>
      <c r="D5" s="136">
        <v>46186.017812500002</v>
      </c>
      <c r="E5" s="135" t="s">
        <v>493</v>
      </c>
    </row>
    <row r="6" spans="1:8" ht="32">
      <c r="A6" s="132" t="s">
        <v>494</v>
      </c>
      <c r="B6" s="133" t="s">
        <v>482</v>
      </c>
      <c r="C6" s="135" t="s">
        <v>495</v>
      </c>
      <c r="D6" s="136">
        <v>46186.017812500002</v>
      </c>
      <c r="E6" s="135" t="s">
        <v>496</v>
      </c>
    </row>
    <row r="7" spans="1:8" ht="32">
      <c r="A7" s="132" t="s">
        <v>497</v>
      </c>
      <c r="B7" s="133" t="s">
        <v>482</v>
      </c>
      <c r="C7" s="135" t="s">
        <v>498</v>
      </c>
      <c r="D7" s="136">
        <v>46186.017812500002</v>
      </c>
      <c r="E7" s="135" t="s">
        <v>499</v>
      </c>
    </row>
    <row r="8" spans="1:8" ht="16">
      <c r="A8" s="132" t="s">
        <v>500</v>
      </c>
      <c r="B8" s="134" t="s">
        <v>501</v>
      </c>
      <c r="C8" s="135" t="s">
        <v>502</v>
      </c>
      <c r="D8" s="136">
        <v>46186.017812500002</v>
      </c>
      <c r="E8" s="135" t="s">
        <v>503</v>
      </c>
    </row>
    <row r="9" spans="1:8" ht="16">
      <c r="A9" s="132" t="s">
        <v>504</v>
      </c>
      <c r="B9" s="134" t="s">
        <v>501</v>
      </c>
      <c r="C9" s="135" t="s">
        <v>505</v>
      </c>
      <c r="D9" s="136">
        <v>46186.017824074072</v>
      </c>
      <c r="E9" s="135" t="s">
        <v>503</v>
      </c>
    </row>
    <row r="10" spans="1:8" ht="16">
      <c r="A10" s="132" t="s">
        <v>506</v>
      </c>
      <c r="B10" s="134" t="s">
        <v>501</v>
      </c>
      <c r="C10" s="135" t="s">
        <v>507</v>
      </c>
      <c r="D10" s="136">
        <v>46186.017824074072</v>
      </c>
      <c r="E10" s="135" t="s">
        <v>503</v>
      </c>
    </row>
    <row r="11" spans="1:8" ht="16">
      <c r="A11" s="132" t="s">
        <v>508</v>
      </c>
      <c r="B11" s="134" t="s">
        <v>501</v>
      </c>
      <c r="C11" s="135" t="s">
        <v>509</v>
      </c>
      <c r="D11" s="136">
        <v>46186.017824074072</v>
      </c>
      <c r="E11" s="135" t="s">
        <v>503</v>
      </c>
    </row>
    <row r="12" spans="1:8" ht="16">
      <c r="A12" s="132" t="s">
        <v>510</v>
      </c>
      <c r="B12" s="134" t="s">
        <v>501</v>
      </c>
      <c r="C12" s="135" t="s">
        <v>511</v>
      </c>
      <c r="D12" s="136">
        <v>46186.017824074072</v>
      </c>
      <c r="E12" s="135" t="s">
        <v>503</v>
      </c>
    </row>
    <row r="13" spans="1:8" ht="16">
      <c r="A13" s="132" t="s">
        <v>512</v>
      </c>
      <c r="B13" s="134" t="s">
        <v>501</v>
      </c>
      <c r="C13" s="135" t="s">
        <v>513</v>
      </c>
      <c r="D13" s="136">
        <v>46186.017824074072</v>
      </c>
      <c r="E13" s="135" t="s">
        <v>503</v>
      </c>
    </row>
    <row r="14" spans="1:8" ht="16">
      <c r="A14" s="132" t="s">
        <v>514</v>
      </c>
      <c r="B14" s="134" t="s">
        <v>501</v>
      </c>
      <c r="C14" s="135" t="s">
        <v>515</v>
      </c>
      <c r="D14" s="136">
        <v>46186.017824074072</v>
      </c>
      <c r="E14" s="135" t="s">
        <v>503</v>
      </c>
    </row>
    <row r="15" spans="1:8" ht="16">
      <c r="A15" s="132" t="s">
        <v>516</v>
      </c>
      <c r="B15" s="134" t="s">
        <v>501</v>
      </c>
      <c r="C15" s="135" t="s">
        <v>517</v>
      </c>
      <c r="D15" s="136">
        <v>46186.017824074072</v>
      </c>
      <c r="E15" s="135" t="s">
        <v>503</v>
      </c>
    </row>
    <row r="16" spans="1:8" ht="16">
      <c r="A16" s="132" t="s">
        <v>518</v>
      </c>
      <c r="B16" s="134" t="s">
        <v>501</v>
      </c>
      <c r="C16" s="135" t="s">
        <v>525</v>
      </c>
      <c r="D16" s="136">
        <v>46186.017824074072</v>
      </c>
      <c r="E16" s="135" t="s">
        <v>503</v>
      </c>
    </row>
    <row r="17" spans="1:5" ht="16">
      <c r="A17" s="132" t="s">
        <v>519</v>
      </c>
      <c r="B17" s="134" t="s">
        <v>501</v>
      </c>
      <c r="C17" s="135" t="s">
        <v>520</v>
      </c>
      <c r="D17" s="136">
        <v>46186.017824074072</v>
      </c>
      <c r="E17" s="135" t="s">
        <v>503</v>
      </c>
    </row>
    <row r="18" spans="1:5" ht="16">
      <c r="A18" s="132" t="s">
        <v>521</v>
      </c>
      <c r="B18" s="134" t="s">
        <v>501</v>
      </c>
      <c r="C18" s="135" t="s">
        <v>522</v>
      </c>
      <c r="D18" s="136">
        <v>46186.017824074072</v>
      </c>
      <c r="E18" s="135" t="s">
        <v>503</v>
      </c>
    </row>
    <row r="19" spans="1:5" ht="16">
      <c r="A19" s="132" t="s">
        <v>523</v>
      </c>
      <c r="B19" s="134" t="s">
        <v>501</v>
      </c>
      <c r="C19" s="135" t="s">
        <v>524</v>
      </c>
      <c r="D19" s="136">
        <v>46186.017824074072</v>
      </c>
      <c r="E19" s="135" t="s">
        <v>503</v>
      </c>
    </row>
  </sheetData>
  <sheetProtection algorithmName="SHA-512" hashValue="lRCJtr8F+nUd5tjugcxymelvEKZ9GsmR7/1IV2aYbjLG+swXMUks97GeSTk5w1I3jgGo2Wvhh0CH9Vg8nP2XWQ==" saltValue="XpcgJit4Sg1qT7EPsw/jxA=="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2026-06-13T09:08:18Z</dcterms:modified>
  <cp:category/>
  <cp:contentStatus/>
</cp:coreProperties>
</file>