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p\Dropbox\Masters Stuff\Current Lime\AAAI\"/>
    </mc:Choice>
  </mc:AlternateContent>
  <xr:revisionPtr revIDLastSave="0" documentId="13_ncr:1_{12C07831-6A32-426F-AF73-69667CD09785}" xr6:coauthVersionLast="43" xr6:coauthVersionMax="43" xr10:uidLastSave="{00000000-0000-0000-0000-000000000000}"/>
  <bookViews>
    <workbookView xWindow="-120" yWindow="-120" windowWidth="29040" windowHeight="15840" activeTab="7" xr2:uid="{61308617-0C17-4199-970A-0E67ECDFB8AD}"/>
  </bookViews>
  <sheets>
    <sheet name="Main" sheetId="1" r:id="rId1"/>
    <sheet name="LIME kernels" sheetId="6" r:id="rId2"/>
    <sheet name="sensit" sheetId="5" r:id="rId3"/>
    <sheet name="Sheet1" sheetId="8" r:id="rId4"/>
    <sheet name="Batch 15" sheetId="2" r:id="rId5"/>
    <sheet name="Counter Batch" sheetId="3" r:id="rId6"/>
    <sheet name="LIME" sheetId="4" r:id="rId7"/>
    <sheet name="IRI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8" l="1"/>
  <c r="M3" i="8"/>
  <c r="C23" i="7" l="1"/>
  <c r="F23" i="7"/>
  <c r="J23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" i="7"/>
  <c r="D34" i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" i="7"/>
  <c r="AB15" i="1"/>
  <c r="Y23" i="3"/>
  <c r="Y24" i="3" s="1"/>
  <c r="Y20" i="3"/>
  <c r="Y19" i="3"/>
  <c r="Y18" i="3"/>
  <c r="Y17" i="3"/>
  <c r="Y16" i="3"/>
  <c r="Y15" i="3"/>
  <c r="Y14" i="3"/>
  <c r="Y13" i="3"/>
  <c r="Y12" i="3"/>
  <c r="Y11" i="3"/>
  <c r="Y10" i="3"/>
  <c r="Y9" i="3"/>
  <c r="Y22" i="3" s="1"/>
  <c r="Y8" i="3"/>
  <c r="Y7" i="3"/>
  <c r="Y6" i="3"/>
  <c r="Y5" i="3"/>
  <c r="Y4" i="3"/>
  <c r="Y3" i="3"/>
  <c r="Y2" i="3"/>
  <c r="Y1" i="3"/>
  <c r="D36" i="1" l="1"/>
  <c r="D35" i="1"/>
  <c r="AO25" i="5"/>
  <c r="AO26" i="5" s="1"/>
  <c r="AO24" i="5"/>
  <c r="AM25" i="5"/>
  <c r="AM26" i="5" s="1"/>
  <c r="AM24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3" i="5"/>
  <c r="AK21" i="5" l="1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AK22" i="5"/>
  <c r="AK24" i="5" l="1"/>
  <c r="AK25" i="5"/>
  <c r="AK26" i="5" s="1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O6" i="5"/>
  <c r="AO5" i="5"/>
  <c r="AO4" i="5"/>
  <c r="AO3" i="5"/>
  <c r="AD24" i="2"/>
  <c r="AD25" i="2" s="1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D23" i="2" s="1"/>
  <c r="AA10" i="1" s="1"/>
  <c r="D33" i="1" s="1"/>
  <c r="V29" i="4"/>
  <c r="V30" i="4" s="1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28" i="4" s="1"/>
  <c r="AA13" i="1" s="1"/>
  <c r="D38" i="1" s="1"/>
  <c r="V6" i="4"/>
  <c r="V5" i="4"/>
  <c r="V4" i="4"/>
  <c r="V3" i="4"/>
  <c r="V2" i="4"/>
  <c r="V1" i="4"/>
  <c r="L16" i="1" l="1"/>
  <c r="L5" i="1"/>
  <c r="S8" i="6" l="1"/>
  <c r="S7" i="6"/>
  <c r="S6" i="6"/>
  <c r="P28" i="6"/>
  <c r="P27" i="6"/>
  <c r="P26" i="6"/>
  <c r="M23" i="6"/>
  <c r="F28" i="6"/>
  <c r="F27" i="6"/>
  <c r="F26" i="6"/>
  <c r="F25" i="6"/>
  <c r="F24" i="6"/>
  <c r="C23" i="6"/>
  <c r="E16" i="6"/>
  <c r="E15" i="6"/>
  <c r="C15" i="6"/>
  <c r="L14" i="6"/>
  <c r="E14" i="6"/>
  <c r="C14" i="6"/>
  <c r="C13" i="6"/>
  <c r="E12" i="6"/>
  <c r="B10" i="6"/>
  <c r="B8" i="6"/>
  <c r="B7" i="6"/>
  <c r="B6" i="6"/>
  <c r="R20" i="4" l="1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R1" i="4"/>
  <c r="R28" i="4" l="1"/>
  <c r="U13" i="1" s="1"/>
  <c r="R29" i="4"/>
  <c r="R30" i="4" s="1"/>
  <c r="E38" i="1" l="1"/>
  <c r="AG16" i="5"/>
  <c r="AG15" i="5"/>
  <c r="AG14" i="5"/>
  <c r="AG13" i="5"/>
  <c r="AG12" i="5"/>
  <c r="AG11" i="5"/>
  <c r="AG10" i="5"/>
  <c r="AG9" i="5"/>
  <c r="AG8" i="5"/>
  <c r="AG7" i="5"/>
  <c r="AG6" i="5"/>
  <c r="AG5" i="5"/>
  <c r="AG4" i="5"/>
  <c r="AG3" i="5"/>
  <c r="Q7" i="5" l="1"/>
  <c r="AG20" i="5"/>
  <c r="AG21" i="5" s="1"/>
  <c r="AG19" i="5"/>
  <c r="O26" i="1" s="1"/>
  <c r="F34" i="1" s="1"/>
  <c r="Q4" i="5"/>
  <c r="Q5" i="5"/>
  <c r="Q6" i="5"/>
  <c r="Q3" i="5"/>
  <c r="X6" i="5"/>
  <c r="X5" i="5"/>
  <c r="X4" i="5"/>
  <c r="X3" i="5"/>
  <c r="G7" i="5"/>
  <c r="G6" i="5"/>
  <c r="U25" i="1"/>
  <c r="C33" i="1" s="1"/>
  <c r="O25" i="1"/>
  <c r="F33" i="1" s="1"/>
  <c r="G5" i="5"/>
  <c r="G4" i="5"/>
  <c r="G3" i="5"/>
  <c r="Q20" i="5" l="1"/>
  <c r="Q21" i="5" s="1"/>
  <c r="G20" i="5"/>
  <c r="G21" i="5" s="1"/>
  <c r="Q19" i="5"/>
  <c r="D26" i="1" s="1"/>
  <c r="G34" i="1" s="1"/>
  <c r="X20" i="5"/>
  <c r="X21" i="5" s="1"/>
  <c r="G19" i="5"/>
  <c r="H26" i="1" s="1"/>
  <c r="E34" i="1" s="1"/>
  <c r="X19" i="5"/>
  <c r="U26" i="1" s="1"/>
  <c r="C34" i="1" s="1"/>
  <c r="E4" i="5" l="1"/>
  <c r="E5" i="5"/>
  <c r="E6" i="5"/>
  <c r="E7" i="5"/>
  <c r="E8" i="5"/>
  <c r="E9" i="5"/>
  <c r="E10" i="5"/>
  <c r="E3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0" i="5" l="1"/>
  <c r="B21" i="5" s="1"/>
  <c r="B19" i="5"/>
  <c r="H27" i="1" s="1"/>
  <c r="E35" i="1" s="1"/>
  <c r="E19" i="5"/>
  <c r="E20" i="5"/>
  <c r="E21" i="5" s="1"/>
  <c r="T15" i="5"/>
  <c r="T14" i="5"/>
  <c r="T13" i="5"/>
  <c r="T12" i="5"/>
  <c r="T11" i="5"/>
  <c r="T10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AA9" i="5"/>
  <c r="AA8" i="5"/>
  <c r="AA7" i="5"/>
  <c r="AE14" i="5"/>
  <c r="AE13" i="5"/>
  <c r="AE12" i="5"/>
  <c r="AE11" i="5"/>
  <c r="AE10" i="5"/>
  <c r="AE9" i="5"/>
  <c r="AE8" i="5"/>
  <c r="AE7" i="5"/>
  <c r="AE6" i="5"/>
  <c r="AE5" i="5"/>
  <c r="AE4" i="5"/>
  <c r="AE3" i="5"/>
  <c r="O11" i="1"/>
  <c r="AA6" i="5"/>
  <c r="AA5" i="5"/>
  <c r="AA4" i="5"/>
  <c r="AA3" i="5"/>
  <c r="I28" i="3" l="1"/>
  <c r="T28" i="2"/>
  <c r="V20" i="5"/>
  <c r="V21" i="5" s="1"/>
  <c r="AE20" i="5"/>
  <c r="AE21" i="5" s="1"/>
  <c r="V19" i="5"/>
  <c r="U28" i="1" s="1"/>
  <c r="C36" i="1" s="1"/>
  <c r="AE19" i="5"/>
  <c r="O28" i="1" s="1"/>
  <c r="F36" i="1" s="1"/>
  <c r="AA20" i="5"/>
  <c r="AA21" i="5" s="1"/>
  <c r="AA19" i="5"/>
  <c r="O27" i="1" s="1"/>
  <c r="F35" i="1" s="1"/>
  <c r="T9" i="5"/>
  <c r="T8" i="5"/>
  <c r="T7" i="5"/>
  <c r="T6" i="5"/>
  <c r="T5" i="5"/>
  <c r="T4" i="5"/>
  <c r="T3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K6" i="5"/>
  <c r="K5" i="5"/>
  <c r="K4" i="5"/>
  <c r="K3" i="5"/>
  <c r="P20" i="1"/>
  <c r="P19" i="1"/>
  <c r="P18" i="1"/>
  <c r="P22" i="1" l="1"/>
  <c r="K9" i="5"/>
  <c r="K10" i="5" s="1"/>
  <c r="T19" i="5"/>
  <c r="U27" i="1" s="1"/>
  <c r="C35" i="1" s="1"/>
  <c r="K8" i="5"/>
  <c r="D27" i="1" s="1"/>
  <c r="G35" i="1" s="1"/>
  <c r="N19" i="5"/>
  <c r="D28" i="1" s="1"/>
  <c r="G36" i="1" s="1"/>
  <c r="N20" i="5"/>
  <c r="N21" i="5" s="1"/>
  <c r="T20" i="5"/>
  <c r="T21" i="5" s="1"/>
  <c r="T49" i="3"/>
  <c r="T50" i="3" s="1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H7" i="1"/>
  <c r="S13" i="3"/>
  <c r="S12" i="3"/>
  <c r="S11" i="3"/>
  <c r="S10" i="3"/>
  <c r="S9" i="3"/>
  <c r="S8" i="3"/>
  <c r="S7" i="3"/>
  <c r="S6" i="3"/>
  <c r="S5" i="3"/>
  <c r="S4" i="3"/>
  <c r="S3" i="3"/>
  <c r="S2" i="3"/>
  <c r="S1" i="3"/>
  <c r="S22" i="3" s="1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" i="4"/>
  <c r="S23" i="3" l="1"/>
  <c r="S24" i="3" s="1"/>
  <c r="T48" i="3"/>
  <c r="I29" i="4"/>
  <c r="I30" i="4" s="1"/>
  <c r="N29" i="4"/>
  <c r="N30" i="4" s="1"/>
  <c r="N28" i="4"/>
  <c r="C13" i="1" s="1"/>
  <c r="G38" i="1" s="1"/>
  <c r="I28" i="4"/>
  <c r="H13" i="1" s="1"/>
  <c r="N13" i="3"/>
  <c r="N12" i="3"/>
  <c r="N11" i="3"/>
  <c r="N10" i="3"/>
  <c r="N9" i="3"/>
  <c r="N8" i="3"/>
  <c r="N7" i="3"/>
  <c r="N6" i="3"/>
  <c r="N5" i="3"/>
  <c r="N4" i="3"/>
  <c r="N3" i="3"/>
  <c r="N2" i="3"/>
  <c r="N1" i="3"/>
  <c r="N23" i="3" s="1"/>
  <c r="N24" i="3" s="1"/>
  <c r="D1" i="4"/>
  <c r="D19" i="4"/>
  <c r="D20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N22" i="3" l="1"/>
  <c r="C38" i="1"/>
  <c r="D29" i="4"/>
  <c r="D30" i="4" s="1"/>
  <c r="O28" i="2"/>
  <c r="D28" i="3"/>
  <c r="N28" i="3"/>
  <c r="I28" i="2"/>
  <c r="D28" i="4"/>
  <c r="O13" i="1" s="1"/>
  <c r="F38" i="1" s="1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O36" i="1" l="1"/>
  <c r="C42" i="1"/>
  <c r="Y28" i="2"/>
  <c r="AA28" i="2" s="1"/>
  <c r="S28" i="3"/>
  <c r="U28" i="3" s="1"/>
  <c r="I23" i="3"/>
  <c r="I24" i="3" s="1"/>
  <c r="I2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1" i="3"/>
  <c r="D23" i="3" l="1"/>
  <c r="D24" i="3" s="1"/>
  <c r="D22" i="3"/>
  <c r="U22" i="3" s="1"/>
  <c r="C16" i="1"/>
  <c r="O9" i="1"/>
  <c r="H16" i="1"/>
  <c r="Y21" i="2"/>
  <c r="T21" i="2"/>
  <c r="O21" i="2"/>
  <c r="I21" i="2"/>
  <c r="D21" i="2"/>
  <c r="Y20" i="2"/>
  <c r="T20" i="2"/>
  <c r="O20" i="2"/>
  <c r="I20" i="2"/>
  <c r="D20" i="2"/>
  <c r="Y19" i="2"/>
  <c r="T19" i="2"/>
  <c r="O19" i="2"/>
  <c r="I19" i="2"/>
  <c r="D19" i="2"/>
  <c r="Y18" i="2"/>
  <c r="T18" i="2"/>
  <c r="O18" i="2"/>
  <c r="I18" i="2"/>
  <c r="D18" i="2"/>
  <c r="Y17" i="2"/>
  <c r="T17" i="2"/>
  <c r="O17" i="2"/>
  <c r="I17" i="2"/>
  <c r="D17" i="2"/>
  <c r="Y16" i="2"/>
  <c r="T16" i="2"/>
  <c r="O16" i="2"/>
  <c r="I16" i="2"/>
  <c r="D16" i="2"/>
  <c r="Y15" i="2"/>
  <c r="T15" i="2"/>
  <c r="O15" i="2"/>
  <c r="I15" i="2"/>
  <c r="D15" i="2"/>
  <c r="Y14" i="2"/>
  <c r="T14" i="2"/>
  <c r="O14" i="2"/>
  <c r="I14" i="2"/>
  <c r="D14" i="2"/>
  <c r="Y13" i="2"/>
  <c r="T13" i="2"/>
  <c r="O13" i="2"/>
  <c r="I13" i="2"/>
  <c r="D13" i="2"/>
  <c r="Y12" i="2"/>
  <c r="T12" i="2"/>
  <c r="O12" i="2"/>
  <c r="I12" i="2"/>
  <c r="D12" i="2"/>
  <c r="Y11" i="2"/>
  <c r="T11" i="2"/>
  <c r="O11" i="2"/>
  <c r="I11" i="2"/>
  <c r="D11" i="2"/>
  <c r="Y10" i="2"/>
  <c r="T10" i="2"/>
  <c r="O10" i="2"/>
  <c r="I10" i="2"/>
  <c r="D10" i="2"/>
  <c r="Y9" i="2"/>
  <c r="T9" i="2"/>
  <c r="O9" i="2"/>
  <c r="I9" i="2"/>
  <c r="D9" i="2"/>
  <c r="Y8" i="2"/>
  <c r="T8" i="2"/>
  <c r="O8" i="2"/>
  <c r="I8" i="2"/>
  <c r="D8" i="2"/>
  <c r="Y7" i="2"/>
  <c r="T7" i="2"/>
  <c r="O7" i="2"/>
  <c r="I7" i="2"/>
  <c r="D7" i="2"/>
  <c r="Y6" i="2"/>
  <c r="T6" i="2"/>
  <c r="O6" i="2"/>
  <c r="I6" i="2"/>
  <c r="D6" i="2"/>
  <c r="Y5" i="2"/>
  <c r="T5" i="2"/>
  <c r="O5" i="2"/>
  <c r="I5" i="2"/>
  <c r="D5" i="2"/>
  <c r="Y4" i="2"/>
  <c r="T4" i="2"/>
  <c r="O4" i="2"/>
  <c r="I4" i="2"/>
  <c r="D4" i="2"/>
  <c r="Y3" i="2"/>
  <c r="T3" i="2"/>
  <c r="O3" i="2"/>
  <c r="I3" i="2"/>
  <c r="D3" i="2"/>
  <c r="Y2" i="2"/>
  <c r="T2" i="2"/>
  <c r="O2" i="2"/>
  <c r="I2" i="2"/>
  <c r="D2" i="2"/>
  <c r="D24" i="2" l="1"/>
  <c r="D25" i="2" s="1"/>
  <c r="T23" i="2"/>
  <c r="O24" i="2"/>
  <c r="O25" i="2" s="1"/>
  <c r="Y23" i="2"/>
  <c r="I23" i="2"/>
  <c r="Y24" i="2"/>
  <c r="Y25" i="2" s="1"/>
  <c r="I24" i="2"/>
  <c r="I25" i="2" s="1"/>
  <c r="T24" i="2"/>
  <c r="T25" i="2" s="1"/>
  <c r="O23" i="2"/>
  <c r="H5" i="1" s="1"/>
  <c r="D23" i="2"/>
  <c r="S10" i="6" l="1"/>
  <c r="H25" i="1"/>
  <c r="E33" i="1" s="1"/>
  <c r="C5" i="1"/>
  <c r="AA30" i="2"/>
  <c r="U15" i="1"/>
  <c r="U8" i="1"/>
  <c r="O8" i="1"/>
  <c r="O12" i="1"/>
  <c r="O35" i="1" l="1"/>
  <c r="O37" i="1" s="1"/>
  <c r="D25" i="1"/>
  <c r="G33" i="1" s="1"/>
  <c r="C41" i="1" s="1"/>
  <c r="C43" i="1" s="1"/>
  <c r="O5" i="1"/>
  <c r="U11" i="1" l="1"/>
  <c r="U9" i="1"/>
  <c r="U12" i="1"/>
  <c r="H28" i="1" l="1"/>
  <c r="E36" i="1" s="1"/>
  <c r="H6" i="1" l="1"/>
  <c r="H3" i="1"/>
  <c r="H4" i="1"/>
  <c r="H11" i="1" l="1"/>
  <c r="H10" i="1"/>
  <c r="S9" i="6" s="1"/>
  <c r="C7" i="1" l="1"/>
  <c r="C3" i="1"/>
  <c r="C4" i="1" l="1"/>
  <c r="C6" i="1"/>
  <c r="C12" i="1" l="1"/>
  <c r="C11" i="1"/>
  <c r="C10" i="1"/>
  <c r="C9" i="1"/>
  <c r="C8" i="1"/>
</calcChain>
</file>

<file path=xl/sharedStrings.xml><?xml version="1.0" encoding="utf-8"?>
<sst xmlns="http://schemas.openxmlformats.org/spreadsheetml/2006/main" count="651" uniqueCount="74">
  <si>
    <t>Fidelity Error &lt; 0.25</t>
  </si>
  <si>
    <t>Fidelity Error &lt; 0.5</t>
  </si>
  <si>
    <t>Fidelity Error &lt; 1</t>
  </si>
  <si>
    <t>% missclassified as infeasible</t>
  </si>
  <si>
    <t>LIME - 8 features</t>
  </si>
  <si>
    <r>
      <t xml:space="preserve">PIMA - </t>
    </r>
    <r>
      <rPr>
        <sz val="12"/>
        <color rgb="FFFF0000"/>
        <rFont val="Calibri"/>
        <family val="2"/>
        <scheme val="minor"/>
      </rPr>
      <t>8 input features</t>
    </r>
  </si>
  <si>
    <r>
      <t>Credit Card - 33</t>
    </r>
    <r>
      <rPr>
        <sz val="12"/>
        <color rgb="FFFF0000"/>
        <rFont val="Calibri"/>
        <family val="2"/>
        <scheme val="minor"/>
      </rPr>
      <t xml:space="preserve"> input features</t>
    </r>
  </si>
  <si>
    <t>LIME - 18 features</t>
  </si>
  <si>
    <t>Multiple - 8 features</t>
  </si>
  <si>
    <t>Weighted Logistic - 15 features</t>
  </si>
  <si>
    <t>Weighted Logistic - 12 features</t>
  </si>
  <si>
    <t>Weighted Logistic (w=14) - 15 features</t>
  </si>
  <si>
    <t>Multiple - 11 features</t>
  </si>
  <si>
    <t>Weighted Logistic - 21 features</t>
  </si>
  <si>
    <t>Weighted Logistic - 18 features</t>
  </si>
  <si>
    <t>Weighted Logistic - 24 features</t>
  </si>
  <si>
    <t>% Fidelity Error &lt; 0.25</t>
  </si>
  <si>
    <t>% Fidelity Error &lt; 0.5</t>
  </si>
  <si>
    <t>% Fidelity Error &lt; 1</t>
  </si>
  <si>
    <t>logistics</t>
  </si>
  <si>
    <r>
      <t>Census - 19</t>
    </r>
    <r>
      <rPr>
        <sz val="12"/>
        <color rgb="FFFF0000"/>
        <rFont val="Calibri"/>
        <family val="2"/>
        <scheme val="minor"/>
      </rPr>
      <t xml:space="preserve"> input features</t>
    </r>
  </si>
  <si>
    <t>PIMA</t>
  </si>
  <si>
    <t>Census</t>
  </si>
  <si>
    <t>Credit</t>
  </si>
  <si>
    <t>LIME</t>
  </si>
  <si>
    <t>Weighted Multiple - 15 features</t>
  </si>
  <si>
    <r>
      <t>Breast - 10</t>
    </r>
    <r>
      <rPr>
        <sz val="12"/>
        <color rgb="FFFF0000"/>
        <rFont val="Calibri"/>
        <family val="2"/>
        <scheme val="minor"/>
      </rPr>
      <t xml:space="preserve"> input features</t>
    </r>
  </si>
  <si>
    <t>No centering</t>
  </si>
  <si>
    <t>Unbalanced</t>
  </si>
  <si>
    <t>No poly</t>
  </si>
  <si>
    <t>log 15</t>
  </si>
  <si>
    <t>Multiple - 20 features</t>
  </si>
  <si>
    <t>Multiple - 17 features</t>
  </si>
  <si>
    <t>Multiple - 14 features</t>
  </si>
  <si>
    <t>Multiple</t>
  </si>
  <si>
    <t>Logistic</t>
  </si>
  <si>
    <t>BreastC</t>
  </si>
  <si>
    <t>PIMA Indians Diabetes</t>
  </si>
  <si>
    <t>Credit Card</t>
  </si>
  <si>
    <t>mean</t>
  </si>
  <si>
    <t>stdev</t>
  </si>
  <si>
    <t>confidence</t>
  </si>
  <si>
    <t>Weighted Multiple - 14 features</t>
  </si>
  <si>
    <t>Breast</t>
  </si>
  <si>
    <t>unbalanced</t>
  </si>
  <si>
    <t>No_poly</t>
  </si>
  <si>
    <t>Default</t>
  </si>
  <si>
    <t>Pima</t>
  </si>
  <si>
    <t>Adult</t>
  </si>
  <si>
    <t>No quadratic/interaction</t>
  </si>
  <si>
    <t xml:space="preserve">Imbalaced Neighbourhood </t>
  </si>
  <si>
    <t>Best configuration</t>
  </si>
  <si>
    <t>CLEAR</t>
  </si>
  <si>
    <t>Github</t>
  </si>
  <si>
    <t>no sampling</t>
  </si>
  <si>
    <t>Sample around instance</t>
  </si>
  <si>
    <t>default</t>
  </si>
  <si>
    <t>kernel width</t>
  </si>
  <si>
    <t>BREAST</t>
  </si>
  <si>
    <t>NOT</t>
  </si>
  <si>
    <t>pima</t>
  </si>
  <si>
    <t>Kernel</t>
  </si>
  <si>
    <t>Multi</t>
  </si>
  <si>
    <t>IRIS</t>
  </si>
  <si>
    <t>LIME - 4 features</t>
  </si>
  <si>
    <t>Weighted Multi - 15 features</t>
  </si>
  <si>
    <t>Average best</t>
  </si>
  <si>
    <t>Average LIME</t>
  </si>
  <si>
    <t>feature</t>
  </si>
  <si>
    <t>input value</t>
  </si>
  <si>
    <t>Glucose</t>
  </si>
  <si>
    <t>BMI</t>
  </si>
  <si>
    <t>fidelity error</t>
  </si>
  <si>
    <t>actual counterfactual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</si>
</sst>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91DBED"/>
      </left>
      <right style="thick">
        <color rgb="FF91DBED"/>
      </right>
      <top style="thick">
        <color rgb="FF91DBED"/>
      </top>
      <bottom style="thick">
        <color rgb="FF91DBED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9" fontId="0" fillId="0" borderId="3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1" fillId="0" borderId="0" xfId="0" applyFont="1"/>
    <xf numFmtId="9" fontId="0" fillId="0" borderId="0" xfId="1" applyFont="1"/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3" borderId="3" xfId="0" applyNumberFormat="1" applyFill="1" applyBorder="1" applyAlignment="1">
      <alignment horizontal="center"/>
    </xf>
    <xf numFmtId="9" fontId="0" fillId="3" borderId="4" xfId="0" applyNumberForma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9" fontId="0" fillId="4" borderId="3" xfId="0" applyNumberFormat="1" applyFill="1" applyBorder="1" applyAlignment="1">
      <alignment horizontal="center"/>
    </xf>
    <xf numFmtId="9" fontId="0" fillId="4" borderId="4" xfId="0" applyNumberFormat="1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 applyFill="1" applyBorder="1" applyAlignment="1">
      <alignment horizontal="left"/>
    </xf>
    <xf numFmtId="9" fontId="0" fillId="0" borderId="3" xfId="1" applyFont="1" applyBorder="1" applyAlignment="1">
      <alignment horizontal="center"/>
    </xf>
    <xf numFmtId="0" fontId="4" fillId="0" borderId="0" xfId="0" applyFont="1"/>
    <xf numFmtId="0" fontId="5" fillId="0" borderId="8" xfId="0" applyFont="1" applyBorder="1" applyAlignment="1">
      <alignment horizontal="right" wrapText="1"/>
    </xf>
    <xf numFmtId="164" fontId="0" fillId="0" borderId="0" xfId="1" applyNumberFormat="1" applyFont="1"/>
    <xf numFmtId="9" fontId="0" fillId="0" borderId="0" xfId="1" applyNumberFormat="1" applyFont="1"/>
    <xf numFmtId="9" fontId="0" fillId="0" borderId="9" xfId="0" applyNumberFormat="1" applyFill="1" applyBorder="1" applyAlignment="1">
      <alignment horizontal="left"/>
    </xf>
    <xf numFmtId="9" fontId="0" fillId="0" borderId="0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1" fontId="0" fillId="0" borderId="0" xfId="1" applyNumberFormat="1" applyFont="1"/>
    <xf numFmtId="10" fontId="0" fillId="0" borderId="0" xfId="1" applyNumberFormat="1" applyFont="1"/>
    <xf numFmtId="165" fontId="0" fillId="0" borderId="0" xfId="1" applyNumberFormat="1" applyFont="1"/>
    <xf numFmtId="0" fontId="0" fillId="5" borderId="0" xfId="0" applyFill="1"/>
    <xf numFmtId="9" fontId="0" fillId="4" borderId="0" xfId="1" applyFont="1" applyFill="1"/>
    <xf numFmtId="0" fontId="0" fillId="6" borderId="0" xfId="0" applyFill="1"/>
    <xf numFmtId="0" fontId="0" fillId="4" borderId="0" xfId="0" applyFill="1"/>
    <xf numFmtId="0" fontId="0" fillId="7" borderId="0" xfId="0" applyFill="1"/>
    <xf numFmtId="9" fontId="0" fillId="7" borderId="0" xfId="0" applyNumberFormat="1" applyFill="1"/>
    <xf numFmtId="0" fontId="0" fillId="3" borderId="0" xfId="0" applyFill="1"/>
    <xf numFmtId="9" fontId="0" fillId="3" borderId="0" xfId="1" applyFont="1" applyFill="1"/>
    <xf numFmtId="3" fontId="0" fillId="0" borderId="0" xfId="0" applyNumberFormat="1"/>
    <xf numFmtId="166" fontId="0" fillId="0" borderId="0" xfId="0" applyNumberFormat="1"/>
    <xf numFmtId="9" fontId="6" fillId="3" borderId="3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left"/>
    </xf>
    <xf numFmtId="9" fontId="0" fillId="0" borderId="0" xfId="1" applyFont="1" applyAlignment="1">
      <alignment horizontal="left"/>
    </xf>
    <xf numFmtId="0" fontId="8" fillId="0" borderId="10" xfId="0" applyFont="1" applyBorder="1" applyAlignment="1">
      <alignment vertical="center" wrapText="1"/>
    </xf>
    <xf numFmtId="0" fontId="8" fillId="8" borderId="10" xfId="0" applyFont="1" applyFill="1" applyBorder="1" applyAlignment="1">
      <alignment vertical="center" wrapText="1"/>
    </xf>
    <xf numFmtId="0" fontId="7" fillId="0" borderId="10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667825896762902"/>
          <c:y val="7.407407407407407E-2"/>
          <c:w val="0.7416006124234471"/>
          <c:h val="0.833094196558763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Main!$T$44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Main!$U$43:$V$43</c:f>
              <c:numCache>
                <c:formatCode>General</c:formatCode>
                <c:ptCount val="2"/>
              </c:numCache>
            </c:numRef>
          </c:cat>
          <c:val>
            <c:numRef>
              <c:f>Main!$U$44:$V$44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0A23-463C-85DF-5F10B5E61CA8}"/>
            </c:ext>
          </c:extLst>
        </c:ser>
        <c:ser>
          <c:idx val="1"/>
          <c:order val="1"/>
          <c:tx>
            <c:strRef>
              <c:f>Main!$T$45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Main!$U$43:$V$43</c:f>
              <c:numCache>
                <c:formatCode>General</c:formatCode>
                <c:ptCount val="2"/>
              </c:numCache>
            </c:numRef>
          </c:cat>
          <c:val>
            <c:numRef>
              <c:f>Main!$U$45:$V$45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0A23-463C-85DF-5F10B5E61CA8}"/>
            </c:ext>
          </c:extLst>
        </c:ser>
        <c:ser>
          <c:idx val="2"/>
          <c:order val="2"/>
          <c:tx>
            <c:strRef>
              <c:f>Main!$T$46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Main!$U$43:$V$43</c:f>
              <c:numCache>
                <c:formatCode>General</c:formatCode>
                <c:ptCount val="2"/>
              </c:numCache>
            </c:numRef>
          </c:cat>
          <c:val>
            <c:numRef>
              <c:f>Main!$U$46:$V$46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0A23-463C-85DF-5F10B5E61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72240"/>
        <c:axId val="596070600"/>
      </c:barChart>
      <c:catAx>
        <c:axId val="59607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70600"/>
        <c:crosses val="autoZero"/>
        <c:auto val="1"/>
        <c:lblAlgn val="ctr"/>
        <c:lblOffset val="100"/>
        <c:noMultiLvlLbl val="0"/>
      </c:catAx>
      <c:valAx>
        <c:axId val="59607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287040682414698"/>
          <c:y val="7.7464275298920984E-2"/>
          <c:w val="0.1546292650918635"/>
          <c:h val="0.25752478856809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684956116712452E-2"/>
          <c:y val="2.5428331875182269E-2"/>
          <c:w val="0.88479640170187412"/>
          <c:h val="0.61639763779527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Main!$B$33</c:f>
              <c:strCache>
                <c:ptCount val="1"/>
                <c:pt idx="0">
                  <c:v>Best configuration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Main!$C$32:$G$32</c:f>
              <c:strCache>
                <c:ptCount val="5"/>
                <c:pt idx="0">
                  <c:v>Adult</c:v>
                </c:pt>
                <c:pt idx="1">
                  <c:v>IRIS</c:v>
                </c:pt>
                <c:pt idx="2">
                  <c:v>Pima</c:v>
                </c:pt>
                <c:pt idx="3">
                  <c:v>Credit</c:v>
                </c:pt>
                <c:pt idx="4">
                  <c:v>Breast</c:v>
                </c:pt>
              </c:strCache>
            </c:strRef>
          </c:cat>
          <c:val>
            <c:numRef>
              <c:f>Main!$C$33:$G$33</c:f>
              <c:numCache>
                <c:formatCode>0%</c:formatCode>
                <c:ptCount val="5"/>
                <c:pt idx="0">
                  <c:v>0.8</c:v>
                </c:pt>
                <c:pt idx="1">
                  <c:v>0.80018518518518533</c:v>
                </c:pt>
                <c:pt idx="2">
                  <c:v>0.57442996742671015</c:v>
                </c:pt>
                <c:pt idx="3">
                  <c:v>0.39</c:v>
                </c:pt>
                <c:pt idx="4">
                  <c:v>0.53672199170124479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4-4020-AE36-DC27F0A4A207}"/>
            </c:ext>
          </c:extLst>
        </c:ser>
        <c:ser>
          <c:idx val="1"/>
          <c:order val="1"/>
          <c:tx>
            <c:strRef>
              <c:f>Main!$B$34</c:f>
              <c:strCache>
                <c:ptCount val="1"/>
                <c:pt idx="0">
                  <c:v>No centering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Main!$C$32:$G$32</c:f>
              <c:strCache>
                <c:ptCount val="5"/>
                <c:pt idx="0">
                  <c:v>Adult</c:v>
                </c:pt>
                <c:pt idx="1">
                  <c:v>IRIS</c:v>
                </c:pt>
                <c:pt idx="2">
                  <c:v>Pima</c:v>
                </c:pt>
                <c:pt idx="3">
                  <c:v>Credit</c:v>
                </c:pt>
                <c:pt idx="4">
                  <c:v>Breast</c:v>
                </c:pt>
              </c:strCache>
            </c:strRef>
          </c:cat>
          <c:val>
            <c:numRef>
              <c:f>Main!$C$34:$G$34</c:f>
              <c:numCache>
                <c:formatCode>0%</c:formatCode>
                <c:ptCount val="5"/>
                <c:pt idx="0">
                  <c:v>0.60101010101010099</c:v>
                </c:pt>
                <c:pt idx="1">
                  <c:v>0.81308641975308649</c:v>
                </c:pt>
                <c:pt idx="2">
                  <c:v>0.44690553745928341</c:v>
                </c:pt>
                <c:pt idx="3">
                  <c:v>0.34505494505494499</c:v>
                </c:pt>
                <c:pt idx="4">
                  <c:v>0.44979253112033196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4-4020-AE36-DC27F0A4A207}"/>
            </c:ext>
          </c:extLst>
        </c:ser>
        <c:ser>
          <c:idx val="2"/>
          <c:order val="2"/>
          <c:tx>
            <c:strRef>
              <c:f>Main!$B$35</c:f>
              <c:strCache>
                <c:ptCount val="1"/>
                <c:pt idx="0">
                  <c:v>Imbalaced Neighbourhood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Main!$C$32:$G$32</c:f>
              <c:strCache>
                <c:ptCount val="5"/>
                <c:pt idx="0">
                  <c:v>Adult</c:v>
                </c:pt>
                <c:pt idx="1">
                  <c:v>IRIS</c:v>
                </c:pt>
                <c:pt idx="2">
                  <c:v>Pima</c:v>
                </c:pt>
                <c:pt idx="3">
                  <c:v>Credit</c:v>
                </c:pt>
                <c:pt idx="4">
                  <c:v>Breast</c:v>
                </c:pt>
              </c:strCache>
            </c:strRef>
          </c:cat>
          <c:val>
            <c:numRef>
              <c:f>Main!$C$35:$G$35</c:f>
              <c:numCache>
                <c:formatCode>0%</c:formatCode>
                <c:ptCount val="5"/>
                <c:pt idx="0">
                  <c:v>0.73815073815073806</c:v>
                </c:pt>
                <c:pt idx="1">
                  <c:v>0.53160493827160493</c:v>
                </c:pt>
                <c:pt idx="2">
                  <c:v>0.54211261051651927</c:v>
                </c:pt>
                <c:pt idx="3">
                  <c:v>0.37912087912087916</c:v>
                </c:pt>
                <c:pt idx="4">
                  <c:v>0.47821576763485479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4-4020-AE36-DC27F0A4A207}"/>
            </c:ext>
          </c:extLst>
        </c:ser>
        <c:ser>
          <c:idx val="3"/>
          <c:order val="3"/>
          <c:tx>
            <c:strRef>
              <c:f>Main!$B$36</c:f>
              <c:strCache>
                <c:ptCount val="1"/>
                <c:pt idx="0">
                  <c:v>No quadratic/interaction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Main!$C$32:$G$32</c:f>
              <c:strCache>
                <c:ptCount val="5"/>
                <c:pt idx="0">
                  <c:v>Adult</c:v>
                </c:pt>
                <c:pt idx="1">
                  <c:v>IRIS</c:v>
                </c:pt>
                <c:pt idx="2">
                  <c:v>Pima</c:v>
                </c:pt>
                <c:pt idx="3">
                  <c:v>Credit</c:v>
                </c:pt>
                <c:pt idx="4">
                  <c:v>Breast</c:v>
                </c:pt>
              </c:strCache>
            </c:strRef>
          </c:cat>
          <c:val>
            <c:numRef>
              <c:f>Main!$C$36:$G$36</c:f>
              <c:numCache>
                <c:formatCode>0%</c:formatCode>
                <c:ptCount val="5"/>
                <c:pt idx="0">
                  <c:v>0.38720538720538716</c:v>
                </c:pt>
                <c:pt idx="1">
                  <c:v>0.6343209876543211</c:v>
                </c:pt>
                <c:pt idx="2">
                  <c:v>0.38110749185667753</c:v>
                </c:pt>
                <c:pt idx="3">
                  <c:v>0.27435897435897433</c:v>
                </c:pt>
                <c:pt idx="4">
                  <c:v>0.36818810511756578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4-4020-AE36-DC27F0A4A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204000"/>
        <c:axId val="772204328"/>
      </c:barChart>
      <c:catAx>
        <c:axId val="7722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04328"/>
        <c:crosses val="autoZero"/>
        <c:auto val="1"/>
        <c:lblAlgn val="ctr"/>
        <c:lblOffset val="100"/>
        <c:noMultiLvlLbl val="0"/>
      </c:catAx>
      <c:valAx>
        <c:axId val="7722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5787776527934008"/>
          <c:y val="3.5503575786490958E-2"/>
          <c:w val="0.43046295683627783"/>
          <c:h val="0.2159173881297590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533400</xdr:colOff>
      <xdr:row>20</xdr:row>
      <xdr:rowOff>38100</xdr:rowOff>
    </xdr:from>
    <xdr:to>
      <xdr:col>33</xdr:col>
      <xdr:colOff>228600</xdr:colOff>
      <xdr:row>36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35B7AA-DC48-40D6-87B4-D3B0CF1A5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310515</xdr:colOff>
      <xdr:row>29</xdr:row>
      <xdr:rowOff>160019</xdr:rowOff>
    </xdr:from>
    <xdr:to>
      <xdr:col>13</xdr:col>
      <xdr:colOff>843915</xdr:colOff>
      <xdr:row>46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CFA88A-22D7-4DDF-8363-473EE3EEE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8084-DF57-46BE-AA2A-480EED7EB73C}">
  <dimension ref="A1:AD48"/>
  <sheetViews>
    <sheetView topLeftCell="I1" workbookViewId="0">
      <selection activeCell="AA10" sqref="AA10"/>
    </sheetView>
  </sheetViews>
  <sheetFormatPr defaultRowHeight="15" x14ac:dyDescent="0.25"/>
  <cols>
    <col min="2" max="2" width="22.42578125" customWidth="1"/>
    <col min="7" max="7" width="30.7109375" customWidth="1"/>
    <col min="11" max="11" width="14.28515625" customWidth="1"/>
    <col min="14" max="14" width="36.28515625" customWidth="1"/>
    <col min="20" max="20" width="34" customWidth="1"/>
    <col min="26" max="26" width="19.7109375" customWidth="1"/>
  </cols>
  <sheetData>
    <row r="1" spans="1:30" ht="15.75" thickBot="1" x14ac:dyDescent="0.3"/>
    <row r="2" spans="1:30" ht="77.25" thickBot="1" x14ac:dyDescent="0.4">
      <c r="B2" s="6" t="s">
        <v>26</v>
      </c>
      <c r="C2" s="1" t="s">
        <v>16</v>
      </c>
      <c r="D2" s="1" t="s">
        <v>17</v>
      </c>
      <c r="E2" s="1" t="s">
        <v>18</v>
      </c>
      <c r="F2" s="2" t="s">
        <v>3</v>
      </c>
      <c r="G2" s="6" t="s">
        <v>5</v>
      </c>
      <c r="H2" s="1" t="s">
        <v>16</v>
      </c>
      <c r="I2" s="1" t="s">
        <v>17</v>
      </c>
      <c r="J2" s="1" t="s">
        <v>18</v>
      </c>
      <c r="K2" s="2" t="s">
        <v>3</v>
      </c>
      <c r="N2" s="6" t="s">
        <v>6</v>
      </c>
      <c r="O2" s="1" t="s">
        <v>0</v>
      </c>
      <c r="P2" s="1" t="s">
        <v>1</v>
      </c>
      <c r="Q2" s="1" t="s">
        <v>2</v>
      </c>
      <c r="R2" s="2" t="s">
        <v>3</v>
      </c>
      <c r="T2" s="6" t="s">
        <v>20</v>
      </c>
      <c r="U2" s="1" t="s">
        <v>0</v>
      </c>
      <c r="V2" s="1" t="s">
        <v>1</v>
      </c>
      <c r="W2" s="1" t="s">
        <v>2</v>
      </c>
      <c r="X2" s="2" t="s">
        <v>3</v>
      </c>
      <c r="Z2" s="6" t="s">
        <v>63</v>
      </c>
      <c r="AA2" s="1" t="s">
        <v>0</v>
      </c>
      <c r="AB2" s="1" t="s">
        <v>1</v>
      </c>
      <c r="AC2" s="1" t="s">
        <v>2</v>
      </c>
      <c r="AD2" s="2" t="s">
        <v>3</v>
      </c>
    </row>
    <row r="3" spans="1:30" ht="15.75" thickBot="1" x14ac:dyDescent="0.3">
      <c r="A3" t="s">
        <v>19</v>
      </c>
      <c r="B3" s="13">
        <v>8</v>
      </c>
      <c r="C3" s="3">
        <f>104/241</f>
        <v>0.43153526970954359</v>
      </c>
      <c r="D3" s="4"/>
      <c r="E3" s="4"/>
      <c r="F3" s="5"/>
      <c r="G3" s="13">
        <v>8</v>
      </c>
      <c r="H3" s="3">
        <f>129/307</f>
        <v>0.4201954397394137</v>
      </c>
      <c r="I3" s="4"/>
      <c r="J3" s="4"/>
      <c r="K3" s="5"/>
      <c r="N3" s="13">
        <v>8</v>
      </c>
      <c r="O3" s="3"/>
      <c r="P3" s="4"/>
      <c r="Q3" s="4"/>
      <c r="R3" s="5"/>
      <c r="T3" s="13">
        <v>8</v>
      </c>
      <c r="U3" s="3"/>
      <c r="V3" s="4"/>
      <c r="W3" s="4"/>
      <c r="X3" s="5"/>
      <c r="Z3" s="13">
        <v>8</v>
      </c>
      <c r="AA3" s="3"/>
      <c r="AB3" s="4"/>
      <c r="AC3" s="4"/>
      <c r="AD3" s="5"/>
    </row>
    <row r="4" spans="1:30" ht="15.75" thickBot="1" x14ac:dyDescent="0.3">
      <c r="A4" t="s">
        <v>19</v>
      </c>
      <c r="B4" s="13">
        <v>11</v>
      </c>
      <c r="C4" s="3">
        <f>112/241</f>
        <v>0.46473029045643155</v>
      </c>
      <c r="D4" s="4"/>
      <c r="E4" s="4"/>
      <c r="F4" s="5"/>
      <c r="G4" s="13">
        <v>11</v>
      </c>
      <c r="H4" s="3">
        <f>162/307</f>
        <v>0.52768729641693812</v>
      </c>
      <c r="I4" s="4"/>
      <c r="J4" s="4"/>
      <c r="K4" s="5"/>
      <c r="N4" s="13">
        <v>11</v>
      </c>
      <c r="O4" s="14"/>
      <c r="P4" s="15"/>
      <c r="Q4" s="15"/>
      <c r="R4" s="16"/>
      <c r="T4" s="13">
        <v>11</v>
      </c>
      <c r="U4" s="3"/>
      <c r="V4" s="4"/>
      <c r="W4" s="4"/>
      <c r="X4" s="5"/>
      <c r="Z4" s="13">
        <v>11</v>
      </c>
      <c r="AA4" s="3"/>
      <c r="AB4" s="4"/>
      <c r="AC4" s="4"/>
      <c r="AD4" s="5"/>
    </row>
    <row r="5" spans="1:30" ht="15.75" thickBot="1" x14ac:dyDescent="0.3">
      <c r="A5" t="s">
        <v>19</v>
      </c>
      <c r="B5" s="13">
        <v>14</v>
      </c>
      <c r="C5" s="3">
        <f>'Batch 15'!I23</f>
        <v>0.53672199170124479</v>
      </c>
      <c r="D5" s="4"/>
      <c r="E5" s="4"/>
      <c r="F5" s="5"/>
      <c r="G5" s="13">
        <v>14</v>
      </c>
      <c r="H5" s="3">
        <f>'Batch 15'!O23</f>
        <v>0.57442996742671015</v>
      </c>
      <c r="I5" s="4"/>
      <c r="J5" s="4"/>
      <c r="K5" s="5"/>
      <c r="L5">
        <f>159/297</f>
        <v>0.53535353535353536</v>
      </c>
      <c r="N5" s="13">
        <v>14</v>
      </c>
      <c r="O5" s="3">
        <f>35/130</f>
        <v>0.26923076923076922</v>
      </c>
      <c r="P5" s="4"/>
      <c r="Q5" s="4"/>
      <c r="R5" s="5"/>
      <c r="T5" s="13">
        <v>14</v>
      </c>
      <c r="U5" s="3"/>
      <c r="V5" s="4"/>
      <c r="W5" s="4"/>
      <c r="X5" s="5"/>
      <c r="Z5" s="13">
        <v>14</v>
      </c>
      <c r="AA5" s="3"/>
      <c r="AB5" s="4"/>
      <c r="AC5" s="4"/>
      <c r="AD5" s="5"/>
    </row>
    <row r="6" spans="1:30" ht="15.75" thickBot="1" x14ac:dyDescent="0.3">
      <c r="A6" t="s">
        <v>19</v>
      </c>
      <c r="B6" s="13">
        <v>17</v>
      </c>
      <c r="C6" s="3">
        <f>132/241</f>
        <v>0.5477178423236515</v>
      </c>
      <c r="D6" s="4"/>
      <c r="E6" s="4"/>
      <c r="F6" s="5"/>
      <c r="G6" s="13">
        <v>17</v>
      </c>
      <c r="H6" s="3">
        <f>188/307</f>
        <v>0.6123778501628665</v>
      </c>
      <c r="I6" s="4"/>
      <c r="J6" s="4"/>
      <c r="K6" s="5"/>
      <c r="N6" s="13">
        <v>17</v>
      </c>
      <c r="O6" s="3"/>
      <c r="P6" s="4"/>
      <c r="Q6" s="4"/>
      <c r="R6" s="5"/>
      <c r="T6" s="13">
        <v>17</v>
      </c>
      <c r="U6" s="3"/>
      <c r="V6" s="4"/>
      <c r="W6" s="4"/>
      <c r="X6" s="5"/>
      <c r="Z6" s="13">
        <v>17</v>
      </c>
      <c r="AA6" s="3"/>
      <c r="AB6" s="4"/>
      <c r="AC6" s="4"/>
      <c r="AD6" s="5"/>
    </row>
    <row r="7" spans="1:30" ht="15.75" thickBot="1" x14ac:dyDescent="0.3">
      <c r="A7" t="s">
        <v>19</v>
      </c>
      <c r="B7" s="13">
        <v>20</v>
      </c>
      <c r="C7" s="3">
        <f>136/241</f>
        <v>0.56431535269709543</v>
      </c>
      <c r="D7" s="4"/>
      <c r="E7" s="4"/>
      <c r="F7" s="5"/>
      <c r="G7" s="13">
        <v>20</v>
      </c>
      <c r="H7" s="3">
        <f>J56</f>
        <v>0</v>
      </c>
      <c r="I7" s="4"/>
      <c r="J7" s="4"/>
      <c r="K7" s="5"/>
      <c r="N7" s="13">
        <v>20</v>
      </c>
      <c r="O7" s="3"/>
      <c r="P7" s="4"/>
      <c r="Q7" s="4"/>
      <c r="R7" s="5"/>
      <c r="T7" s="13">
        <v>20</v>
      </c>
      <c r="U7" s="3"/>
      <c r="V7" s="4"/>
      <c r="W7" s="4"/>
      <c r="X7" s="5"/>
      <c r="Z7" s="13">
        <v>20</v>
      </c>
      <c r="AA7" s="3"/>
      <c r="AB7" s="4"/>
      <c r="AC7" s="4"/>
      <c r="AD7" s="5"/>
    </row>
    <row r="8" spans="1:30" ht="15.75" thickBot="1" x14ac:dyDescent="0.3">
      <c r="B8" s="3" t="s">
        <v>8</v>
      </c>
      <c r="C8" s="3">
        <f>61/241</f>
        <v>0.25311203319502074</v>
      </c>
      <c r="D8" s="4"/>
      <c r="E8" s="4"/>
      <c r="F8" s="5"/>
      <c r="G8" s="3" t="s">
        <v>8</v>
      </c>
      <c r="H8" s="3"/>
      <c r="I8" s="4"/>
      <c r="J8" s="4"/>
      <c r="K8" s="5"/>
      <c r="N8" s="3" t="s">
        <v>8</v>
      </c>
      <c r="O8" s="3">
        <f>35/130</f>
        <v>0.26923076923076922</v>
      </c>
      <c r="P8" s="4"/>
      <c r="Q8" s="4"/>
      <c r="R8" s="5"/>
      <c r="T8" s="3" t="s">
        <v>8</v>
      </c>
      <c r="U8" s="3">
        <f>35/99</f>
        <v>0.35353535353535354</v>
      </c>
      <c r="V8" s="4"/>
      <c r="W8" s="4"/>
      <c r="X8" s="5"/>
      <c r="Z8" s="3" t="s">
        <v>8</v>
      </c>
      <c r="AA8" s="3"/>
      <c r="AB8" s="4"/>
      <c r="AC8" s="4"/>
      <c r="AD8" s="5"/>
    </row>
    <row r="9" spans="1:30" ht="15.75" thickBot="1" x14ac:dyDescent="0.3">
      <c r="B9" s="3" t="s">
        <v>12</v>
      </c>
      <c r="C9" s="8">
        <f>77/241</f>
        <v>0.31950207468879666</v>
      </c>
      <c r="D9" s="4"/>
      <c r="E9" s="9"/>
      <c r="F9" s="5"/>
      <c r="G9" s="3" t="s">
        <v>12</v>
      </c>
      <c r="H9" s="8"/>
      <c r="I9" s="4"/>
      <c r="J9" s="9"/>
      <c r="K9" s="5"/>
      <c r="N9" s="3" t="s">
        <v>12</v>
      </c>
      <c r="O9" s="3">
        <f>49/130</f>
        <v>0.37692307692307692</v>
      </c>
      <c r="P9" s="4"/>
      <c r="Q9" s="4"/>
      <c r="R9" s="5"/>
      <c r="T9" s="3" t="s">
        <v>12</v>
      </c>
      <c r="U9" s="3">
        <f>75/99</f>
        <v>0.75757575757575757</v>
      </c>
      <c r="V9" s="4"/>
      <c r="W9" s="4"/>
      <c r="X9" s="5"/>
      <c r="Z9" s="3" t="s">
        <v>12</v>
      </c>
      <c r="AA9" s="3"/>
      <c r="AB9" s="4"/>
      <c r="AC9" s="4"/>
      <c r="AD9" s="5"/>
    </row>
    <row r="10" spans="1:30" ht="15.75" thickBot="1" x14ac:dyDescent="0.3">
      <c r="B10" s="3" t="s">
        <v>33</v>
      </c>
      <c r="C10" s="4">
        <f>84/241</f>
        <v>0.34854771784232363</v>
      </c>
      <c r="D10" s="4"/>
      <c r="E10" s="5"/>
      <c r="F10" s="5"/>
      <c r="G10" s="3" t="s">
        <v>33</v>
      </c>
      <c r="H10" s="4">
        <f>161/307</f>
        <v>0.52442996742671011</v>
      </c>
      <c r="I10" s="4"/>
      <c r="J10" s="5"/>
      <c r="K10" s="5"/>
      <c r="N10" s="3" t="s">
        <v>33</v>
      </c>
      <c r="O10" s="3">
        <v>0.39</v>
      </c>
      <c r="P10" s="4"/>
      <c r="Q10" s="4"/>
      <c r="R10" s="5"/>
      <c r="T10" s="3" t="s">
        <v>33</v>
      </c>
      <c r="U10" s="20">
        <v>0.8</v>
      </c>
      <c r="V10" s="4"/>
      <c r="W10" s="4"/>
      <c r="X10" s="5"/>
      <c r="Z10" s="3" t="s">
        <v>33</v>
      </c>
      <c r="AA10" s="20">
        <f>'Batch 15'!AD23</f>
        <v>0.80018518518518533</v>
      </c>
      <c r="AB10" s="4"/>
      <c r="AC10" s="4"/>
      <c r="AD10" s="5"/>
    </row>
    <row r="11" spans="1:30" ht="15.75" thickBot="1" x14ac:dyDescent="0.3">
      <c r="B11" s="3" t="s">
        <v>32</v>
      </c>
      <c r="C11" s="3">
        <f>85/241</f>
        <v>0.35269709543568467</v>
      </c>
      <c r="D11" s="4"/>
      <c r="E11" s="4"/>
      <c r="F11" s="5"/>
      <c r="G11" s="3" t="s">
        <v>32</v>
      </c>
      <c r="H11" s="4">
        <f>166/307</f>
        <v>0.54071661237785018</v>
      </c>
      <c r="I11" s="4"/>
      <c r="J11" s="4"/>
      <c r="K11" s="5"/>
      <c r="N11" s="3" t="s">
        <v>32</v>
      </c>
      <c r="O11" s="3">
        <f>P34</f>
        <v>0</v>
      </c>
      <c r="P11" s="4"/>
      <c r="Q11" s="4"/>
      <c r="R11" s="5"/>
      <c r="T11" s="3" t="s">
        <v>32</v>
      </c>
      <c r="U11" s="3">
        <f>77/99</f>
        <v>0.77777777777777779</v>
      </c>
      <c r="V11" s="4"/>
      <c r="W11" s="4"/>
      <c r="X11" s="5"/>
      <c r="Z11" s="3" t="s">
        <v>32</v>
      </c>
      <c r="AA11" s="3"/>
      <c r="AB11" s="4"/>
      <c r="AC11" s="4"/>
      <c r="AD11" s="5"/>
    </row>
    <row r="12" spans="1:30" ht="15.75" thickBot="1" x14ac:dyDescent="0.3">
      <c r="B12" s="3" t="s">
        <v>31</v>
      </c>
      <c r="C12" s="3">
        <f>89/241</f>
        <v>0.36929460580912865</v>
      </c>
      <c r="D12" s="4"/>
      <c r="E12" s="4"/>
      <c r="F12" s="5"/>
      <c r="G12" s="3" t="s">
        <v>31</v>
      </c>
      <c r="H12" s="3"/>
      <c r="I12" s="4"/>
      <c r="J12" s="4"/>
      <c r="K12" s="5"/>
      <c r="N12" s="3" t="s">
        <v>31</v>
      </c>
      <c r="O12" s="3">
        <f>51/130</f>
        <v>0.3923076923076923</v>
      </c>
      <c r="P12" s="4"/>
      <c r="Q12" s="4"/>
      <c r="R12" s="5"/>
      <c r="T12" s="3" t="s">
        <v>31</v>
      </c>
      <c r="U12" s="3">
        <f>77/99</f>
        <v>0.77777777777777779</v>
      </c>
      <c r="V12" s="4"/>
      <c r="W12" s="4"/>
      <c r="X12" s="5"/>
      <c r="Z12" s="3" t="s">
        <v>31</v>
      </c>
      <c r="AA12" s="3"/>
      <c r="AB12" s="4"/>
      <c r="AC12" s="4"/>
      <c r="AD12" s="5"/>
    </row>
    <row r="13" spans="1:30" ht="15.75" thickBot="1" x14ac:dyDescent="0.3">
      <c r="B13" s="10" t="s">
        <v>4</v>
      </c>
      <c r="C13" s="10">
        <f>LIME!N28</f>
        <v>0.14356846473029042</v>
      </c>
      <c r="D13" s="11"/>
      <c r="E13" s="11"/>
      <c r="F13" s="12"/>
      <c r="G13" s="10" t="s">
        <v>4</v>
      </c>
      <c r="H13" s="10">
        <f>LIME!I28</f>
        <v>0.26779897626803173</v>
      </c>
      <c r="I13" s="11"/>
      <c r="J13" s="11"/>
      <c r="K13" s="12"/>
      <c r="N13" s="10" t="s">
        <v>7</v>
      </c>
      <c r="O13" s="41">
        <f>LIME!D28</f>
        <v>0.12472527472527473</v>
      </c>
      <c r="P13" s="11"/>
      <c r="Q13" s="11"/>
      <c r="R13" s="12"/>
      <c r="T13" s="10" t="s">
        <v>7</v>
      </c>
      <c r="U13" s="3">
        <f>LIME!R28</f>
        <v>0.26000000000000006</v>
      </c>
      <c r="V13" s="4"/>
      <c r="W13" s="4"/>
      <c r="X13" s="5"/>
      <c r="Z13" s="10" t="s">
        <v>64</v>
      </c>
      <c r="AA13" s="3">
        <f>LIME!V28</f>
        <v>0.30018450184501849</v>
      </c>
      <c r="AB13" s="4"/>
      <c r="AC13" s="4"/>
      <c r="AD13" s="5"/>
    </row>
    <row r="14" spans="1:30" ht="15.75" thickBot="1" x14ac:dyDescent="0.3">
      <c r="B14" s="3"/>
      <c r="C14" s="3"/>
      <c r="D14" s="4"/>
      <c r="E14" s="4"/>
      <c r="F14" s="5"/>
      <c r="G14" s="3"/>
      <c r="H14" s="3"/>
      <c r="I14" s="4"/>
      <c r="J14" s="4"/>
      <c r="K14" s="5"/>
      <c r="N14" s="3"/>
      <c r="P14" s="4"/>
      <c r="Q14" s="4"/>
      <c r="R14" s="5"/>
    </row>
    <row r="15" spans="1:30" ht="15.75" thickBot="1" x14ac:dyDescent="0.3">
      <c r="B15" s="3"/>
      <c r="C15" s="3"/>
      <c r="D15" s="4"/>
      <c r="E15" s="4"/>
      <c r="F15" s="5"/>
      <c r="G15" s="3"/>
      <c r="H15" s="3"/>
      <c r="I15" s="4"/>
      <c r="J15" s="4"/>
      <c r="K15" s="5"/>
      <c r="N15" s="3"/>
      <c r="O15" s="3"/>
      <c r="P15" s="4"/>
      <c r="Q15" s="4"/>
      <c r="R15" s="5"/>
      <c r="T15" t="s">
        <v>9</v>
      </c>
      <c r="U15" s="7">
        <f>79/99</f>
        <v>0.79797979797979801</v>
      </c>
      <c r="Z15" t="s">
        <v>65</v>
      </c>
      <c r="AA15" s="7"/>
      <c r="AB15" s="17">
        <f>'Counter Batch'!Y22</f>
        <v>0.99778597785977841</v>
      </c>
    </row>
    <row r="16" spans="1:30" ht="15.75" thickBot="1" x14ac:dyDescent="0.3">
      <c r="B16" s="3" t="s">
        <v>42</v>
      </c>
      <c r="C16" s="3">
        <f>202/241</f>
        <v>0.83817427385892118</v>
      </c>
      <c r="D16" s="4"/>
      <c r="E16" s="4"/>
      <c r="F16" s="5"/>
      <c r="G16" s="3" t="s">
        <v>25</v>
      </c>
      <c r="H16" s="4">
        <f>237/307</f>
        <v>0.7719869706840391</v>
      </c>
      <c r="I16" s="4"/>
      <c r="J16" s="4"/>
      <c r="K16" s="5"/>
      <c r="L16">
        <f>210/296</f>
        <v>0.70945945945945943</v>
      </c>
    </row>
    <row r="17" spans="2:21" ht="15.75" thickBot="1" x14ac:dyDescent="0.3">
      <c r="B17" s="3"/>
      <c r="C17" s="3"/>
      <c r="D17" s="4"/>
      <c r="E17" s="4"/>
      <c r="F17" s="5"/>
      <c r="G17" s="3"/>
      <c r="H17" s="3"/>
      <c r="I17" s="4"/>
      <c r="J17" s="4"/>
      <c r="K17" s="5"/>
      <c r="N17" s="3" t="s">
        <v>25</v>
      </c>
      <c r="O17" s="7"/>
      <c r="P17" s="7"/>
      <c r="Q17" s="7"/>
      <c r="R17" s="7"/>
    </row>
    <row r="18" spans="2:21" ht="15.75" thickBot="1" x14ac:dyDescent="0.3">
      <c r="B18" s="3"/>
      <c r="C18" s="3"/>
      <c r="D18" s="4"/>
      <c r="E18" s="4"/>
      <c r="F18" s="5"/>
      <c r="G18" s="3"/>
      <c r="H18" s="3"/>
      <c r="I18" s="4"/>
      <c r="J18" s="4"/>
      <c r="K18" s="5"/>
      <c r="O18">
        <v>56</v>
      </c>
      <c r="P18">
        <f>O18/130</f>
        <v>0.43076923076923079</v>
      </c>
    </row>
    <row r="19" spans="2:21" ht="15.75" thickBot="1" x14ac:dyDescent="0.3">
      <c r="B19" s="3" t="s">
        <v>10</v>
      </c>
      <c r="C19" s="3"/>
      <c r="D19" s="4"/>
      <c r="E19" s="4"/>
      <c r="F19" s="5"/>
      <c r="G19" s="3" t="s">
        <v>10</v>
      </c>
      <c r="H19" s="3"/>
      <c r="I19" s="4"/>
      <c r="J19" s="4"/>
      <c r="K19" s="5"/>
      <c r="O19">
        <v>56</v>
      </c>
      <c r="P19">
        <f>O19/130</f>
        <v>0.43076923076923079</v>
      </c>
    </row>
    <row r="20" spans="2:21" ht="15.75" thickBot="1" x14ac:dyDescent="0.3">
      <c r="B20" s="3" t="s">
        <v>9</v>
      </c>
      <c r="C20" s="3"/>
      <c r="D20" s="4"/>
      <c r="E20" s="4"/>
      <c r="F20" s="5"/>
      <c r="G20" s="3" t="s">
        <v>9</v>
      </c>
      <c r="H20" s="3"/>
      <c r="I20" s="4"/>
      <c r="J20" s="4"/>
      <c r="K20" s="5"/>
      <c r="O20">
        <v>44</v>
      </c>
      <c r="P20">
        <f>O20/130</f>
        <v>0.33846153846153848</v>
      </c>
    </row>
    <row r="21" spans="2:21" ht="15.75" thickBot="1" x14ac:dyDescent="0.3">
      <c r="B21" s="3" t="s">
        <v>14</v>
      </c>
      <c r="C21" s="3"/>
      <c r="D21" s="4"/>
      <c r="E21" s="4"/>
      <c r="F21" s="5"/>
      <c r="G21" s="3" t="s">
        <v>14</v>
      </c>
      <c r="H21" s="3"/>
      <c r="I21" s="4"/>
      <c r="J21" s="4"/>
      <c r="K21" s="5"/>
    </row>
    <row r="22" spans="2:21" ht="15.75" thickBot="1" x14ac:dyDescent="0.3">
      <c r="B22" s="3" t="s">
        <v>13</v>
      </c>
      <c r="C22" s="3"/>
      <c r="D22" s="4"/>
      <c r="E22" s="4"/>
      <c r="F22" s="5"/>
      <c r="G22" s="3" t="s">
        <v>13</v>
      </c>
      <c r="H22" s="3"/>
      <c r="I22" s="4"/>
      <c r="J22" s="4"/>
      <c r="K22" s="5"/>
      <c r="P22" s="7">
        <f>AVERAGE(P18:P20)</f>
        <v>0.40000000000000008</v>
      </c>
    </row>
    <row r="23" spans="2:21" ht="15.75" thickBot="1" x14ac:dyDescent="0.3">
      <c r="B23" s="3" t="s">
        <v>15</v>
      </c>
      <c r="C23" s="3"/>
      <c r="D23" s="4"/>
      <c r="E23" s="4"/>
      <c r="F23" s="5"/>
      <c r="G23" s="3" t="s">
        <v>15</v>
      </c>
      <c r="H23" s="3"/>
      <c r="I23" s="4"/>
      <c r="J23" s="4"/>
      <c r="K23" s="5"/>
    </row>
    <row r="24" spans="2:21" x14ac:dyDescent="0.25">
      <c r="B24" s="26"/>
      <c r="C24" s="26"/>
      <c r="D24" s="26"/>
      <c r="E24" s="26"/>
      <c r="F24" s="26"/>
      <c r="G24" s="27"/>
      <c r="H24" s="26"/>
      <c r="I24" s="26"/>
      <c r="J24" s="26"/>
      <c r="K24" s="26"/>
    </row>
    <row r="25" spans="2:21" x14ac:dyDescent="0.25">
      <c r="C25" s="25" t="s">
        <v>46</v>
      </c>
      <c r="D25" s="17">
        <f>C5</f>
        <v>0.53672199170124479</v>
      </c>
      <c r="G25" s="25" t="s">
        <v>46</v>
      </c>
      <c r="H25" s="17">
        <f>H5</f>
        <v>0.57442996742671015</v>
      </c>
      <c r="N25" s="25" t="s">
        <v>46</v>
      </c>
      <c r="O25" s="17">
        <f>O10</f>
        <v>0.39</v>
      </c>
      <c r="T25" s="25" t="s">
        <v>46</v>
      </c>
      <c r="U25" s="17">
        <f>U10</f>
        <v>0.8</v>
      </c>
    </row>
    <row r="26" spans="2:21" x14ac:dyDescent="0.25">
      <c r="B26" s="18" t="s">
        <v>30</v>
      </c>
      <c r="C26" s="18" t="s">
        <v>27</v>
      </c>
      <c r="D26" s="17">
        <f>sensit!Q19</f>
        <v>0.44979253112033196</v>
      </c>
      <c r="F26" s="18" t="s">
        <v>30</v>
      </c>
      <c r="G26" s="18" t="s">
        <v>27</v>
      </c>
      <c r="H26" s="7">
        <f>sensit!G19</f>
        <v>0.44690553745928341</v>
      </c>
      <c r="N26" s="18" t="s">
        <v>27</v>
      </c>
      <c r="O26" s="17">
        <f>sensit!AG19</f>
        <v>0.34505494505494499</v>
      </c>
      <c r="T26" s="18" t="s">
        <v>27</v>
      </c>
      <c r="U26" s="17">
        <f>sensit!X19</f>
        <v>0.60101010101010099</v>
      </c>
    </row>
    <row r="27" spans="2:21" x14ac:dyDescent="0.25">
      <c r="B27" s="18" t="s">
        <v>30</v>
      </c>
      <c r="C27" s="19" t="s">
        <v>28</v>
      </c>
      <c r="D27" s="17">
        <f>sensit!K8</f>
        <v>0.47821576763485479</v>
      </c>
      <c r="F27" s="18" t="s">
        <v>30</v>
      </c>
      <c r="G27" s="19" t="s">
        <v>28</v>
      </c>
      <c r="H27" s="7">
        <f>sensit!B19</f>
        <v>0.54211261051651927</v>
      </c>
      <c r="N27" s="19" t="s">
        <v>28</v>
      </c>
      <c r="O27" s="17">
        <f>sensit!AA19</f>
        <v>0.37912087912087916</v>
      </c>
      <c r="T27" s="19" t="s">
        <v>28</v>
      </c>
      <c r="U27" s="17">
        <f>sensit!T19</f>
        <v>0.73815073815073806</v>
      </c>
    </row>
    <row r="28" spans="2:21" x14ac:dyDescent="0.25">
      <c r="B28" s="18" t="s">
        <v>30</v>
      </c>
      <c r="C28" s="19" t="s">
        <v>29</v>
      </c>
      <c r="D28" s="7">
        <f>sensit!N19</f>
        <v>0.36818810511756578</v>
      </c>
      <c r="F28" s="18" t="s">
        <v>30</v>
      </c>
      <c r="G28" s="19" t="s">
        <v>29</v>
      </c>
      <c r="H28" s="7">
        <f>117/307</f>
        <v>0.38110749185667753</v>
      </c>
      <c r="N28" s="19" t="s">
        <v>29</v>
      </c>
      <c r="O28" s="17">
        <f>sensit!AE19</f>
        <v>0.27435897435897433</v>
      </c>
      <c r="T28" s="19" t="s">
        <v>29</v>
      </c>
      <c r="U28" s="17">
        <f>sensit!V19</f>
        <v>0.38720538720538716</v>
      </c>
    </row>
    <row r="29" spans="2:21" ht="15.75" thickBot="1" x14ac:dyDescent="0.3">
      <c r="G29" s="3" t="s">
        <v>11</v>
      </c>
      <c r="H29" s="3"/>
      <c r="I29" s="4"/>
      <c r="J29" s="4"/>
      <c r="K29" s="5"/>
    </row>
    <row r="32" spans="2:21" x14ac:dyDescent="0.25">
      <c r="C32" t="s">
        <v>48</v>
      </c>
      <c r="D32" t="s">
        <v>63</v>
      </c>
      <c r="E32" t="s">
        <v>47</v>
      </c>
      <c r="F32" t="s">
        <v>23</v>
      </c>
      <c r="G32" t="s">
        <v>43</v>
      </c>
    </row>
    <row r="33" spans="2:25" x14ac:dyDescent="0.25">
      <c r="B33" s="25" t="s">
        <v>51</v>
      </c>
      <c r="C33" s="17">
        <f>U25</f>
        <v>0.8</v>
      </c>
      <c r="D33" s="42">
        <f>AA10</f>
        <v>0.80018518518518533</v>
      </c>
      <c r="E33" s="17">
        <f>H25</f>
        <v>0.57442996742671015</v>
      </c>
      <c r="F33" s="17">
        <f>O25</f>
        <v>0.39</v>
      </c>
      <c r="G33" s="17">
        <f>D25</f>
        <v>0.53672199170124479</v>
      </c>
    </row>
    <row r="34" spans="2:25" x14ac:dyDescent="0.25">
      <c r="B34" s="18" t="s">
        <v>27</v>
      </c>
      <c r="C34" s="17">
        <f>U26</f>
        <v>0.60101010101010099</v>
      </c>
      <c r="D34" s="42">
        <f>sensit!AO24</f>
        <v>0.81308641975308649</v>
      </c>
      <c r="E34" s="17">
        <f>H26</f>
        <v>0.44690553745928341</v>
      </c>
      <c r="F34" s="17">
        <f>O26</f>
        <v>0.34505494505494499</v>
      </c>
      <c r="G34" s="17">
        <f>D26</f>
        <v>0.44979253112033196</v>
      </c>
      <c r="P34" s="7"/>
    </row>
    <row r="35" spans="2:25" x14ac:dyDescent="0.25">
      <c r="B35" s="19" t="s">
        <v>50</v>
      </c>
      <c r="C35" s="17">
        <f>U27</f>
        <v>0.73815073815073806</v>
      </c>
      <c r="D35" s="43">
        <f>sensit!AK24</f>
        <v>0.53160493827160493</v>
      </c>
      <c r="E35" s="17">
        <f>H27</f>
        <v>0.54211261051651927</v>
      </c>
      <c r="F35" s="17">
        <f>O27</f>
        <v>0.37912087912087916</v>
      </c>
      <c r="G35" s="17">
        <f>D27</f>
        <v>0.47821576763485479</v>
      </c>
      <c r="N35" t="s">
        <v>52</v>
      </c>
      <c r="O35" s="17">
        <f>AVERAGE(C5,H5,O10,U10)</f>
        <v>0.5752879897819887</v>
      </c>
    </row>
    <row r="36" spans="2:25" x14ac:dyDescent="0.25">
      <c r="B36" s="19" t="s">
        <v>49</v>
      </c>
      <c r="C36" s="17">
        <f>U28</f>
        <v>0.38720538720538716</v>
      </c>
      <c r="D36" s="42">
        <f>sensit!AM24</f>
        <v>0.6343209876543211</v>
      </c>
      <c r="E36" s="17">
        <f>H28</f>
        <v>0.38110749185667753</v>
      </c>
      <c r="F36" s="17">
        <f>O28</f>
        <v>0.27435897435897433</v>
      </c>
      <c r="G36" s="17">
        <f>D28</f>
        <v>0.36818810511756578</v>
      </c>
      <c r="N36" t="s">
        <v>24</v>
      </c>
      <c r="O36" s="17">
        <f>AVERAGE(H13,O13,U13,C13)</f>
        <v>0.19902317893089921</v>
      </c>
    </row>
    <row r="37" spans="2:25" x14ac:dyDescent="0.25">
      <c r="D37" s="18"/>
      <c r="O37" s="17">
        <f>O35-O36</f>
        <v>0.37626481085108948</v>
      </c>
    </row>
    <row r="38" spans="2:25" x14ac:dyDescent="0.25">
      <c r="B38" s="19" t="s">
        <v>24</v>
      </c>
      <c r="C38" s="17">
        <f>H13</f>
        <v>0.26779897626803173</v>
      </c>
      <c r="D38" s="42">
        <f>AA13</f>
        <v>0.30018450184501849</v>
      </c>
      <c r="E38" s="17">
        <f>U13</f>
        <v>0.26000000000000006</v>
      </c>
      <c r="F38" s="17">
        <f>O13</f>
        <v>0.12472527472527473</v>
      </c>
      <c r="G38" s="17">
        <f>C13</f>
        <v>0.14356846473029042</v>
      </c>
    </row>
    <row r="41" spans="2:25" x14ac:dyDescent="0.25">
      <c r="B41" t="s">
        <v>66</v>
      </c>
      <c r="C41" s="17">
        <f>AVERAGE(C33:G33)</f>
        <v>0.62026742886262809</v>
      </c>
      <c r="U41" s="7"/>
      <c r="V41" s="7"/>
      <c r="W41" s="7"/>
    </row>
    <row r="42" spans="2:25" x14ac:dyDescent="0.25">
      <c r="B42" t="s">
        <v>67</v>
      </c>
      <c r="C42" s="17">
        <f>AVERAGE(C38:G38)</f>
        <v>0.21925544351372306</v>
      </c>
      <c r="U42" s="7"/>
      <c r="V42" s="7"/>
      <c r="W42" s="7"/>
      <c r="Y42" s="7"/>
    </row>
    <row r="43" spans="2:25" x14ac:dyDescent="0.25">
      <c r="C43" s="17">
        <f>C41-C42</f>
        <v>0.40101198534890503</v>
      </c>
    </row>
    <row r="44" spans="2:25" x14ac:dyDescent="0.25">
      <c r="U44" s="7"/>
      <c r="V44" s="7"/>
      <c r="Y44" s="7"/>
    </row>
    <row r="45" spans="2:25" x14ac:dyDescent="0.25">
      <c r="U45" s="7"/>
      <c r="V45" s="7"/>
      <c r="Y45" s="17"/>
    </row>
    <row r="46" spans="2:25" x14ac:dyDescent="0.25">
      <c r="U46" s="7"/>
      <c r="V46" s="7"/>
      <c r="Y46" s="17"/>
    </row>
    <row r="47" spans="2:25" x14ac:dyDescent="0.25">
      <c r="W47" s="17"/>
      <c r="X47" s="17"/>
      <c r="Y47" s="17"/>
    </row>
    <row r="48" spans="2:25" x14ac:dyDescent="0.25">
      <c r="W48" s="17"/>
      <c r="X48" s="17"/>
      <c r="Y48" s="1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16CD-52B1-4195-8566-0F93D646FBBB}">
  <dimension ref="A4:S28"/>
  <sheetViews>
    <sheetView workbookViewId="0">
      <selection activeCell="A23" sqref="A23"/>
    </sheetView>
  </sheetViews>
  <sheetFormatPr defaultRowHeight="15" x14ac:dyDescent="0.25"/>
  <sheetData>
    <row r="4" spans="1:19" x14ac:dyDescent="0.25">
      <c r="A4" t="s">
        <v>23</v>
      </c>
      <c r="R4" t="s">
        <v>21</v>
      </c>
    </row>
    <row r="6" spans="1:19" x14ac:dyDescent="0.25">
      <c r="A6" s="31" t="s">
        <v>28</v>
      </c>
      <c r="B6" s="32">
        <f>31/130</f>
        <v>0.23846153846153847</v>
      </c>
      <c r="R6" s="31" t="s">
        <v>28</v>
      </c>
      <c r="S6" s="32">
        <f>31/130</f>
        <v>0.23846153846153847</v>
      </c>
    </row>
    <row r="7" spans="1:19" x14ac:dyDescent="0.25">
      <c r="A7" s="33" t="s">
        <v>29</v>
      </c>
      <c r="B7" s="32">
        <f>33/130</f>
        <v>0.25384615384615383</v>
      </c>
      <c r="R7" s="33" t="s">
        <v>29</v>
      </c>
      <c r="S7" s="32">
        <f>33/130</f>
        <v>0.25384615384615383</v>
      </c>
    </row>
    <row r="8" spans="1:19" x14ac:dyDescent="0.25">
      <c r="A8" s="34" t="s">
        <v>27</v>
      </c>
      <c r="B8" s="32">
        <f>42/130</f>
        <v>0.32307692307692309</v>
      </c>
      <c r="R8" s="34" t="s">
        <v>27</v>
      </c>
      <c r="S8" s="32">
        <f>42/130</f>
        <v>0.32307692307692309</v>
      </c>
    </row>
    <row r="9" spans="1:19" x14ac:dyDescent="0.25">
      <c r="A9" s="35" t="s">
        <v>53</v>
      </c>
      <c r="B9" s="36">
        <v>0.39</v>
      </c>
      <c r="K9" t="s">
        <v>48</v>
      </c>
      <c r="R9" t="s">
        <v>62</v>
      </c>
      <c r="S9" s="17">
        <f>Main!H10</f>
        <v>0.52442996742671011</v>
      </c>
    </row>
    <row r="10" spans="1:19" x14ac:dyDescent="0.25">
      <c r="A10" s="37" t="s">
        <v>24</v>
      </c>
      <c r="B10" s="38">
        <f>3/130</f>
        <v>2.3076923076923078E-2</v>
      </c>
      <c r="K10" t="s">
        <v>54</v>
      </c>
      <c r="N10" t="s">
        <v>55</v>
      </c>
      <c r="R10" s="35" t="s">
        <v>53</v>
      </c>
      <c r="S10" s="36">
        <f>Main!H5</f>
        <v>0.57442996742671015</v>
      </c>
    </row>
    <row r="11" spans="1:19" x14ac:dyDescent="0.25">
      <c r="E11" t="s">
        <v>55</v>
      </c>
      <c r="H11" s="39">
        <v>50000</v>
      </c>
      <c r="R11" t="s">
        <v>24</v>
      </c>
    </row>
    <row r="12" spans="1:19" x14ac:dyDescent="0.25">
      <c r="A12" t="s">
        <v>56</v>
      </c>
      <c r="B12">
        <v>3.6</v>
      </c>
      <c r="E12" s="40">
        <f>13/130</f>
        <v>0.1</v>
      </c>
    </row>
    <row r="13" spans="1:19" x14ac:dyDescent="0.25">
      <c r="A13" t="s">
        <v>57</v>
      </c>
      <c r="B13">
        <v>2.5</v>
      </c>
      <c r="C13">
        <f>5/130</f>
        <v>3.8461538461538464E-2</v>
      </c>
    </row>
    <row r="14" spans="1:19" x14ac:dyDescent="0.25">
      <c r="B14">
        <v>2</v>
      </c>
      <c r="C14">
        <f>6/130</f>
        <v>4.6153846153846156E-2</v>
      </c>
      <c r="E14">
        <f>15/130</f>
        <v>0.11538461538461539</v>
      </c>
      <c r="K14">
        <v>2</v>
      </c>
      <c r="L14">
        <f>19/100</f>
        <v>0.19</v>
      </c>
    </row>
    <row r="15" spans="1:19" x14ac:dyDescent="0.25">
      <c r="B15">
        <v>1.5</v>
      </c>
      <c r="C15">
        <f>7/130</f>
        <v>5.3846153846153849E-2</v>
      </c>
      <c r="E15">
        <f>19/130</f>
        <v>0.14615384615384616</v>
      </c>
    </row>
    <row r="16" spans="1:19" x14ac:dyDescent="0.25">
      <c r="B16">
        <v>1</v>
      </c>
      <c r="E16">
        <f>12/130</f>
        <v>9.2307692307692313E-2</v>
      </c>
    </row>
    <row r="21" spans="1:16" x14ac:dyDescent="0.25">
      <c r="A21" t="s">
        <v>58</v>
      </c>
      <c r="B21" t="s">
        <v>59</v>
      </c>
      <c r="E21" t="s">
        <v>55</v>
      </c>
      <c r="K21" t="s">
        <v>60</v>
      </c>
      <c r="L21" t="s">
        <v>59</v>
      </c>
      <c r="O21" t="s">
        <v>55</v>
      </c>
    </row>
    <row r="23" spans="1:16" x14ac:dyDescent="0.25">
      <c r="A23">
        <v>2</v>
      </c>
      <c r="B23">
        <v>49</v>
      </c>
      <c r="C23">
        <f>B23/241</f>
        <v>0.2033195020746888</v>
      </c>
      <c r="K23">
        <v>2</v>
      </c>
      <c r="L23">
        <v>49</v>
      </c>
      <c r="M23">
        <f>L23/241</f>
        <v>0.2033195020746888</v>
      </c>
    </row>
    <row r="24" spans="1:16" x14ac:dyDescent="0.25">
      <c r="A24">
        <v>1.5</v>
      </c>
      <c r="E24">
        <v>26</v>
      </c>
      <c r="F24">
        <f>E24/241</f>
        <v>0.1078838174273859</v>
      </c>
      <c r="K24">
        <v>1.5</v>
      </c>
      <c r="O24">
        <v>51</v>
      </c>
    </row>
    <row r="25" spans="1:16" x14ac:dyDescent="0.25">
      <c r="A25">
        <v>1.25</v>
      </c>
      <c r="E25">
        <v>29</v>
      </c>
      <c r="F25">
        <f>E25/241</f>
        <v>0.12033195020746888</v>
      </c>
      <c r="K25">
        <v>1.25</v>
      </c>
      <c r="O25">
        <v>55</v>
      </c>
    </row>
    <row r="26" spans="1:16" x14ac:dyDescent="0.25">
      <c r="A26">
        <v>1</v>
      </c>
      <c r="E26">
        <v>34</v>
      </c>
      <c r="F26">
        <f>E26/241</f>
        <v>0.14107883817427386</v>
      </c>
      <c r="K26">
        <v>1</v>
      </c>
      <c r="O26">
        <v>69</v>
      </c>
      <c r="P26">
        <f>O26/315</f>
        <v>0.21904761904761905</v>
      </c>
    </row>
    <row r="27" spans="1:16" x14ac:dyDescent="0.25">
      <c r="A27">
        <v>0.75</v>
      </c>
      <c r="E27">
        <v>36</v>
      </c>
      <c r="F27">
        <f>E27/241</f>
        <v>0.14937759336099585</v>
      </c>
      <c r="K27">
        <v>0.75</v>
      </c>
      <c r="O27">
        <v>82</v>
      </c>
      <c r="P27">
        <f>O27/315</f>
        <v>0.26031746031746034</v>
      </c>
    </row>
    <row r="28" spans="1:16" x14ac:dyDescent="0.25">
      <c r="A28">
        <v>0.5</v>
      </c>
      <c r="E28">
        <v>9</v>
      </c>
      <c r="F28">
        <f>E28/241</f>
        <v>3.7344398340248962E-2</v>
      </c>
      <c r="K28">
        <v>0.5</v>
      </c>
      <c r="O28">
        <v>74</v>
      </c>
      <c r="P28">
        <f>O28/315</f>
        <v>0.23492063492063492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8F86B-82AF-475B-B3F0-3A3E1FFE27F6}">
  <dimension ref="A1:AO26"/>
  <sheetViews>
    <sheetView topLeftCell="W1" workbookViewId="0">
      <selection activeCell="AJ3" sqref="AJ3"/>
    </sheetView>
  </sheetViews>
  <sheetFormatPr defaultRowHeight="15" x14ac:dyDescent="0.25"/>
  <cols>
    <col min="12" max="12" width="2.7109375" customWidth="1"/>
    <col min="15" max="15" width="2.140625" customWidth="1"/>
    <col min="41" max="41" width="9.140625" style="7"/>
  </cols>
  <sheetData>
    <row r="1" spans="1:41" x14ac:dyDescent="0.25">
      <c r="A1" t="s">
        <v>21</v>
      </c>
      <c r="J1" t="s">
        <v>43</v>
      </c>
      <c r="S1" t="s">
        <v>22</v>
      </c>
      <c r="Z1" t="s">
        <v>23</v>
      </c>
      <c r="AI1" t="s">
        <v>63</v>
      </c>
    </row>
    <row r="2" spans="1:41" x14ac:dyDescent="0.25">
      <c r="A2" t="s">
        <v>44</v>
      </c>
      <c r="D2" t="s">
        <v>29</v>
      </c>
      <c r="F2" t="s">
        <v>27</v>
      </c>
      <c r="I2" t="s">
        <v>27</v>
      </c>
      <c r="J2" t="s">
        <v>44</v>
      </c>
      <c r="M2" t="s">
        <v>29</v>
      </c>
      <c r="P2" t="s">
        <v>27</v>
      </c>
      <c r="S2" t="s">
        <v>44</v>
      </c>
      <c r="U2" t="s">
        <v>45</v>
      </c>
      <c r="W2" t="s">
        <v>27</v>
      </c>
      <c r="Z2" t="s">
        <v>28</v>
      </c>
      <c r="AC2" t="s">
        <v>29</v>
      </c>
      <c r="AF2" t="s">
        <v>27</v>
      </c>
      <c r="AK2" t="s">
        <v>44</v>
      </c>
      <c r="AM2" t="s">
        <v>45</v>
      </c>
      <c r="AN2" t="s">
        <v>27</v>
      </c>
    </row>
    <row r="3" spans="1:41" x14ac:dyDescent="0.25">
      <c r="A3">
        <v>171</v>
      </c>
      <c r="B3" s="7">
        <f>A3/307</f>
        <v>0.55700325732899025</v>
      </c>
      <c r="D3">
        <v>117</v>
      </c>
      <c r="E3" s="7">
        <f>D3/307</f>
        <v>0.38110749185667753</v>
      </c>
      <c r="F3">
        <v>144</v>
      </c>
      <c r="G3" s="7">
        <f>F3/307</f>
        <v>0.46905537459283386</v>
      </c>
      <c r="H3" s="7"/>
      <c r="I3" s="7"/>
      <c r="J3">
        <v>122</v>
      </c>
      <c r="K3" s="7">
        <f>J3/241</f>
        <v>0.50622406639004147</v>
      </c>
      <c r="M3">
        <v>96</v>
      </c>
      <c r="N3" s="7">
        <f t="shared" ref="N3:N17" si="0">M3/241</f>
        <v>0.39834024896265557</v>
      </c>
      <c r="O3" s="7"/>
      <c r="P3">
        <v>111</v>
      </c>
      <c r="Q3" s="7">
        <f>P3/241</f>
        <v>0.46058091286307051</v>
      </c>
      <c r="S3">
        <v>68</v>
      </c>
      <c r="T3" s="7">
        <f t="shared" ref="T3:T9" si="1">S3/99</f>
        <v>0.68686868686868685</v>
      </c>
      <c r="U3">
        <v>42</v>
      </c>
      <c r="V3" s="7">
        <f>U3/99</f>
        <v>0.42424242424242425</v>
      </c>
      <c r="W3" s="28">
        <v>60</v>
      </c>
      <c r="X3" s="7">
        <f>W3/99</f>
        <v>0.60606060606060608</v>
      </c>
      <c r="Z3">
        <v>50</v>
      </c>
      <c r="AA3" s="7">
        <f>Z3/130</f>
        <v>0.38461538461538464</v>
      </c>
      <c r="AC3" t="s">
        <v>38</v>
      </c>
      <c r="AD3">
        <v>34</v>
      </c>
      <c r="AE3" s="7">
        <f>AD3/130</f>
        <v>0.26153846153846155</v>
      </c>
      <c r="AF3">
        <v>42</v>
      </c>
      <c r="AG3" s="7">
        <f>AF3/130</f>
        <v>0.32307692307692309</v>
      </c>
      <c r="AI3" t="s">
        <v>63</v>
      </c>
      <c r="AJ3">
        <v>145</v>
      </c>
      <c r="AK3" s="7">
        <f t="shared" ref="AK3:AM21" si="2">AJ3/270</f>
        <v>0.53703703703703709</v>
      </c>
      <c r="AL3">
        <v>165</v>
      </c>
      <c r="AM3" s="7">
        <f t="shared" si="2"/>
        <v>0.61111111111111116</v>
      </c>
      <c r="AN3">
        <v>223</v>
      </c>
      <c r="AO3" s="7">
        <f>AN3/270</f>
        <v>0.82592592592592595</v>
      </c>
    </row>
    <row r="4" spans="1:41" x14ac:dyDescent="0.25">
      <c r="A4">
        <v>163</v>
      </c>
      <c r="B4" s="7">
        <f t="shared" ref="B4:B16" si="3">A4/307</f>
        <v>0.53094462540716614</v>
      </c>
      <c r="D4">
        <v>115</v>
      </c>
      <c r="E4" s="7">
        <f t="shared" ref="E4:E10" si="4">D4/307</f>
        <v>0.3745928338762215</v>
      </c>
      <c r="F4">
        <v>134</v>
      </c>
      <c r="G4" s="7">
        <f>F4/307</f>
        <v>0.43648208469055377</v>
      </c>
      <c r="H4" s="7"/>
      <c r="I4" s="7"/>
      <c r="J4">
        <v>115</v>
      </c>
      <c r="K4" s="7">
        <f>J4/241</f>
        <v>0.47717842323651455</v>
      </c>
      <c r="M4">
        <v>89</v>
      </c>
      <c r="N4" s="7">
        <f t="shared" si="0"/>
        <v>0.36929460580912865</v>
      </c>
      <c r="O4" s="7"/>
      <c r="P4">
        <v>112</v>
      </c>
      <c r="Q4" s="7">
        <f>P4/241</f>
        <v>0.46473029045643155</v>
      </c>
      <c r="S4">
        <v>76</v>
      </c>
      <c r="T4" s="7">
        <f t="shared" si="1"/>
        <v>0.76767676767676762</v>
      </c>
      <c r="U4">
        <v>34</v>
      </c>
      <c r="V4" s="7">
        <f t="shared" ref="V4:V17" si="5">U4/99</f>
        <v>0.34343434343434343</v>
      </c>
      <c r="W4" s="28">
        <v>62</v>
      </c>
      <c r="X4" s="7">
        <f>W4/99</f>
        <v>0.6262626262626263</v>
      </c>
      <c r="Z4">
        <v>50</v>
      </c>
      <c r="AA4" s="7">
        <f t="shared" ref="AA4:AA9" si="6">Z4/130</f>
        <v>0.38461538461538464</v>
      </c>
      <c r="AC4" t="s">
        <v>38</v>
      </c>
      <c r="AD4">
        <v>35</v>
      </c>
      <c r="AE4" s="7">
        <f t="shared" ref="AE4:AE14" si="7">AD4/130</f>
        <v>0.26923076923076922</v>
      </c>
      <c r="AF4">
        <v>46</v>
      </c>
      <c r="AG4" s="7">
        <f t="shared" ref="AG4:AG16" si="8">AF4/130</f>
        <v>0.35384615384615387</v>
      </c>
      <c r="AI4" t="s">
        <v>63</v>
      </c>
      <c r="AJ4">
        <v>148</v>
      </c>
      <c r="AK4" s="7">
        <f t="shared" si="2"/>
        <v>0.54814814814814816</v>
      </c>
      <c r="AL4">
        <v>168</v>
      </c>
      <c r="AM4" s="7">
        <f t="shared" si="2"/>
        <v>0.62222222222222223</v>
      </c>
      <c r="AN4">
        <v>224</v>
      </c>
      <c r="AO4" s="7">
        <f t="shared" ref="AO4:AO22" si="9">AN4/270</f>
        <v>0.82962962962962961</v>
      </c>
    </row>
    <row r="5" spans="1:41" x14ac:dyDescent="0.25">
      <c r="A5">
        <v>162</v>
      </c>
      <c r="B5" s="7">
        <f t="shared" si="3"/>
        <v>0.52768729641693812</v>
      </c>
      <c r="D5">
        <v>128</v>
      </c>
      <c r="E5" s="7">
        <f t="shared" si="4"/>
        <v>0.41693811074918569</v>
      </c>
      <c r="F5">
        <v>136</v>
      </c>
      <c r="G5" s="7">
        <f>F5/307</f>
        <v>0.44299674267100975</v>
      </c>
      <c r="H5" s="7"/>
      <c r="I5" s="7"/>
      <c r="J5">
        <v>114</v>
      </c>
      <c r="K5" s="7">
        <f>J5/241</f>
        <v>0.47302904564315351</v>
      </c>
      <c r="M5">
        <v>87</v>
      </c>
      <c r="N5" s="7">
        <f t="shared" si="0"/>
        <v>0.36099585062240663</v>
      </c>
      <c r="O5" s="7"/>
      <c r="P5">
        <v>104</v>
      </c>
      <c r="Q5" s="7">
        <f>P5/241</f>
        <v>0.43153526970954359</v>
      </c>
      <c r="S5">
        <v>74</v>
      </c>
      <c r="T5" s="7">
        <f t="shared" si="1"/>
        <v>0.74747474747474751</v>
      </c>
      <c r="U5">
        <v>37</v>
      </c>
      <c r="V5" s="7">
        <f t="shared" si="5"/>
        <v>0.37373737373737376</v>
      </c>
      <c r="W5" s="28">
        <v>57</v>
      </c>
      <c r="X5" s="7">
        <f>W5/99</f>
        <v>0.5757575757575758</v>
      </c>
      <c r="Z5">
        <v>54</v>
      </c>
      <c r="AA5" s="7">
        <f t="shared" si="6"/>
        <v>0.41538461538461541</v>
      </c>
      <c r="AC5" t="s">
        <v>38</v>
      </c>
      <c r="AD5">
        <v>38</v>
      </c>
      <c r="AE5" s="7">
        <f t="shared" si="7"/>
        <v>0.29230769230769232</v>
      </c>
      <c r="AF5">
        <v>48</v>
      </c>
      <c r="AG5" s="7">
        <f t="shared" si="8"/>
        <v>0.36923076923076925</v>
      </c>
      <c r="AI5" t="s">
        <v>63</v>
      </c>
      <c r="AJ5">
        <v>143</v>
      </c>
      <c r="AK5" s="7">
        <f t="shared" si="2"/>
        <v>0.52962962962962967</v>
      </c>
      <c r="AL5">
        <v>173</v>
      </c>
      <c r="AM5" s="7">
        <f t="shared" si="2"/>
        <v>0.64074074074074072</v>
      </c>
      <c r="AN5">
        <v>221</v>
      </c>
      <c r="AO5" s="7">
        <f t="shared" si="9"/>
        <v>0.81851851851851853</v>
      </c>
    </row>
    <row r="6" spans="1:41" x14ac:dyDescent="0.25">
      <c r="A6">
        <v>170</v>
      </c>
      <c r="B6" s="7">
        <f t="shared" si="3"/>
        <v>0.55374592833876224</v>
      </c>
      <c r="D6">
        <v>114</v>
      </c>
      <c r="E6" s="7">
        <f t="shared" si="4"/>
        <v>0.37133550488599348</v>
      </c>
      <c r="F6">
        <v>138</v>
      </c>
      <c r="G6" s="7">
        <f>F6/307</f>
        <v>0.44951140065146578</v>
      </c>
      <c r="H6" s="7"/>
      <c r="I6" s="7"/>
      <c r="J6">
        <v>110</v>
      </c>
      <c r="K6" s="7">
        <f>J6/241</f>
        <v>0.45643153526970953</v>
      </c>
      <c r="M6">
        <v>92</v>
      </c>
      <c r="N6" s="7">
        <f t="shared" si="0"/>
        <v>0.38174273858921159</v>
      </c>
      <c r="O6" s="7"/>
      <c r="P6">
        <v>117</v>
      </c>
      <c r="Q6" s="7">
        <f>P6/241</f>
        <v>0.48547717842323651</v>
      </c>
      <c r="S6">
        <v>75</v>
      </c>
      <c r="T6" s="7">
        <f t="shared" si="1"/>
        <v>0.75757575757575757</v>
      </c>
      <c r="U6">
        <v>37</v>
      </c>
      <c r="V6" s="7">
        <f t="shared" si="5"/>
        <v>0.37373737373737376</v>
      </c>
      <c r="W6" s="28">
        <v>59</v>
      </c>
      <c r="X6" s="7">
        <f>W6/99</f>
        <v>0.59595959595959591</v>
      </c>
      <c r="Z6">
        <v>49</v>
      </c>
      <c r="AA6" s="7">
        <f t="shared" si="6"/>
        <v>0.37692307692307692</v>
      </c>
      <c r="AC6" t="s">
        <v>38</v>
      </c>
      <c r="AD6">
        <v>36</v>
      </c>
      <c r="AE6" s="7">
        <f t="shared" si="7"/>
        <v>0.27692307692307694</v>
      </c>
      <c r="AF6">
        <v>54</v>
      </c>
      <c r="AG6" s="7">
        <f t="shared" si="8"/>
        <v>0.41538461538461541</v>
      </c>
      <c r="AI6" t="s">
        <v>63</v>
      </c>
      <c r="AJ6">
        <v>148</v>
      </c>
      <c r="AK6" s="7">
        <f t="shared" si="2"/>
        <v>0.54814814814814816</v>
      </c>
      <c r="AL6">
        <v>168</v>
      </c>
      <c r="AM6" s="7">
        <f t="shared" si="2"/>
        <v>0.62222222222222223</v>
      </c>
      <c r="AN6">
        <v>216</v>
      </c>
      <c r="AO6" s="7">
        <f t="shared" si="9"/>
        <v>0.8</v>
      </c>
    </row>
    <row r="7" spans="1:41" x14ac:dyDescent="0.25">
      <c r="A7">
        <v>163</v>
      </c>
      <c r="B7" s="7">
        <f t="shared" si="3"/>
        <v>0.53094462540716614</v>
      </c>
      <c r="D7">
        <v>112</v>
      </c>
      <c r="E7" s="7">
        <f t="shared" si="4"/>
        <v>0.36482084690553745</v>
      </c>
      <c r="F7">
        <v>134</v>
      </c>
      <c r="G7" s="7">
        <f>F7/307</f>
        <v>0.43648208469055377</v>
      </c>
      <c r="H7" s="7"/>
      <c r="I7" s="7"/>
      <c r="M7">
        <v>89</v>
      </c>
      <c r="N7" s="7">
        <f t="shared" si="0"/>
        <v>0.36929460580912865</v>
      </c>
      <c r="O7" s="7"/>
      <c r="P7" s="28">
        <v>98</v>
      </c>
      <c r="Q7" s="7">
        <f>P7/241</f>
        <v>0.40663900414937759</v>
      </c>
      <c r="S7">
        <v>73</v>
      </c>
      <c r="T7" s="7">
        <f t="shared" si="1"/>
        <v>0.73737373737373735</v>
      </c>
      <c r="U7">
        <v>40</v>
      </c>
      <c r="V7" s="7">
        <f t="shared" si="5"/>
        <v>0.40404040404040403</v>
      </c>
      <c r="W7" s="28"/>
      <c r="X7" s="7"/>
      <c r="Z7">
        <v>54</v>
      </c>
      <c r="AA7" s="7">
        <f t="shared" si="6"/>
        <v>0.41538461538461541</v>
      </c>
      <c r="AC7" t="s">
        <v>38</v>
      </c>
      <c r="AD7">
        <v>37</v>
      </c>
      <c r="AE7" s="7">
        <f t="shared" si="7"/>
        <v>0.2846153846153846</v>
      </c>
      <c r="AF7">
        <v>57</v>
      </c>
      <c r="AG7" s="7">
        <f t="shared" si="8"/>
        <v>0.43846153846153846</v>
      </c>
      <c r="AI7" t="s">
        <v>63</v>
      </c>
      <c r="AJ7">
        <v>147</v>
      </c>
      <c r="AK7" s="7">
        <f t="shared" si="2"/>
        <v>0.5444444444444444</v>
      </c>
      <c r="AL7">
        <v>169</v>
      </c>
      <c r="AM7" s="7">
        <f t="shared" si="2"/>
        <v>0.62592592592592589</v>
      </c>
      <c r="AN7">
        <v>217</v>
      </c>
      <c r="AO7" s="7">
        <f t="shared" si="9"/>
        <v>0.8037037037037037</v>
      </c>
    </row>
    <row r="8" spans="1:41" x14ac:dyDescent="0.25">
      <c r="A8">
        <v>173</v>
      </c>
      <c r="B8" s="7">
        <f t="shared" si="3"/>
        <v>0.56351791530944628</v>
      </c>
      <c r="D8">
        <v>119</v>
      </c>
      <c r="E8" s="7">
        <f t="shared" si="4"/>
        <v>0.38762214983713356</v>
      </c>
      <c r="G8" s="7"/>
      <c r="H8" s="7"/>
      <c r="I8" s="7"/>
      <c r="J8" s="7" t="s">
        <v>39</v>
      </c>
      <c r="K8" s="7">
        <f>AVERAGE(K3:K6)</f>
        <v>0.47821576763485479</v>
      </c>
      <c r="M8">
        <v>83</v>
      </c>
      <c r="N8" s="7">
        <f t="shared" si="0"/>
        <v>0.34439834024896265</v>
      </c>
      <c r="O8" s="7"/>
      <c r="P8" s="7"/>
      <c r="S8">
        <v>75</v>
      </c>
      <c r="T8" s="7">
        <f t="shared" si="1"/>
        <v>0.75757575757575757</v>
      </c>
      <c r="U8">
        <v>38</v>
      </c>
      <c r="V8" s="7">
        <f t="shared" si="5"/>
        <v>0.38383838383838381</v>
      </c>
      <c r="W8" s="28"/>
      <c r="X8" s="7"/>
      <c r="Z8">
        <v>43</v>
      </c>
      <c r="AA8" s="7">
        <f t="shared" si="6"/>
        <v>0.33076923076923076</v>
      </c>
      <c r="AC8" t="s">
        <v>38</v>
      </c>
      <c r="AD8">
        <v>37</v>
      </c>
      <c r="AE8" s="7">
        <f t="shared" si="7"/>
        <v>0.2846153846153846</v>
      </c>
      <c r="AF8">
        <v>29</v>
      </c>
      <c r="AG8" s="7">
        <f t="shared" si="8"/>
        <v>0.22307692307692309</v>
      </c>
      <c r="AI8" t="s">
        <v>63</v>
      </c>
      <c r="AJ8">
        <v>143</v>
      </c>
      <c r="AK8" s="7">
        <f t="shared" si="2"/>
        <v>0.52962962962962967</v>
      </c>
      <c r="AL8">
        <v>170</v>
      </c>
      <c r="AM8" s="7">
        <f t="shared" si="2"/>
        <v>0.62962962962962965</v>
      </c>
      <c r="AN8">
        <v>224</v>
      </c>
      <c r="AO8" s="7">
        <f t="shared" si="9"/>
        <v>0.82962962962962961</v>
      </c>
    </row>
    <row r="9" spans="1:41" x14ac:dyDescent="0.25">
      <c r="A9">
        <v>171</v>
      </c>
      <c r="B9" s="7">
        <f t="shared" si="3"/>
        <v>0.55700325732899025</v>
      </c>
      <c r="D9">
        <v>120</v>
      </c>
      <c r="E9" s="7">
        <f t="shared" si="4"/>
        <v>0.39087947882736157</v>
      </c>
      <c r="F9" s="7"/>
      <c r="G9" s="7"/>
      <c r="H9" s="7"/>
      <c r="I9" s="7"/>
      <c r="J9" s="7" t="s">
        <v>40</v>
      </c>
      <c r="K9" s="7">
        <f>_xlfn.STDEV.P(K3:K6)</f>
        <v>1.7937361479035869E-2</v>
      </c>
      <c r="M9">
        <v>95</v>
      </c>
      <c r="N9" s="7">
        <f t="shared" si="0"/>
        <v>0.39419087136929459</v>
      </c>
      <c r="O9" s="7"/>
      <c r="P9" s="7"/>
      <c r="S9">
        <v>72</v>
      </c>
      <c r="T9" s="7">
        <f t="shared" si="1"/>
        <v>0.72727272727272729</v>
      </c>
      <c r="U9">
        <v>39</v>
      </c>
      <c r="V9" s="7">
        <f t="shared" si="5"/>
        <v>0.39393939393939392</v>
      </c>
      <c r="W9" s="28"/>
      <c r="X9" s="7"/>
      <c r="Z9">
        <v>45</v>
      </c>
      <c r="AA9" s="7">
        <f t="shared" si="6"/>
        <v>0.34615384615384615</v>
      </c>
      <c r="AC9" t="s">
        <v>38</v>
      </c>
      <c r="AD9">
        <v>37</v>
      </c>
      <c r="AE9" s="7">
        <f t="shared" si="7"/>
        <v>0.2846153846153846</v>
      </c>
      <c r="AF9">
        <v>49</v>
      </c>
      <c r="AG9" s="7">
        <f t="shared" si="8"/>
        <v>0.37692307692307692</v>
      </c>
      <c r="AI9" t="s">
        <v>63</v>
      </c>
      <c r="AJ9">
        <v>139</v>
      </c>
      <c r="AK9" s="7">
        <f t="shared" si="2"/>
        <v>0.51481481481481484</v>
      </c>
      <c r="AL9">
        <v>175</v>
      </c>
      <c r="AM9" s="7">
        <f t="shared" si="2"/>
        <v>0.64814814814814814</v>
      </c>
      <c r="AN9">
        <v>215</v>
      </c>
      <c r="AO9" s="7">
        <f t="shared" si="9"/>
        <v>0.79629629629629628</v>
      </c>
    </row>
    <row r="10" spans="1:41" x14ac:dyDescent="0.25">
      <c r="A10">
        <v>158</v>
      </c>
      <c r="B10" s="7">
        <f t="shared" si="3"/>
        <v>0.51465798045602607</v>
      </c>
      <c r="D10">
        <v>113</v>
      </c>
      <c r="E10" s="7">
        <f t="shared" si="4"/>
        <v>0.36807817589576547</v>
      </c>
      <c r="F10" s="7"/>
      <c r="G10" s="7"/>
      <c r="H10" s="7"/>
      <c r="I10" s="7"/>
      <c r="J10" s="7" t="s">
        <v>41</v>
      </c>
      <c r="K10" s="23">
        <f>_xlfn.CONFIDENCE.T(0.05,K9,4)</f>
        <v>2.8542344882748014E-2</v>
      </c>
      <c r="M10">
        <v>76</v>
      </c>
      <c r="N10" s="7">
        <f t="shared" si="0"/>
        <v>0.31535269709543567</v>
      </c>
      <c r="O10" s="7"/>
      <c r="P10" s="7"/>
      <c r="S10">
        <v>71</v>
      </c>
      <c r="T10" s="7">
        <f t="shared" ref="T10:T15" si="10">S10/99</f>
        <v>0.71717171717171713</v>
      </c>
      <c r="U10">
        <v>38</v>
      </c>
      <c r="V10" s="7">
        <f t="shared" si="5"/>
        <v>0.38383838383838381</v>
      </c>
      <c r="W10" s="28"/>
      <c r="X10" s="7"/>
      <c r="AC10" t="s">
        <v>38</v>
      </c>
      <c r="AD10">
        <v>34</v>
      </c>
      <c r="AE10" s="7">
        <f t="shared" si="7"/>
        <v>0.26153846153846155</v>
      </c>
      <c r="AF10">
        <v>48</v>
      </c>
      <c r="AG10" s="7">
        <f t="shared" si="8"/>
        <v>0.36923076923076925</v>
      </c>
      <c r="AI10" t="s">
        <v>63</v>
      </c>
      <c r="AJ10">
        <v>150</v>
      </c>
      <c r="AK10" s="7">
        <f t="shared" si="2"/>
        <v>0.55555555555555558</v>
      </c>
      <c r="AL10">
        <v>171</v>
      </c>
      <c r="AM10" s="7">
        <f t="shared" si="2"/>
        <v>0.6333333333333333</v>
      </c>
      <c r="AN10">
        <v>221</v>
      </c>
      <c r="AO10" s="7">
        <f t="shared" si="9"/>
        <v>0.81851851851851853</v>
      </c>
    </row>
    <row r="11" spans="1:41" x14ac:dyDescent="0.25">
      <c r="A11">
        <v>175</v>
      </c>
      <c r="B11" s="7">
        <f t="shared" si="3"/>
        <v>0.57003257328990231</v>
      </c>
      <c r="E11" s="7"/>
      <c r="F11" s="7"/>
      <c r="G11" s="7"/>
      <c r="H11" s="7"/>
      <c r="I11" s="7"/>
      <c r="J11" s="7"/>
      <c r="K11" s="23"/>
      <c r="M11">
        <v>80</v>
      </c>
      <c r="N11" s="7">
        <f t="shared" si="0"/>
        <v>0.33195020746887965</v>
      </c>
      <c r="O11" s="7"/>
      <c r="P11" s="7"/>
      <c r="S11">
        <v>73</v>
      </c>
      <c r="T11" s="7">
        <f t="shared" si="10"/>
        <v>0.73737373737373735</v>
      </c>
      <c r="U11">
        <v>40</v>
      </c>
      <c r="V11" s="7">
        <f t="shared" si="5"/>
        <v>0.40404040404040403</v>
      </c>
      <c r="W11" s="28"/>
      <c r="X11" s="7"/>
      <c r="AC11" t="s">
        <v>38</v>
      </c>
      <c r="AD11">
        <v>35</v>
      </c>
      <c r="AE11" s="7">
        <f t="shared" si="7"/>
        <v>0.26923076923076922</v>
      </c>
      <c r="AF11">
        <v>37</v>
      </c>
      <c r="AG11" s="7">
        <f t="shared" si="8"/>
        <v>0.2846153846153846</v>
      </c>
      <c r="AI11" t="s">
        <v>63</v>
      </c>
      <c r="AJ11">
        <v>145</v>
      </c>
      <c r="AK11" s="7">
        <f t="shared" si="2"/>
        <v>0.53703703703703709</v>
      </c>
      <c r="AL11">
        <v>168</v>
      </c>
      <c r="AM11" s="7">
        <f t="shared" si="2"/>
        <v>0.62222222222222223</v>
      </c>
      <c r="AN11">
        <v>223</v>
      </c>
      <c r="AO11" s="7">
        <f t="shared" si="9"/>
        <v>0.82592592592592595</v>
      </c>
    </row>
    <row r="12" spans="1:41" x14ac:dyDescent="0.25">
      <c r="A12">
        <v>171</v>
      </c>
      <c r="B12" s="7">
        <f t="shared" si="3"/>
        <v>0.55700325732899025</v>
      </c>
      <c r="E12" s="7"/>
      <c r="F12" s="7"/>
      <c r="G12" s="7"/>
      <c r="H12" s="7"/>
      <c r="I12" s="7"/>
      <c r="M12">
        <v>93</v>
      </c>
      <c r="N12" s="7">
        <f t="shared" si="0"/>
        <v>0.38589211618257263</v>
      </c>
      <c r="O12" s="7"/>
      <c r="P12" s="7"/>
      <c r="S12">
        <v>68</v>
      </c>
      <c r="T12" s="7">
        <f t="shared" si="10"/>
        <v>0.68686868686868685</v>
      </c>
      <c r="U12">
        <v>35</v>
      </c>
      <c r="V12" s="7">
        <f t="shared" si="5"/>
        <v>0.35353535353535354</v>
      </c>
      <c r="W12" s="28"/>
      <c r="X12" s="7"/>
      <c r="AC12" t="s">
        <v>38</v>
      </c>
      <c r="AD12">
        <v>34</v>
      </c>
      <c r="AE12" s="7">
        <f t="shared" si="7"/>
        <v>0.26153846153846155</v>
      </c>
      <c r="AF12">
        <v>51</v>
      </c>
      <c r="AG12" s="7">
        <f t="shared" si="8"/>
        <v>0.3923076923076923</v>
      </c>
      <c r="AI12" t="s">
        <v>63</v>
      </c>
      <c r="AJ12">
        <v>140</v>
      </c>
      <c r="AK12" s="7">
        <f t="shared" si="2"/>
        <v>0.51851851851851849</v>
      </c>
      <c r="AL12">
        <v>169</v>
      </c>
      <c r="AM12" s="7">
        <f t="shared" si="2"/>
        <v>0.62592592592592589</v>
      </c>
      <c r="AN12">
        <v>219</v>
      </c>
      <c r="AO12" s="7">
        <f t="shared" si="9"/>
        <v>0.81111111111111112</v>
      </c>
    </row>
    <row r="13" spans="1:41" x14ac:dyDescent="0.25">
      <c r="A13">
        <v>170</v>
      </c>
      <c r="B13" s="7">
        <f t="shared" si="3"/>
        <v>0.55374592833876224</v>
      </c>
      <c r="E13" s="7"/>
      <c r="F13" s="7"/>
      <c r="G13" s="7"/>
      <c r="H13" s="7"/>
      <c r="I13" s="7"/>
      <c r="M13">
        <v>94</v>
      </c>
      <c r="N13" s="7">
        <f t="shared" si="0"/>
        <v>0.39004149377593361</v>
      </c>
      <c r="O13" s="7"/>
      <c r="P13" s="7"/>
      <c r="S13">
        <v>76</v>
      </c>
      <c r="T13" s="7">
        <f t="shared" si="10"/>
        <v>0.76767676767676762</v>
      </c>
      <c r="U13">
        <v>42</v>
      </c>
      <c r="V13" s="7">
        <f t="shared" si="5"/>
        <v>0.42424242424242425</v>
      </c>
      <c r="W13" s="28"/>
      <c r="X13" s="7"/>
      <c r="AC13" t="s">
        <v>38</v>
      </c>
      <c r="AD13">
        <v>33</v>
      </c>
      <c r="AE13" s="7">
        <f t="shared" si="7"/>
        <v>0.25384615384615383</v>
      </c>
      <c r="AF13">
        <v>39</v>
      </c>
      <c r="AG13" s="7">
        <f t="shared" si="8"/>
        <v>0.3</v>
      </c>
      <c r="AI13" t="s">
        <v>63</v>
      </c>
      <c r="AJ13">
        <v>148</v>
      </c>
      <c r="AK13" s="7">
        <f t="shared" si="2"/>
        <v>0.54814814814814816</v>
      </c>
      <c r="AL13">
        <v>170</v>
      </c>
      <c r="AM13" s="7">
        <f t="shared" si="2"/>
        <v>0.62962962962962965</v>
      </c>
      <c r="AN13">
        <v>223</v>
      </c>
      <c r="AO13" s="7">
        <f t="shared" si="9"/>
        <v>0.82592592592592595</v>
      </c>
    </row>
    <row r="14" spans="1:41" x14ac:dyDescent="0.25">
      <c r="A14">
        <v>160</v>
      </c>
      <c r="B14" s="7">
        <f t="shared" si="3"/>
        <v>0.52117263843648209</v>
      </c>
      <c r="E14" s="7"/>
      <c r="F14" s="7"/>
      <c r="G14" s="7"/>
      <c r="H14" s="7"/>
      <c r="I14" s="7"/>
      <c r="M14">
        <v>86</v>
      </c>
      <c r="N14" s="7">
        <f t="shared" si="0"/>
        <v>0.35684647302904565</v>
      </c>
      <c r="O14" s="7"/>
      <c r="P14" s="7"/>
      <c r="S14">
        <v>74</v>
      </c>
      <c r="T14" s="7">
        <f t="shared" si="10"/>
        <v>0.74747474747474751</v>
      </c>
      <c r="U14">
        <v>38</v>
      </c>
      <c r="V14" s="7">
        <f t="shared" si="5"/>
        <v>0.38383838383838381</v>
      </c>
      <c r="W14" s="28"/>
      <c r="X14" s="7"/>
      <c r="AC14" t="s">
        <v>38</v>
      </c>
      <c r="AD14">
        <v>38</v>
      </c>
      <c r="AE14" s="7">
        <f t="shared" si="7"/>
        <v>0.29230769230769232</v>
      </c>
      <c r="AF14">
        <v>46</v>
      </c>
      <c r="AG14" s="7">
        <f t="shared" si="8"/>
        <v>0.35384615384615387</v>
      </c>
      <c r="AI14" t="s">
        <v>63</v>
      </c>
      <c r="AJ14">
        <v>146</v>
      </c>
      <c r="AK14" s="7">
        <f t="shared" si="2"/>
        <v>0.54074074074074074</v>
      </c>
      <c r="AL14">
        <v>184</v>
      </c>
      <c r="AM14" s="7">
        <f t="shared" si="2"/>
        <v>0.68148148148148147</v>
      </c>
      <c r="AN14">
        <v>222</v>
      </c>
      <c r="AO14" s="7">
        <f t="shared" si="9"/>
        <v>0.82222222222222219</v>
      </c>
    </row>
    <row r="15" spans="1:41" x14ac:dyDescent="0.25">
      <c r="A15">
        <v>159</v>
      </c>
      <c r="B15" s="7">
        <f t="shared" si="3"/>
        <v>0.51791530944625408</v>
      </c>
      <c r="E15" s="7"/>
      <c r="F15" s="7"/>
      <c r="G15" s="7"/>
      <c r="H15" s="7"/>
      <c r="I15" s="7"/>
      <c r="M15">
        <v>91</v>
      </c>
      <c r="N15" s="7">
        <f t="shared" si="0"/>
        <v>0.37759336099585061</v>
      </c>
      <c r="O15" s="7"/>
      <c r="P15" s="7"/>
      <c r="S15">
        <v>75</v>
      </c>
      <c r="T15" s="7">
        <f t="shared" si="10"/>
        <v>0.75757575757575757</v>
      </c>
      <c r="U15">
        <v>39</v>
      </c>
      <c r="V15" s="7">
        <f t="shared" si="5"/>
        <v>0.39393939393939392</v>
      </c>
      <c r="W15" s="28"/>
      <c r="X15" s="7"/>
      <c r="AF15">
        <v>41</v>
      </c>
      <c r="AG15" s="7">
        <f t="shared" si="8"/>
        <v>0.31538461538461537</v>
      </c>
      <c r="AI15" t="s">
        <v>63</v>
      </c>
      <c r="AJ15">
        <v>149</v>
      </c>
      <c r="AK15" s="7">
        <f t="shared" si="2"/>
        <v>0.55185185185185182</v>
      </c>
      <c r="AL15">
        <v>167</v>
      </c>
      <c r="AM15" s="7">
        <f t="shared" si="2"/>
        <v>0.61851851851851847</v>
      </c>
      <c r="AN15">
        <v>204</v>
      </c>
      <c r="AO15" s="7">
        <f t="shared" si="9"/>
        <v>0.75555555555555554</v>
      </c>
    </row>
    <row r="16" spans="1:41" x14ac:dyDescent="0.25">
      <c r="A16">
        <v>164</v>
      </c>
      <c r="B16" s="7">
        <f t="shared" si="3"/>
        <v>0.53420195439739415</v>
      </c>
      <c r="E16" s="7"/>
      <c r="F16" s="7"/>
      <c r="G16" s="7"/>
      <c r="H16" s="7"/>
      <c r="I16" s="7"/>
      <c r="M16">
        <v>87</v>
      </c>
      <c r="N16" s="7">
        <f t="shared" si="0"/>
        <v>0.36099585062240663</v>
      </c>
      <c r="O16" s="7"/>
      <c r="P16" s="7"/>
      <c r="U16">
        <v>37</v>
      </c>
      <c r="V16" s="7">
        <f t="shared" si="5"/>
        <v>0.37373737373737376</v>
      </c>
      <c r="W16" s="28"/>
      <c r="X16" s="7"/>
      <c r="AF16">
        <v>41</v>
      </c>
      <c r="AG16" s="7">
        <f t="shared" si="8"/>
        <v>0.31538461538461537</v>
      </c>
      <c r="AI16" t="s">
        <v>63</v>
      </c>
      <c r="AJ16">
        <v>147</v>
      </c>
      <c r="AK16" s="7">
        <f t="shared" si="2"/>
        <v>0.5444444444444444</v>
      </c>
      <c r="AL16">
        <v>169</v>
      </c>
      <c r="AM16" s="7">
        <f t="shared" si="2"/>
        <v>0.62592592592592589</v>
      </c>
      <c r="AN16">
        <v>223</v>
      </c>
      <c r="AO16" s="7">
        <f t="shared" si="9"/>
        <v>0.82592592592592595</v>
      </c>
    </row>
    <row r="17" spans="1:41" x14ac:dyDescent="0.25">
      <c r="E17" s="7"/>
      <c r="F17" s="7"/>
      <c r="G17" s="7"/>
      <c r="H17" s="7"/>
      <c r="I17" s="7"/>
      <c r="M17">
        <v>93</v>
      </c>
      <c r="N17" s="7">
        <f t="shared" si="0"/>
        <v>0.38589211618257263</v>
      </c>
      <c r="O17" s="7"/>
      <c r="P17" s="7"/>
      <c r="U17">
        <v>39</v>
      </c>
      <c r="V17" s="7">
        <f t="shared" si="5"/>
        <v>0.39393939393939392</v>
      </c>
      <c r="W17" s="28"/>
      <c r="X17" s="7"/>
      <c r="AI17" t="s">
        <v>63</v>
      </c>
      <c r="AJ17">
        <v>143</v>
      </c>
      <c r="AK17" s="7">
        <f t="shared" si="2"/>
        <v>0.52962962962962967</v>
      </c>
      <c r="AL17">
        <v>170</v>
      </c>
      <c r="AM17" s="7">
        <f t="shared" si="2"/>
        <v>0.62962962962962965</v>
      </c>
      <c r="AN17">
        <v>220</v>
      </c>
      <c r="AO17" s="7">
        <f t="shared" si="9"/>
        <v>0.81481481481481477</v>
      </c>
    </row>
    <row r="18" spans="1:41" x14ac:dyDescent="0.25">
      <c r="AI18" t="s">
        <v>63</v>
      </c>
      <c r="AJ18">
        <v>141</v>
      </c>
      <c r="AK18" s="7">
        <f t="shared" si="2"/>
        <v>0.52222222222222225</v>
      </c>
      <c r="AL18">
        <v>176</v>
      </c>
      <c r="AM18" s="7">
        <f t="shared" si="2"/>
        <v>0.6518518518518519</v>
      </c>
      <c r="AN18">
        <v>225</v>
      </c>
      <c r="AO18" s="7">
        <f t="shared" si="9"/>
        <v>0.83333333333333337</v>
      </c>
    </row>
    <row r="19" spans="1:41" x14ac:dyDescent="0.25">
      <c r="A19" s="7" t="s">
        <v>39</v>
      </c>
      <c r="B19" s="7">
        <f>AVERAGE(B3:B17)</f>
        <v>0.54211261051651927</v>
      </c>
      <c r="D19" s="7" t="s">
        <v>39</v>
      </c>
      <c r="E19" s="7">
        <f>AVERAGE(E3:E17)</f>
        <v>0.38192182410423459</v>
      </c>
      <c r="F19" s="7" t="s">
        <v>39</v>
      </c>
      <c r="G19" s="7">
        <f>AVERAGE(G3:G17)</f>
        <v>0.44690553745928341</v>
      </c>
      <c r="H19" s="7"/>
      <c r="I19" s="7"/>
      <c r="M19" s="7" t="s">
        <v>39</v>
      </c>
      <c r="N19" s="7">
        <f>AVERAGE(N3:N17)</f>
        <v>0.36818810511756578</v>
      </c>
      <c r="O19" s="7"/>
      <c r="P19" s="7"/>
      <c r="Q19" s="7">
        <f>AVERAGE(Q3:Q17)</f>
        <v>0.44979253112033196</v>
      </c>
      <c r="T19" s="7">
        <f>AVERAGE(T3:T17)</f>
        <v>0.73815073815073806</v>
      </c>
      <c r="U19" s="7" t="s">
        <v>39</v>
      </c>
      <c r="V19" s="7">
        <f>AVERAGE(V3:V17)</f>
        <v>0.38720538720538716</v>
      </c>
      <c r="W19" s="7"/>
      <c r="X19" s="7">
        <f>AVERAGE(X3:X17)</f>
        <v>0.60101010101010099</v>
      </c>
      <c r="Z19" s="7" t="s">
        <v>39</v>
      </c>
      <c r="AA19" s="7">
        <f>AVERAGE(AA3:AA17)</f>
        <v>0.37912087912087916</v>
      </c>
      <c r="AC19" s="7"/>
      <c r="AD19" s="7" t="s">
        <v>39</v>
      </c>
      <c r="AE19" s="7">
        <f>AVERAGE(AE3:AE17)</f>
        <v>0.27435897435897433</v>
      </c>
      <c r="AG19" s="7">
        <f>AVERAGE(AG3:AG17)</f>
        <v>0.34505494505494499</v>
      </c>
      <c r="AI19" t="s">
        <v>63</v>
      </c>
      <c r="AJ19">
        <v>141</v>
      </c>
      <c r="AK19" s="7">
        <f t="shared" si="2"/>
        <v>0.52222222222222225</v>
      </c>
      <c r="AL19">
        <v>176</v>
      </c>
      <c r="AM19" s="7">
        <f t="shared" si="2"/>
        <v>0.6518518518518519</v>
      </c>
      <c r="AN19">
        <v>220</v>
      </c>
      <c r="AO19" s="7">
        <f t="shared" si="9"/>
        <v>0.81481481481481477</v>
      </c>
    </row>
    <row r="20" spans="1:41" x14ac:dyDescent="0.25">
      <c r="A20" s="7" t="s">
        <v>40</v>
      </c>
      <c r="B20" s="7">
        <f>_xlfn.STDEV.P(B3:B17)</f>
        <v>1.7871441944785044E-2</v>
      </c>
      <c r="D20" s="7" t="s">
        <v>40</v>
      </c>
      <c r="E20" s="7">
        <f>_xlfn.STDEV.P(E3:E17)</f>
        <v>1.5769476165339653E-2</v>
      </c>
      <c r="F20" s="7" t="s">
        <v>40</v>
      </c>
      <c r="G20" s="7">
        <f>_xlfn.STDEV.P(G3:G17)</f>
        <v>1.2082890547877125E-2</v>
      </c>
      <c r="H20" s="7"/>
      <c r="I20" s="7"/>
      <c r="M20" s="7" t="s">
        <v>40</v>
      </c>
      <c r="N20" s="7">
        <f>_xlfn.STDEV.P(N3:N17)</f>
        <v>2.2901490496065512E-2</v>
      </c>
      <c r="O20" s="7"/>
      <c r="P20" s="7"/>
      <c r="Q20" s="7">
        <f>_xlfn.STDEV.P(Q3:Q17)</f>
        <v>2.7598820163179896E-2</v>
      </c>
      <c r="T20" s="7">
        <f>_xlfn.STDEV.P(T3:T17)</f>
        <v>2.6119248351160234E-2</v>
      </c>
      <c r="U20" s="7" t="s">
        <v>40</v>
      </c>
      <c r="V20" s="7">
        <f>_xlfn.STDEV.P(V3:V17)</f>
        <v>2.1716519187336161E-2</v>
      </c>
      <c r="W20" s="7"/>
      <c r="X20" s="7">
        <f>_xlfn.STDEV.P(X3:X17)</f>
        <v>1.8209854926585806E-2</v>
      </c>
      <c r="Z20" s="7" t="s">
        <v>40</v>
      </c>
      <c r="AA20" s="7">
        <f>_xlfn.STDEV.P(AA3:AA17)</f>
        <v>2.9568404499063113E-2</v>
      </c>
      <c r="AC20" s="7"/>
      <c r="AD20" s="7" t="s">
        <v>40</v>
      </c>
      <c r="AE20" s="7">
        <f>_xlfn.STDEV.P(AE3:AE17)</f>
        <v>1.2691660175143161E-2</v>
      </c>
      <c r="AG20" s="7">
        <f>_xlfn.STDEV.P(AG3:AG17)</f>
        <v>5.4148065911011345E-2</v>
      </c>
      <c r="AI20" t="s">
        <v>63</v>
      </c>
      <c r="AJ20">
        <v>146</v>
      </c>
      <c r="AK20" s="7">
        <f t="shared" si="2"/>
        <v>0.54074074074074074</v>
      </c>
      <c r="AL20">
        <v>171</v>
      </c>
      <c r="AM20" s="7">
        <f t="shared" si="2"/>
        <v>0.6333333333333333</v>
      </c>
      <c r="AN20">
        <v>216</v>
      </c>
      <c r="AO20" s="7">
        <f t="shared" si="9"/>
        <v>0.8</v>
      </c>
    </row>
    <row r="21" spans="1:41" x14ac:dyDescent="0.25">
      <c r="A21" s="7" t="s">
        <v>41</v>
      </c>
      <c r="B21" s="23">
        <f>_xlfn.CONFIDENCE.T(0.05,B20,14)</f>
        <v>1.0318663370885668E-2</v>
      </c>
      <c r="D21" s="7" t="s">
        <v>41</v>
      </c>
      <c r="E21" s="23">
        <f>_xlfn.CONFIDENCE.T(0.05,E20,8)</f>
        <v>1.3183611997365025E-2</v>
      </c>
      <c r="F21" s="7" t="s">
        <v>41</v>
      </c>
      <c r="G21" s="23">
        <f>_xlfn.CONFIDENCE.T(0.05,G20,5)</f>
        <v>1.500289018753558E-2</v>
      </c>
      <c r="H21" s="23"/>
      <c r="I21" s="23"/>
      <c r="M21" s="7" t="s">
        <v>41</v>
      </c>
      <c r="N21" s="23">
        <f>_xlfn.CONFIDENCE.T(0.05,N20,4)</f>
        <v>3.6441381907346831E-2</v>
      </c>
      <c r="O21" s="23"/>
      <c r="P21" s="7"/>
      <c r="Q21" s="23">
        <f>_xlfn.CONFIDENCE.T(0.05,Q20,4)</f>
        <v>4.3915881629250697E-2</v>
      </c>
      <c r="S21" s="7" t="s">
        <v>41</v>
      </c>
      <c r="T21" s="23">
        <f>_xlfn.CONFIDENCE.T(0.05,T20,13)</f>
        <v>1.5783703811409269E-2</v>
      </c>
      <c r="U21" s="7" t="s">
        <v>41</v>
      </c>
      <c r="V21" s="23">
        <f>_xlfn.CONFIDENCE.T(0.05,V20,15)</f>
        <v>1.2026207472986054E-2</v>
      </c>
      <c r="W21" s="23"/>
      <c r="X21" s="23">
        <f>_xlfn.CONFIDENCE.T(0.05,X20,4)</f>
        <v>2.8975942765432673E-2</v>
      </c>
      <c r="Z21" s="7" t="s">
        <v>41</v>
      </c>
      <c r="AA21" s="23">
        <f>_xlfn.CONFIDENCE.T(0.05,AA20,7)</f>
        <v>2.7346213185506559E-2</v>
      </c>
      <c r="AC21" s="7"/>
      <c r="AD21" s="7" t="s">
        <v>41</v>
      </c>
      <c r="AE21" s="23">
        <f>_xlfn.CONFIDENCE.T(0.05,AE20,4)</f>
        <v>2.019526351615037E-2</v>
      </c>
      <c r="AG21" s="23">
        <f>_xlfn.CONFIDENCE.T(0.05,AG20,2)</f>
        <v>0.48650107016275479</v>
      </c>
      <c r="AI21" t="s">
        <v>63</v>
      </c>
      <c r="AJ21">
        <v>138</v>
      </c>
      <c r="AK21" s="7">
        <f t="shared" si="2"/>
        <v>0.51111111111111107</v>
      </c>
      <c r="AL21">
        <v>164</v>
      </c>
      <c r="AM21" s="7">
        <f t="shared" si="2"/>
        <v>0.6074074074074074</v>
      </c>
      <c r="AN21">
        <v>219</v>
      </c>
      <c r="AO21" s="7">
        <f t="shared" si="9"/>
        <v>0.81111111111111112</v>
      </c>
    </row>
    <row r="22" spans="1:41" x14ac:dyDescent="0.25">
      <c r="AI22" t="s">
        <v>63</v>
      </c>
      <c r="AJ22">
        <v>137</v>
      </c>
      <c r="AK22" s="7">
        <f>AJ22/270</f>
        <v>0.50740740740740742</v>
      </c>
      <c r="AL22">
        <v>169</v>
      </c>
      <c r="AM22" s="7">
        <f t="shared" ref="AM22" si="11">AL22/270</f>
        <v>0.62592592592592589</v>
      </c>
      <c r="AN22">
        <v>219</v>
      </c>
      <c r="AO22" s="7">
        <f t="shared" si="9"/>
        <v>0.81111111111111112</v>
      </c>
    </row>
    <row r="24" spans="1:41" x14ac:dyDescent="0.25">
      <c r="AJ24" s="7" t="s">
        <v>39</v>
      </c>
      <c r="AK24" s="7">
        <f>AVERAGE(AK8:AK22)</f>
        <v>0.53160493827160493</v>
      </c>
      <c r="AL24" s="7"/>
      <c r="AM24" s="7">
        <f>AVERAGE(AM8:AM22)</f>
        <v>0.6343209876543211</v>
      </c>
      <c r="AO24" s="7">
        <f>AVERAGE(AO8:AO22)</f>
        <v>0.81308641975308649</v>
      </c>
    </row>
    <row r="25" spans="1:41" x14ac:dyDescent="0.25">
      <c r="AJ25" s="7" t="s">
        <v>40</v>
      </c>
      <c r="AK25" s="7">
        <f>_xlfn.STDEV.P(AK8:AK22)</f>
        <v>1.4744690001810978E-2</v>
      </c>
      <c r="AL25" s="7"/>
      <c r="AM25" s="7">
        <f>_xlfn.STDEV.P(AM8:AM22)</f>
        <v>1.718490137412872E-2</v>
      </c>
      <c r="AO25" s="7">
        <f>_xlfn.STDEV.P(AO8:AO22)</f>
        <v>1.8388017542628022E-2</v>
      </c>
    </row>
    <row r="26" spans="1:41" x14ac:dyDescent="0.25">
      <c r="AJ26" s="7" t="s">
        <v>41</v>
      </c>
      <c r="AK26" s="23">
        <f>_xlfn.CONFIDENCE.T(0.05,AK25,4)</f>
        <v>2.3462092109408497E-2</v>
      </c>
      <c r="AL26" s="23"/>
      <c r="AM26" s="23">
        <f>_xlfn.CONFIDENCE.T(0.05,AM25,4)</f>
        <v>2.7345012942380439E-2</v>
      </c>
      <c r="AO26" s="23">
        <f>_xlfn.CONFIDENCE.T(0.05,AO25,4)</f>
        <v>2.9259439245014288E-2</v>
      </c>
    </row>
  </sheetData>
  <sortState xmlns:xlrd2="http://schemas.microsoft.com/office/spreadsheetml/2017/richdata2" ref="J26:K32">
    <sortCondition ref="J26:J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317BD-0055-4DC5-AE8F-E4EF629493EB}">
  <dimension ref="B1:M5"/>
  <sheetViews>
    <sheetView workbookViewId="0">
      <selection activeCell="H2" sqref="H2:J4"/>
    </sheetView>
  </sheetViews>
  <sheetFormatPr defaultRowHeight="15" x14ac:dyDescent="0.25"/>
  <cols>
    <col min="1" max="1" width="11.42578125" customWidth="1"/>
    <col min="2" max="2" width="11.140625" customWidth="1"/>
    <col min="3" max="3" width="9.42578125" customWidth="1"/>
    <col min="4" max="4" width="24.140625" customWidth="1"/>
    <col min="8" max="8" width="11.140625" customWidth="1"/>
    <col min="9" max="9" width="23.85546875" customWidth="1"/>
    <col min="10" max="10" width="11.42578125" customWidth="1"/>
  </cols>
  <sheetData>
    <row r="1" spans="2:13" ht="15.75" thickBot="1" x14ac:dyDescent="0.3"/>
    <row r="2" spans="2:13" ht="37.5" thickTop="1" thickBot="1" x14ac:dyDescent="0.3">
      <c r="B2" s="46" t="s">
        <v>68</v>
      </c>
      <c r="C2" s="46" t="s">
        <v>69</v>
      </c>
      <c r="D2" s="46" t="s">
        <v>73</v>
      </c>
      <c r="H2" s="46" t="s">
        <v>68</v>
      </c>
      <c r="I2" s="46"/>
      <c r="J2" s="46" t="s">
        <v>72</v>
      </c>
    </row>
    <row r="3" spans="2:13" ht="21.75" customHeight="1" thickTop="1" thickBot="1" x14ac:dyDescent="0.3">
      <c r="B3" s="44" t="s">
        <v>70</v>
      </c>
      <c r="C3" s="44">
        <v>0.99</v>
      </c>
      <c r="D3" s="44">
        <v>-0.41</v>
      </c>
      <c r="H3" s="44" t="s">
        <v>70</v>
      </c>
      <c r="I3" s="44">
        <v>-0.13</v>
      </c>
      <c r="J3" s="44">
        <v>0.28999999999999998</v>
      </c>
      <c r="M3">
        <f>D3-I3</f>
        <v>-0.27999999999999997</v>
      </c>
    </row>
    <row r="4" spans="2:13" ht="19.5" thickTop="1" thickBot="1" x14ac:dyDescent="0.3">
      <c r="B4" s="45" t="s">
        <v>71</v>
      </c>
      <c r="C4" s="45">
        <v>0.5</v>
      </c>
      <c r="D4" s="45">
        <v>-1.31</v>
      </c>
      <c r="H4" s="45" t="s">
        <v>71</v>
      </c>
      <c r="I4" s="45">
        <v>-1.1000000000000001</v>
      </c>
      <c r="J4" s="45">
        <v>0.2</v>
      </c>
      <c r="M4">
        <f>D4-I4</f>
        <v>-0.20999999999999996</v>
      </c>
    </row>
    <row r="5" spans="2:13" ht="15.75" thickTop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3D006-2B9E-4F22-BA73-40811993151D}">
  <dimension ref="A1:AD30"/>
  <sheetViews>
    <sheetView topLeftCell="I1" workbookViewId="0">
      <selection activeCell="AD25" sqref="AD25"/>
    </sheetView>
  </sheetViews>
  <sheetFormatPr defaultRowHeight="15" x14ac:dyDescent="0.25"/>
  <sheetData>
    <row r="1" spans="1:30" x14ac:dyDescent="0.25">
      <c r="A1" s="21" t="s">
        <v>34</v>
      </c>
      <c r="F1" s="21" t="s">
        <v>35</v>
      </c>
      <c r="L1" s="21" t="s">
        <v>35</v>
      </c>
      <c r="Q1" s="21" t="s">
        <v>34</v>
      </c>
      <c r="V1" s="21" t="s">
        <v>34</v>
      </c>
      <c r="AA1" s="21" t="s">
        <v>34</v>
      </c>
    </row>
    <row r="2" spans="1:30" x14ac:dyDescent="0.25">
      <c r="A2" t="s">
        <v>36</v>
      </c>
      <c r="B2">
        <v>93</v>
      </c>
      <c r="C2">
        <v>0</v>
      </c>
      <c r="D2">
        <f>B2/241</f>
        <v>0.38589211618257263</v>
      </c>
      <c r="F2" t="s">
        <v>36</v>
      </c>
      <c r="G2">
        <v>127</v>
      </c>
      <c r="H2">
        <v>1</v>
      </c>
      <c r="I2">
        <f>G2/241</f>
        <v>0.52697095435684649</v>
      </c>
      <c r="L2" t="s">
        <v>37</v>
      </c>
      <c r="M2">
        <v>180</v>
      </c>
      <c r="N2">
        <v>1</v>
      </c>
      <c r="O2" s="7">
        <f>M2/307</f>
        <v>0.58631921824104238</v>
      </c>
      <c r="Q2" t="s">
        <v>22</v>
      </c>
      <c r="R2">
        <v>77</v>
      </c>
      <c r="T2" s="7">
        <f>R2/99</f>
        <v>0.77777777777777779</v>
      </c>
      <c r="V2" t="s">
        <v>38</v>
      </c>
      <c r="W2">
        <v>50</v>
      </c>
      <c r="Y2" s="7">
        <f>W2/130</f>
        <v>0.38461538461538464</v>
      </c>
      <c r="AA2" t="s">
        <v>63</v>
      </c>
      <c r="AB2">
        <v>224</v>
      </c>
      <c r="AD2" s="7">
        <f t="shared" ref="AD2:AD22" si="0">AB2/270</f>
        <v>0.82962962962962961</v>
      </c>
    </row>
    <row r="3" spans="1:30" x14ac:dyDescent="0.25">
      <c r="A3" t="s">
        <v>36</v>
      </c>
      <c r="B3">
        <v>79</v>
      </c>
      <c r="C3">
        <v>1</v>
      </c>
      <c r="D3">
        <f t="shared" ref="D3:D21" si="1">B3/241</f>
        <v>0.32780082987551867</v>
      </c>
      <c r="F3" t="s">
        <v>36</v>
      </c>
      <c r="G3">
        <v>138</v>
      </c>
      <c r="H3">
        <v>2</v>
      </c>
      <c r="I3">
        <f t="shared" ref="I3:I21" si="2">G3/241</f>
        <v>0.57261410788381739</v>
      </c>
      <c r="L3" t="s">
        <v>37</v>
      </c>
      <c r="M3">
        <v>175</v>
      </c>
      <c r="N3">
        <v>2</v>
      </c>
      <c r="O3" s="7">
        <f t="shared" ref="O3:O21" si="3">M3/307</f>
        <v>0.57003257328990231</v>
      </c>
      <c r="Q3" t="s">
        <v>22</v>
      </c>
      <c r="R3">
        <v>77</v>
      </c>
      <c r="T3" s="7">
        <f t="shared" ref="T3:T21" si="4">R3/99</f>
        <v>0.77777777777777779</v>
      </c>
      <c r="V3" t="s">
        <v>38</v>
      </c>
      <c r="W3">
        <v>50</v>
      </c>
      <c r="Y3" s="7">
        <f t="shared" ref="Y3:Y21" si="5">W3/130</f>
        <v>0.38461538461538464</v>
      </c>
      <c r="AA3" t="s">
        <v>63</v>
      </c>
      <c r="AB3">
        <v>224</v>
      </c>
      <c r="AD3" s="7">
        <f t="shared" si="0"/>
        <v>0.82962962962962961</v>
      </c>
    </row>
    <row r="4" spans="1:30" x14ac:dyDescent="0.25">
      <c r="A4" t="s">
        <v>36</v>
      </c>
      <c r="B4">
        <v>76</v>
      </c>
      <c r="C4">
        <v>2</v>
      </c>
      <c r="D4">
        <f t="shared" si="1"/>
        <v>0.31535269709543567</v>
      </c>
      <c r="F4" t="s">
        <v>36</v>
      </c>
      <c r="G4">
        <v>128</v>
      </c>
      <c r="H4">
        <v>3</v>
      </c>
      <c r="I4">
        <f t="shared" si="2"/>
        <v>0.53112033195020747</v>
      </c>
      <c r="L4" t="s">
        <v>37</v>
      </c>
      <c r="M4">
        <v>173</v>
      </c>
      <c r="N4">
        <v>3</v>
      </c>
      <c r="O4" s="7">
        <f t="shared" si="3"/>
        <v>0.56351791530944628</v>
      </c>
      <c r="Q4" t="s">
        <v>22</v>
      </c>
      <c r="R4">
        <v>80</v>
      </c>
      <c r="T4" s="7">
        <f t="shared" si="4"/>
        <v>0.80808080808080807</v>
      </c>
      <c r="V4" t="s">
        <v>38</v>
      </c>
      <c r="W4">
        <v>51</v>
      </c>
      <c r="Y4" s="7">
        <f t="shared" si="5"/>
        <v>0.3923076923076923</v>
      </c>
      <c r="AA4" t="s">
        <v>63</v>
      </c>
      <c r="AB4">
        <v>217</v>
      </c>
      <c r="AD4" s="7">
        <f t="shared" si="0"/>
        <v>0.8037037037037037</v>
      </c>
    </row>
    <row r="5" spans="1:30" x14ac:dyDescent="0.25">
      <c r="A5" t="s">
        <v>36</v>
      </c>
      <c r="B5">
        <v>87</v>
      </c>
      <c r="C5">
        <v>3</v>
      </c>
      <c r="D5">
        <f t="shared" si="1"/>
        <v>0.36099585062240663</v>
      </c>
      <c r="F5" t="s">
        <v>36</v>
      </c>
      <c r="G5">
        <v>129</v>
      </c>
      <c r="H5">
        <v>4</v>
      </c>
      <c r="I5">
        <f t="shared" si="2"/>
        <v>0.53526970954356845</v>
      </c>
      <c r="L5" t="s">
        <v>37</v>
      </c>
      <c r="M5">
        <v>177</v>
      </c>
      <c r="N5">
        <v>4</v>
      </c>
      <c r="O5" s="7">
        <f t="shared" si="3"/>
        <v>0.57654723127035834</v>
      </c>
      <c r="Q5" t="s">
        <v>22</v>
      </c>
      <c r="R5">
        <v>79</v>
      </c>
      <c r="T5" s="7">
        <f t="shared" si="4"/>
        <v>0.79797979797979801</v>
      </c>
      <c r="V5" t="s">
        <v>38</v>
      </c>
      <c r="W5">
        <v>49</v>
      </c>
      <c r="Y5" s="7">
        <f t="shared" si="5"/>
        <v>0.37692307692307692</v>
      </c>
      <c r="AA5" t="s">
        <v>63</v>
      </c>
      <c r="AB5">
        <v>224</v>
      </c>
      <c r="AD5" s="7">
        <f t="shared" si="0"/>
        <v>0.82962962962962961</v>
      </c>
    </row>
    <row r="6" spans="1:30" x14ac:dyDescent="0.25">
      <c r="A6" t="s">
        <v>36</v>
      </c>
      <c r="B6">
        <v>85</v>
      </c>
      <c r="C6">
        <v>4</v>
      </c>
      <c r="D6">
        <f t="shared" si="1"/>
        <v>0.35269709543568467</v>
      </c>
      <c r="F6" t="s">
        <v>36</v>
      </c>
      <c r="G6">
        <v>135</v>
      </c>
      <c r="H6">
        <v>5</v>
      </c>
      <c r="I6">
        <f t="shared" si="2"/>
        <v>0.56016597510373445</v>
      </c>
      <c r="L6" t="s">
        <v>37</v>
      </c>
      <c r="M6">
        <v>167</v>
      </c>
      <c r="N6">
        <v>5</v>
      </c>
      <c r="O6" s="7">
        <f t="shared" si="3"/>
        <v>0.5439739413680782</v>
      </c>
      <c r="Q6" t="s">
        <v>22</v>
      </c>
      <c r="R6">
        <v>81</v>
      </c>
      <c r="T6" s="7">
        <f t="shared" si="4"/>
        <v>0.81818181818181823</v>
      </c>
      <c r="V6" t="s">
        <v>38</v>
      </c>
      <c r="W6">
        <v>53</v>
      </c>
      <c r="Y6" s="7">
        <f t="shared" si="5"/>
        <v>0.40769230769230769</v>
      </c>
      <c r="AA6" t="s">
        <v>63</v>
      </c>
      <c r="AB6">
        <v>212</v>
      </c>
      <c r="AD6" s="7">
        <f t="shared" si="0"/>
        <v>0.78518518518518521</v>
      </c>
    </row>
    <row r="7" spans="1:30" x14ac:dyDescent="0.25">
      <c r="A7" t="s">
        <v>36</v>
      </c>
      <c r="B7">
        <v>82</v>
      </c>
      <c r="C7">
        <v>5</v>
      </c>
      <c r="D7">
        <f t="shared" si="1"/>
        <v>0.34024896265560167</v>
      </c>
      <c r="F7" t="s">
        <v>36</v>
      </c>
      <c r="G7">
        <v>133</v>
      </c>
      <c r="H7">
        <v>6</v>
      </c>
      <c r="I7">
        <f t="shared" si="2"/>
        <v>0.55186721991701249</v>
      </c>
      <c r="L7" t="s">
        <v>37</v>
      </c>
      <c r="M7">
        <v>176</v>
      </c>
      <c r="N7">
        <v>6</v>
      </c>
      <c r="O7" s="7">
        <f t="shared" si="3"/>
        <v>0.57328990228013033</v>
      </c>
      <c r="Q7" t="s">
        <v>22</v>
      </c>
      <c r="R7">
        <v>80</v>
      </c>
      <c r="T7" s="7">
        <f t="shared" si="4"/>
        <v>0.80808080808080807</v>
      </c>
      <c r="V7" t="s">
        <v>38</v>
      </c>
      <c r="W7">
        <v>60</v>
      </c>
      <c r="Y7" s="7">
        <f t="shared" si="5"/>
        <v>0.46153846153846156</v>
      </c>
      <c r="AA7" t="s">
        <v>63</v>
      </c>
      <c r="AB7">
        <v>218</v>
      </c>
      <c r="AD7" s="7">
        <f t="shared" si="0"/>
        <v>0.80740740740740746</v>
      </c>
    </row>
    <row r="8" spans="1:30" x14ac:dyDescent="0.25">
      <c r="A8" t="s">
        <v>36</v>
      </c>
      <c r="B8">
        <v>81</v>
      </c>
      <c r="C8">
        <v>6</v>
      </c>
      <c r="D8">
        <f t="shared" si="1"/>
        <v>0.33609958506224069</v>
      </c>
      <c r="F8" t="s">
        <v>36</v>
      </c>
      <c r="G8">
        <v>132</v>
      </c>
      <c r="H8">
        <v>7</v>
      </c>
      <c r="I8">
        <f t="shared" si="2"/>
        <v>0.5477178423236515</v>
      </c>
      <c r="L8" t="s">
        <v>37</v>
      </c>
      <c r="M8">
        <v>183</v>
      </c>
      <c r="N8">
        <v>7</v>
      </c>
      <c r="O8" s="7">
        <f t="shared" si="3"/>
        <v>0.59609120521172643</v>
      </c>
      <c r="Q8" t="s">
        <v>22</v>
      </c>
      <c r="R8">
        <v>80</v>
      </c>
      <c r="T8" s="7">
        <f t="shared" si="4"/>
        <v>0.80808080808080807</v>
      </c>
      <c r="V8" t="s">
        <v>38</v>
      </c>
      <c r="W8">
        <v>44</v>
      </c>
      <c r="Y8" s="7">
        <f t="shared" si="5"/>
        <v>0.33846153846153848</v>
      </c>
      <c r="AA8" t="s">
        <v>63</v>
      </c>
      <c r="AB8">
        <v>216</v>
      </c>
      <c r="AD8" s="7">
        <f t="shared" si="0"/>
        <v>0.8</v>
      </c>
    </row>
    <row r="9" spans="1:30" x14ac:dyDescent="0.25">
      <c r="A9" t="s">
        <v>36</v>
      </c>
      <c r="B9">
        <v>81</v>
      </c>
      <c r="C9">
        <v>7</v>
      </c>
      <c r="D9">
        <f t="shared" si="1"/>
        <v>0.33609958506224069</v>
      </c>
      <c r="F9" t="s">
        <v>36</v>
      </c>
      <c r="G9">
        <v>131</v>
      </c>
      <c r="H9">
        <v>8</v>
      </c>
      <c r="I9">
        <f t="shared" si="2"/>
        <v>0.54356846473029041</v>
      </c>
      <c r="L9" t="s">
        <v>37</v>
      </c>
      <c r="M9">
        <v>174</v>
      </c>
      <c r="N9">
        <v>8</v>
      </c>
      <c r="O9" s="7">
        <f t="shared" si="3"/>
        <v>0.5667752442996743</v>
      </c>
      <c r="Q9" t="s">
        <v>22</v>
      </c>
      <c r="R9">
        <v>77</v>
      </c>
      <c r="T9" s="7">
        <f t="shared" si="4"/>
        <v>0.77777777777777779</v>
      </c>
      <c r="V9" t="s">
        <v>38</v>
      </c>
      <c r="W9">
        <v>45</v>
      </c>
      <c r="Y9" s="7">
        <f t="shared" si="5"/>
        <v>0.34615384615384615</v>
      </c>
      <c r="AA9" t="s">
        <v>63</v>
      </c>
      <c r="AB9">
        <v>205</v>
      </c>
      <c r="AD9" s="7">
        <f t="shared" si="0"/>
        <v>0.7592592592592593</v>
      </c>
    </row>
    <row r="10" spans="1:30" x14ac:dyDescent="0.25">
      <c r="A10" t="s">
        <v>36</v>
      </c>
      <c r="B10">
        <v>85</v>
      </c>
      <c r="C10">
        <v>8</v>
      </c>
      <c r="D10">
        <f t="shared" si="1"/>
        <v>0.35269709543568467</v>
      </c>
      <c r="F10" t="s">
        <v>36</v>
      </c>
      <c r="G10">
        <v>122</v>
      </c>
      <c r="H10">
        <v>9</v>
      </c>
      <c r="I10">
        <f t="shared" si="2"/>
        <v>0.50622406639004147</v>
      </c>
      <c r="L10" t="s">
        <v>37</v>
      </c>
      <c r="M10">
        <v>182</v>
      </c>
      <c r="N10">
        <v>9</v>
      </c>
      <c r="O10" s="7">
        <f t="shared" si="3"/>
        <v>0.59283387622149841</v>
      </c>
      <c r="Q10" t="s">
        <v>22</v>
      </c>
      <c r="R10">
        <v>77</v>
      </c>
      <c r="T10" s="7">
        <f t="shared" si="4"/>
        <v>0.77777777777777779</v>
      </c>
      <c r="V10" t="s">
        <v>38</v>
      </c>
      <c r="W10">
        <v>53</v>
      </c>
      <c r="Y10" s="7">
        <f t="shared" si="5"/>
        <v>0.40769230769230769</v>
      </c>
      <c r="AA10" t="s">
        <v>63</v>
      </c>
      <c r="AB10">
        <v>216</v>
      </c>
      <c r="AD10" s="7">
        <f t="shared" si="0"/>
        <v>0.8</v>
      </c>
    </row>
    <row r="11" spans="1:30" x14ac:dyDescent="0.25">
      <c r="A11" t="s">
        <v>36</v>
      </c>
      <c r="B11">
        <v>89</v>
      </c>
      <c r="C11">
        <v>9</v>
      </c>
      <c r="D11">
        <f t="shared" si="1"/>
        <v>0.36929460580912865</v>
      </c>
      <c r="F11" t="s">
        <v>36</v>
      </c>
      <c r="G11">
        <v>136</v>
      </c>
      <c r="H11">
        <v>10</v>
      </c>
      <c r="I11">
        <f t="shared" si="2"/>
        <v>0.56431535269709543</v>
      </c>
      <c r="L11" t="s">
        <v>37</v>
      </c>
      <c r="M11">
        <v>172</v>
      </c>
      <c r="N11">
        <v>10</v>
      </c>
      <c r="O11" s="7">
        <f t="shared" si="3"/>
        <v>0.56026058631921827</v>
      </c>
      <c r="Q11" t="s">
        <v>22</v>
      </c>
      <c r="R11">
        <v>81</v>
      </c>
      <c r="T11" s="7">
        <f t="shared" si="4"/>
        <v>0.81818181818181823</v>
      </c>
      <c r="V11" t="s">
        <v>38</v>
      </c>
      <c r="W11">
        <v>53</v>
      </c>
      <c r="Y11" s="7">
        <f t="shared" si="5"/>
        <v>0.40769230769230769</v>
      </c>
      <c r="AA11" t="s">
        <v>63</v>
      </c>
      <c r="AB11">
        <v>219</v>
      </c>
      <c r="AD11" s="7">
        <f t="shared" si="0"/>
        <v>0.81111111111111112</v>
      </c>
    </row>
    <row r="12" spans="1:30" x14ac:dyDescent="0.25">
      <c r="A12" t="s">
        <v>36</v>
      </c>
      <c r="B12">
        <v>78</v>
      </c>
      <c r="C12">
        <v>10</v>
      </c>
      <c r="D12">
        <f t="shared" si="1"/>
        <v>0.32365145228215769</v>
      </c>
      <c r="F12" t="s">
        <v>36</v>
      </c>
      <c r="G12">
        <v>120</v>
      </c>
      <c r="H12">
        <v>11</v>
      </c>
      <c r="I12">
        <f t="shared" si="2"/>
        <v>0.49792531120331951</v>
      </c>
      <c r="L12" t="s">
        <v>37</v>
      </c>
      <c r="M12">
        <v>181</v>
      </c>
      <c r="N12">
        <v>11</v>
      </c>
      <c r="O12" s="7">
        <f t="shared" si="3"/>
        <v>0.5895765472312704</v>
      </c>
      <c r="Q12" t="s">
        <v>22</v>
      </c>
      <c r="R12">
        <v>80</v>
      </c>
      <c r="T12" s="7">
        <f t="shared" si="4"/>
        <v>0.80808080808080807</v>
      </c>
      <c r="V12" t="s">
        <v>38</v>
      </c>
      <c r="W12">
        <v>50</v>
      </c>
      <c r="Y12" s="7">
        <f t="shared" si="5"/>
        <v>0.38461538461538464</v>
      </c>
      <c r="AA12" t="s">
        <v>63</v>
      </c>
      <c r="AB12">
        <v>211</v>
      </c>
      <c r="AD12" s="7">
        <f t="shared" si="0"/>
        <v>0.78148148148148144</v>
      </c>
    </row>
    <row r="13" spans="1:30" x14ac:dyDescent="0.25">
      <c r="A13" t="s">
        <v>36</v>
      </c>
      <c r="B13">
        <v>90</v>
      </c>
      <c r="C13">
        <v>11</v>
      </c>
      <c r="D13">
        <f t="shared" si="1"/>
        <v>0.37344398340248963</v>
      </c>
      <c r="F13" t="s">
        <v>36</v>
      </c>
      <c r="G13">
        <v>125</v>
      </c>
      <c r="H13">
        <v>12</v>
      </c>
      <c r="I13">
        <f t="shared" si="2"/>
        <v>0.51867219917012453</v>
      </c>
      <c r="L13" t="s">
        <v>37</v>
      </c>
      <c r="M13">
        <v>178</v>
      </c>
      <c r="N13">
        <v>12</v>
      </c>
      <c r="O13" s="7">
        <f t="shared" si="3"/>
        <v>0.57980456026058635</v>
      </c>
      <c r="Q13" t="s">
        <v>22</v>
      </c>
      <c r="R13">
        <v>80</v>
      </c>
      <c r="T13" s="7">
        <f t="shared" si="4"/>
        <v>0.80808080808080807</v>
      </c>
      <c r="V13" t="s">
        <v>38</v>
      </c>
      <c r="W13">
        <v>48</v>
      </c>
      <c r="Y13" s="7">
        <f t="shared" si="5"/>
        <v>0.36923076923076925</v>
      </c>
      <c r="AA13" t="s">
        <v>63</v>
      </c>
      <c r="AB13">
        <v>221</v>
      </c>
      <c r="AD13" s="7">
        <f t="shared" si="0"/>
        <v>0.81851851851851853</v>
      </c>
    </row>
    <row r="14" spans="1:30" x14ac:dyDescent="0.25">
      <c r="A14" t="s">
        <v>36</v>
      </c>
      <c r="B14">
        <v>90</v>
      </c>
      <c r="C14">
        <v>12</v>
      </c>
      <c r="D14">
        <f t="shared" si="1"/>
        <v>0.37344398340248963</v>
      </c>
      <c r="F14" t="s">
        <v>36</v>
      </c>
      <c r="G14">
        <v>119</v>
      </c>
      <c r="H14">
        <v>13</v>
      </c>
      <c r="I14">
        <f t="shared" si="2"/>
        <v>0.49377593360995853</v>
      </c>
      <c r="L14" t="s">
        <v>37</v>
      </c>
      <c r="M14">
        <v>167</v>
      </c>
      <c r="N14">
        <v>13</v>
      </c>
      <c r="O14" s="7">
        <f t="shared" si="3"/>
        <v>0.5439739413680782</v>
      </c>
      <c r="Q14" t="s">
        <v>22</v>
      </c>
      <c r="R14">
        <v>80</v>
      </c>
      <c r="T14" s="7">
        <f t="shared" si="4"/>
        <v>0.80808080808080807</v>
      </c>
      <c r="V14" t="s">
        <v>38</v>
      </c>
      <c r="W14">
        <v>48</v>
      </c>
      <c r="Y14" s="7">
        <f t="shared" si="5"/>
        <v>0.36923076923076925</v>
      </c>
      <c r="AA14" t="s">
        <v>63</v>
      </c>
      <c r="AB14">
        <v>219</v>
      </c>
      <c r="AD14" s="7">
        <f t="shared" si="0"/>
        <v>0.81111111111111112</v>
      </c>
    </row>
    <row r="15" spans="1:30" x14ac:dyDescent="0.25">
      <c r="A15" t="s">
        <v>36</v>
      </c>
      <c r="B15">
        <v>72</v>
      </c>
      <c r="C15">
        <v>13</v>
      </c>
      <c r="D15">
        <f t="shared" si="1"/>
        <v>0.29875518672199169</v>
      </c>
      <c r="F15" t="s">
        <v>36</v>
      </c>
      <c r="G15">
        <v>134</v>
      </c>
      <c r="H15">
        <v>14</v>
      </c>
      <c r="I15">
        <f t="shared" si="2"/>
        <v>0.55601659751037347</v>
      </c>
      <c r="L15" t="s">
        <v>37</v>
      </c>
      <c r="M15">
        <v>170</v>
      </c>
      <c r="N15">
        <v>14</v>
      </c>
      <c r="O15" s="7">
        <f t="shared" si="3"/>
        <v>0.55374592833876224</v>
      </c>
      <c r="Q15" t="s">
        <v>22</v>
      </c>
      <c r="R15">
        <v>83</v>
      </c>
      <c r="T15" s="7">
        <f t="shared" si="4"/>
        <v>0.83838383838383834</v>
      </c>
      <c r="V15" t="s">
        <v>38</v>
      </c>
      <c r="W15">
        <v>53</v>
      </c>
      <c r="Y15" s="7">
        <f t="shared" si="5"/>
        <v>0.40769230769230769</v>
      </c>
      <c r="AA15" t="s">
        <v>63</v>
      </c>
      <c r="AB15">
        <v>202</v>
      </c>
      <c r="AD15" s="7">
        <f t="shared" si="0"/>
        <v>0.74814814814814812</v>
      </c>
    </row>
    <row r="16" spans="1:30" x14ac:dyDescent="0.25">
      <c r="A16" t="s">
        <v>36</v>
      </c>
      <c r="B16">
        <v>79</v>
      </c>
      <c r="C16">
        <v>14</v>
      </c>
      <c r="D16">
        <f t="shared" si="1"/>
        <v>0.32780082987551867</v>
      </c>
      <c r="F16" t="s">
        <v>36</v>
      </c>
      <c r="G16">
        <v>124</v>
      </c>
      <c r="H16">
        <v>15</v>
      </c>
      <c r="I16">
        <f t="shared" si="2"/>
        <v>0.51452282157676343</v>
      </c>
      <c r="L16" t="s">
        <v>37</v>
      </c>
      <c r="M16">
        <v>172</v>
      </c>
      <c r="N16">
        <v>15</v>
      </c>
      <c r="O16" s="7">
        <f t="shared" si="3"/>
        <v>0.56026058631921827</v>
      </c>
      <c r="Q16" t="s">
        <v>22</v>
      </c>
      <c r="R16">
        <v>80</v>
      </c>
      <c r="T16" s="7">
        <f t="shared" si="4"/>
        <v>0.80808080808080807</v>
      </c>
      <c r="V16" t="s">
        <v>38</v>
      </c>
      <c r="W16">
        <v>51</v>
      </c>
      <c r="Y16" s="7">
        <f t="shared" si="5"/>
        <v>0.3923076923076923</v>
      </c>
      <c r="AA16" t="s">
        <v>63</v>
      </c>
      <c r="AB16">
        <v>220</v>
      </c>
      <c r="AD16" s="7">
        <f t="shared" si="0"/>
        <v>0.81481481481481477</v>
      </c>
    </row>
    <row r="17" spans="1:30" x14ac:dyDescent="0.25">
      <c r="A17" t="s">
        <v>36</v>
      </c>
      <c r="B17">
        <v>91</v>
      </c>
      <c r="C17">
        <v>15</v>
      </c>
      <c r="D17">
        <f t="shared" si="1"/>
        <v>0.37759336099585061</v>
      </c>
      <c r="F17" t="s">
        <v>36</v>
      </c>
      <c r="G17">
        <v>137</v>
      </c>
      <c r="H17">
        <v>16</v>
      </c>
      <c r="I17">
        <f t="shared" si="2"/>
        <v>0.56846473029045641</v>
      </c>
      <c r="L17" t="s">
        <v>37</v>
      </c>
      <c r="M17">
        <v>178</v>
      </c>
      <c r="N17">
        <v>16</v>
      </c>
      <c r="O17" s="7">
        <f t="shared" si="3"/>
        <v>0.57980456026058635</v>
      </c>
      <c r="Q17" t="s">
        <v>22</v>
      </c>
      <c r="R17">
        <v>78</v>
      </c>
      <c r="T17" s="7">
        <f t="shared" si="4"/>
        <v>0.78787878787878785</v>
      </c>
      <c r="V17" t="s">
        <v>38</v>
      </c>
      <c r="W17">
        <v>52</v>
      </c>
      <c r="Y17" s="7">
        <f t="shared" si="5"/>
        <v>0.4</v>
      </c>
      <c r="AA17" t="s">
        <v>63</v>
      </c>
      <c r="AB17">
        <v>216</v>
      </c>
      <c r="AD17" s="7">
        <f t="shared" si="0"/>
        <v>0.8</v>
      </c>
    </row>
    <row r="18" spans="1:30" x14ac:dyDescent="0.25">
      <c r="A18" t="s">
        <v>36</v>
      </c>
      <c r="B18">
        <v>88</v>
      </c>
      <c r="C18">
        <v>16</v>
      </c>
      <c r="D18">
        <f t="shared" si="1"/>
        <v>0.36514522821576761</v>
      </c>
      <c r="F18" t="s">
        <v>36</v>
      </c>
      <c r="G18">
        <v>130</v>
      </c>
      <c r="H18">
        <v>17</v>
      </c>
      <c r="I18">
        <f t="shared" si="2"/>
        <v>0.53941908713692943</v>
      </c>
      <c r="L18" t="s">
        <v>37</v>
      </c>
      <c r="M18">
        <v>185</v>
      </c>
      <c r="N18">
        <v>17</v>
      </c>
      <c r="O18" s="7">
        <f t="shared" si="3"/>
        <v>0.60260586319218246</v>
      </c>
      <c r="Q18" t="s">
        <v>22</v>
      </c>
      <c r="R18">
        <v>77</v>
      </c>
      <c r="T18" s="7">
        <f t="shared" si="4"/>
        <v>0.77777777777777779</v>
      </c>
      <c r="V18" t="s">
        <v>38</v>
      </c>
      <c r="W18">
        <v>56</v>
      </c>
      <c r="Y18" s="7">
        <f t="shared" si="5"/>
        <v>0.43076923076923079</v>
      </c>
      <c r="AA18" t="s">
        <v>63</v>
      </c>
      <c r="AB18">
        <v>218</v>
      </c>
      <c r="AD18" s="7">
        <f t="shared" si="0"/>
        <v>0.80740740740740746</v>
      </c>
    </row>
    <row r="19" spans="1:30" x14ac:dyDescent="0.25">
      <c r="A19" t="s">
        <v>36</v>
      </c>
      <c r="B19">
        <v>88</v>
      </c>
      <c r="C19">
        <v>17</v>
      </c>
      <c r="D19">
        <f t="shared" si="1"/>
        <v>0.36514522821576761</v>
      </c>
      <c r="F19" t="s">
        <v>36</v>
      </c>
      <c r="G19">
        <v>125</v>
      </c>
      <c r="H19">
        <v>18</v>
      </c>
      <c r="I19">
        <f t="shared" si="2"/>
        <v>0.51867219917012453</v>
      </c>
      <c r="L19" t="s">
        <v>37</v>
      </c>
      <c r="M19">
        <v>176</v>
      </c>
      <c r="N19">
        <v>18</v>
      </c>
      <c r="O19" s="7">
        <f t="shared" si="3"/>
        <v>0.57328990228013033</v>
      </c>
      <c r="Q19" t="s">
        <v>22</v>
      </c>
      <c r="R19">
        <v>82</v>
      </c>
      <c r="T19" s="7">
        <f t="shared" si="4"/>
        <v>0.82828282828282829</v>
      </c>
      <c r="V19" t="s">
        <v>38</v>
      </c>
      <c r="W19">
        <v>47</v>
      </c>
      <c r="Y19" s="7">
        <f t="shared" si="5"/>
        <v>0.36153846153846153</v>
      </c>
      <c r="AA19" t="s">
        <v>63</v>
      </c>
      <c r="AB19">
        <v>214</v>
      </c>
      <c r="AD19" s="7">
        <f t="shared" si="0"/>
        <v>0.79259259259259263</v>
      </c>
    </row>
    <row r="20" spans="1:30" x14ac:dyDescent="0.25">
      <c r="A20" t="s">
        <v>36</v>
      </c>
      <c r="B20">
        <v>84</v>
      </c>
      <c r="C20">
        <v>18</v>
      </c>
      <c r="D20">
        <f t="shared" si="1"/>
        <v>0.34854771784232363</v>
      </c>
      <c r="F20" t="s">
        <v>36</v>
      </c>
      <c r="G20">
        <v>135</v>
      </c>
      <c r="H20">
        <v>19</v>
      </c>
      <c r="I20">
        <f t="shared" si="2"/>
        <v>0.56016597510373445</v>
      </c>
      <c r="L20" t="s">
        <v>37</v>
      </c>
      <c r="M20">
        <v>182</v>
      </c>
      <c r="N20">
        <v>19</v>
      </c>
      <c r="O20" s="7">
        <f t="shared" si="3"/>
        <v>0.59283387622149841</v>
      </c>
      <c r="Q20" t="s">
        <v>22</v>
      </c>
      <c r="R20">
        <v>78</v>
      </c>
      <c r="T20" s="7">
        <f t="shared" si="4"/>
        <v>0.78787878787878785</v>
      </c>
      <c r="V20" t="s">
        <v>38</v>
      </c>
      <c r="W20">
        <v>54</v>
      </c>
      <c r="Y20" s="7">
        <f t="shared" si="5"/>
        <v>0.41538461538461541</v>
      </c>
      <c r="AA20" t="s">
        <v>63</v>
      </c>
      <c r="AB20">
        <v>210</v>
      </c>
      <c r="AD20" s="7">
        <f t="shared" si="0"/>
        <v>0.77777777777777779</v>
      </c>
    </row>
    <row r="21" spans="1:30" x14ac:dyDescent="0.25">
      <c r="A21" t="s">
        <v>36</v>
      </c>
      <c r="B21">
        <v>85</v>
      </c>
      <c r="C21">
        <v>19</v>
      </c>
      <c r="D21">
        <f t="shared" si="1"/>
        <v>0.35269709543568467</v>
      </c>
      <c r="F21" t="s">
        <v>36</v>
      </c>
      <c r="G21">
        <v>127</v>
      </c>
      <c r="H21">
        <v>20</v>
      </c>
      <c r="I21">
        <f t="shared" si="2"/>
        <v>0.52697095435684649</v>
      </c>
      <c r="L21" t="s">
        <v>37</v>
      </c>
      <c r="M21">
        <v>179</v>
      </c>
      <c r="N21">
        <v>20</v>
      </c>
      <c r="O21" s="7">
        <f t="shared" si="3"/>
        <v>0.58306188925081437</v>
      </c>
      <c r="Q21" t="s">
        <v>22</v>
      </c>
      <c r="R21">
        <v>76</v>
      </c>
      <c r="T21" s="7">
        <f t="shared" si="4"/>
        <v>0.76767676767676762</v>
      </c>
      <c r="V21" t="s">
        <v>38</v>
      </c>
      <c r="W21">
        <v>52</v>
      </c>
      <c r="Y21" s="7">
        <f t="shared" si="5"/>
        <v>0.4</v>
      </c>
      <c r="AA21" t="s">
        <v>63</v>
      </c>
      <c r="AB21">
        <v>215</v>
      </c>
      <c r="AD21" s="7">
        <f t="shared" si="0"/>
        <v>0.79629629629629628</v>
      </c>
    </row>
    <row r="22" spans="1:30" x14ac:dyDescent="0.25">
      <c r="AA22" t="s">
        <v>63</v>
      </c>
      <c r="AB22">
        <v>207</v>
      </c>
      <c r="AD22" s="7">
        <f t="shared" si="0"/>
        <v>0.76666666666666672</v>
      </c>
    </row>
    <row r="23" spans="1:30" s="7" customFormat="1" x14ac:dyDescent="0.25">
      <c r="B23" s="7" t="s">
        <v>39</v>
      </c>
      <c r="D23" s="7">
        <f>AVERAGE(D2:D21)</f>
        <v>0.34917012448132778</v>
      </c>
      <c r="G23" s="7" t="s">
        <v>39</v>
      </c>
      <c r="I23" s="7">
        <f>AVERAGE(I2:I21)</f>
        <v>0.53672199170124479</v>
      </c>
      <c r="M23" s="7" t="s">
        <v>39</v>
      </c>
      <c r="O23" s="7">
        <f>AVERAGE(O2:O21)</f>
        <v>0.57442996742671015</v>
      </c>
      <c r="R23" s="7" t="s">
        <v>39</v>
      </c>
      <c r="T23" s="7">
        <f>AVERAGE(T2:T21)</f>
        <v>0.79949494949494959</v>
      </c>
      <c r="W23" s="7" t="s">
        <v>39</v>
      </c>
      <c r="Y23" s="7">
        <f>AVERAGE(Y2:Y21)</f>
        <v>0.3919230769230771</v>
      </c>
      <c r="AA23" s="17"/>
      <c r="AB23" s="7" t="s">
        <v>39</v>
      </c>
      <c r="AD23" s="7">
        <f>AVERAGE(AD2:AD21)</f>
        <v>0.80018518518518533</v>
      </c>
    </row>
    <row r="24" spans="1:30" s="7" customFormat="1" x14ac:dyDescent="0.25">
      <c r="B24" s="7" t="s">
        <v>40</v>
      </c>
      <c r="D24" s="7">
        <f>_xlfn.STDEV.P(D2:D21)</f>
        <v>2.2470900626728921E-2</v>
      </c>
      <c r="G24" s="7" t="s">
        <v>40</v>
      </c>
      <c r="I24" s="7">
        <f>_xlfn.STDEV.P(I2:I21)</f>
        <v>2.3000992221065743E-2</v>
      </c>
      <c r="M24" s="7" t="s">
        <v>40</v>
      </c>
      <c r="O24" s="7">
        <f>_xlfn.STDEV.P(O2:O21)</f>
        <v>1.6328123078409695E-2</v>
      </c>
      <c r="R24" s="7" t="s">
        <v>40</v>
      </c>
      <c r="T24" s="7">
        <f>_xlfn.STDEV.P(T2:T21)</f>
        <v>1.8971353506053484E-2</v>
      </c>
      <c r="W24" s="7" t="s">
        <v>40</v>
      </c>
      <c r="Y24" s="7">
        <f>_xlfn.STDEV.P(Y2:Y21)</f>
        <v>2.767894976972626E-2</v>
      </c>
      <c r="AB24" s="7" t="s">
        <v>40</v>
      </c>
      <c r="AD24" s="7">
        <f>_xlfn.STDEV.P(AD2:AD21)</f>
        <v>2.1259226997007392E-2</v>
      </c>
    </row>
    <row r="25" spans="1:30" s="7" customFormat="1" x14ac:dyDescent="0.25">
      <c r="B25" s="7" t="s">
        <v>41</v>
      </c>
      <c r="D25" s="7">
        <f>_xlfn.CONFIDENCE.T(0.05,D24,20)</f>
        <v>1.051670521853954E-2</v>
      </c>
      <c r="G25" s="7" t="s">
        <v>41</v>
      </c>
      <c r="I25" s="23">
        <f>_xlfn.CONFIDENCE.T(0.05,I24,20)</f>
        <v>1.0764795721411279E-2</v>
      </c>
      <c r="M25" s="7" t="s">
        <v>41</v>
      </c>
      <c r="O25" s="23">
        <f>_xlfn.CONFIDENCE.T(0.05,O24,20)</f>
        <v>7.641796830493308E-3</v>
      </c>
      <c r="R25" s="7" t="s">
        <v>41</v>
      </c>
      <c r="T25" s="29">
        <f>_xlfn.CONFIDENCE.T(0.05,T24,20)</f>
        <v>8.8788667501180866E-3</v>
      </c>
      <c r="W25" s="7" t="s">
        <v>41</v>
      </c>
      <c r="Y25" s="23">
        <f>_xlfn.CONFIDENCE.T(0.05,Y24,20)</f>
        <v>1.2954147246805213E-2</v>
      </c>
      <c r="AB25" s="7" t="s">
        <v>41</v>
      </c>
      <c r="AD25" s="23">
        <f>_xlfn.CONFIDENCE.T(0.05,AD24,20)</f>
        <v>9.9496245039507498E-3</v>
      </c>
    </row>
    <row r="28" spans="1:30" x14ac:dyDescent="0.25">
      <c r="E28" t="s">
        <v>24</v>
      </c>
      <c r="I28" s="17">
        <f>LIME!N28</f>
        <v>0.14356846473029042</v>
      </c>
      <c r="O28" s="17">
        <f>LIME!I28</f>
        <v>0.26779897626803173</v>
      </c>
      <c r="T28" s="17">
        <f>LIME!R28</f>
        <v>0.26000000000000006</v>
      </c>
      <c r="Y28" s="17">
        <f>LIME!D28</f>
        <v>0.12472527472527473</v>
      </c>
      <c r="AA28" s="17">
        <f>AVERAGE(I28:Y28)</f>
        <v>0.19902317893089921</v>
      </c>
    </row>
    <row r="30" spans="1:30" x14ac:dyDescent="0.25">
      <c r="AA30" s="17">
        <f>AA23-AA28</f>
        <v>-0.19902317893089921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79D2-8EF3-4077-9B2E-E6947CBC78FF}">
  <dimension ref="A1:Y50"/>
  <sheetViews>
    <sheetView topLeftCell="F1" workbookViewId="0">
      <selection activeCell="Y24" sqref="Y24"/>
    </sheetView>
  </sheetViews>
  <sheetFormatPr defaultRowHeight="15" x14ac:dyDescent="0.25"/>
  <sheetData>
    <row r="1" spans="1:25" x14ac:dyDescent="0.25">
      <c r="A1" t="s">
        <v>37</v>
      </c>
      <c r="B1">
        <v>237</v>
      </c>
      <c r="C1">
        <v>1</v>
      </c>
      <c r="D1" s="7">
        <f>B1/307</f>
        <v>0.7719869706840391</v>
      </c>
      <c r="F1" t="s">
        <v>22</v>
      </c>
      <c r="G1">
        <v>1</v>
      </c>
      <c r="H1">
        <v>79</v>
      </c>
      <c r="I1" s="7">
        <f>H1/99</f>
        <v>0.79797979797979801</v>
      </c>
      <c r="K1" t="s">
        <v>36</v>
      </c>
      <c r="M1">
        <v>202</v>
      </c>
      <c r="N1" s="7">
        <f t="shared" ref="N1:N13" si="0">M1/241</f>
        <v>0.83817427385892118</v>
      </c>
      <c r="P1" t="s">
        <v>38</v>
      </c>
      <c r="R1">
        <v>69</v>
      </c>
      <c r="S1">
        <f>R1/130</f>
        <v>0.53076923076923077</v>
      </c>
      <c r="V1" t="s">
        <v>63</v>
      </c>
      <c r="X1">
        <v>271</v>
      </c>
      <c r="Y1">
        <f>X1/271</f>
        <v>1</v>
      </c>
    </row>
    <row r="2" spans="1:25" x14ac:dyDescent="0.25">
      <c r="A2" t="s">
        <v>37</v>
      </c>
      <c r="B2">
        <v>231</v>
      </c>
      <c r="C2">
        <v>2</v>
      </c>
      <c r="D2" s="7">
        <f t="shared" ref="D2:D20" si="1">B2/307</f>
        <v>0.75244299674267101</v>
      </c>
      <c r="F2" t="s">
        <v>22</v>
      </c>
      <c r="G2">
        <v>2</v>
      </c>
      <c r="H2">
        <v>80</v>
      </c>
      <c r="I2" s="7">
        <f t="shared" ref="I2:I16" si="2">H2/99</f>
        <v>0.80808080808080807</v>
      </c>
      <c r="K2" t="s">
        <v>36</v>
      </c>
      <c r="M2">
        <v>200</v>
      </c>
      <c r="N2" s="7">
        <f t="shared" si="0"/>
        <v>0.82987551867219922</v>
      </c>
      <c r="P2" t="s">
        <v>38</v>
      </c>
      <c r="R2">
        <v>68</v>
      </c>
      <c r="S2">
        <f t="shared" ref="S2:S13" si="3">R2/130</f>
        <v>0.52307692307692311</v>
      </c>
      <c r="V2" t="s">
        <v>63</v>
      </c>
      <c r="X2">
        <v>270</v>
      </c>
      <c r="Y2">
        <f t="shared" ref="Y2:Y20" si="4">X2/271</f>
        <v>0.99630996309963105</v>
      </c>
    </row>
    <row r="3" spans="1:25" x14ac:dyDescent="0.25">
      <c r="A3" t="s">
        <v>37</v>
      </c>
      <c r="B3">
        <v>241</v>
      </c>
      <c r="C3">
        <v>3</v>
      </c>
      <c r="D3" s="7">
        <f t="shared" si="1"/>
        <v>0.78501628664495116</v>
      </c>
      <c r="F3" t="s">
        <v>22</v>
      </c>
      <c r="G3">
        <v>3</v>
      </c>
      <c r="H3">
        <v>79</v>
      </c>
      <c r="I3" s="7">
        <f t="shared" si="2"/>
        <v>0.79797979797979801</v>
      </c>
      <c r="K3" t="s">
        <v>36</v>
      </c>
      <c r="M3">
        <v>203</v>
      </c>
      <c r="N3" s="7">
        <f t="shared" si="0"/>
        <v>0.84232365145228216</v>
      </c>
      <c r="P3" t="s">
        <v>38</v>
      </c>
      <c r="R3">
        <v>75</v>
      </c>
      <c r="S3">
        <f t="shared" si="3"/>
        <v>0.57692307692307687</v>
      </c>
      <c r="V3" t="s">
        <v>63</v>
      </c>
      <c r="X3">
        <v>271</v>
      </c>
      <c r="Y3">
        <f t="shared" si="4"/>
        <v>1</v>
      </c>
    </row>
    <row r="4" spans="1:25" x14ac:dyDescent="0.25">
      <c r="A4" t="s">
        <v>37</v>
      </c>
      <c r="B4">
        <v>241</v>
      </c>
      <c r="C4">
        <v>4</v>
      </c>
      <c r="D4" s="7">
        <f t="shared" si="1"/>
        <v>0.78501628664495116</v>
      </c>
      <c r="F4" t="s">
        <v>22</v>
      </c>
      <c r="G4">
        <v>4</v>
      </c>
      <c r="H4">
        <v>81</v>
      </c>
      <c r="I4" s="7">
        <f t="shared" si="2"/>
        <v>0.81818181818181823</v>
      </c>
      <c r="K4" t="s">
        <v>36</v>
      </c>
      <c r="M4">
        <v>198</v>
      </c>
      <c r="N4" s="7">
        <f t="shared" si="0"/>
        <v>0.82157676348547715</v>
      </c>
      <c r="P4" t="s">
        <v>38</v>
      </c>
      <c r="R4">
        <v>76</v>
      </c>
      <c r="S4">
        <f t="shared" si="3"/>
        <v>0.58461538461538465</v>
      </c>
      <c r="V4" t="s">
        <v>63</v>
      </c>
      <c r="X4">
        <v>270</v>
      </c>
      <c r="Y4">
        <f t="shared" si="4"/>
        <v>0.99630996309963105</v>
      </c>
    </row>
    <row r="5" spans="1:25" x14ac:dyDescent="0.25">
      <c r="A5" t="s">
        <v>37</v>
      </c>
      <c r="B5">
        <v>247</v>
      </c>
      <c r="C5">
        <v>5</v>
      </c>
      <c r="D5" s="7">
        <f t="shared" si="1"/>
        <v>0.80456026058631924</v>
      </c>
      <c r="F5" t="s">
        <v>22</v>
      </c>
      <c r="G5">
        <v>5</v>
      </c>
      <c r="H5">
        <v>80</v>
      </c>
      <c r="I5" s="7">
        <f t="shared" si="2"/>
        <v>0.80808080808080807</v>
      </c>
      <c r="K5" t="s">
        <v>36</v>
      </c>
      <c r="M5">
        <v>197</v>
      </c>
      <c r="N5" s="7">
        <f t="shared" si="0"/>
        <v>0.81742738589211617</v>
      </c>
      <c r="P5" t="s">
        <v>38</v>
      </c>
      <c r="R5">
        <v>76</v>
      </c>
      <c r="S5">
        <f t="shared" si="3"/>
        <v>0.58461538461538465</v>
      </c>
      <c r="V5" t="s">
        <v>63</v>
      </c>
      <c r="X5">
        <v>270</v>
      </c>
      <c r="Y5">
        <f t="shared" si="4"/>
        <v>0.99630996309963105</v>
      </c>
    </row>
    <row r="6" spans="1:25" x14ac:dyDescent="0.25">
      <c r="A6" t="s">
        <v>37</v>
      </c>
      <c r="B6">
        <v>231</v>
      </c>
      <c r="C6">
        <v>6</v>
      </c>
      <c r="D6" s="7">
        <f t="shared" si="1"/>
        <v>0.75244299674267101</v>
      </c>
      <c r="F6" t="s">
        <v>22</v>
      </c>
      <c r="G6">
        <v>6</v>
      </c>
      <c r="H6">
        <v>80</v>
      </c>
      <c r="I6" s="7">
        <f t="shared" si="2"/>
        <v>0.80808080808080807</v>
      </c>
      <c r="K6" t="s">
        <v>36</v>
      </c>
      <c r="M6">
        <v>191</v>
      </c>
      <c r="N6" s="7">
        <f t="shared" si="0"/>
        <v>0.79253112033195017</v>
      </c>
      <c r="P6" t="s">
        <v>38</v>
      </c>
      <c r="R6">
        <v>66</v>
      </c>
      <c r="S6">
        <f t="shared" si="3"/>
        <v>0.50769230769230766</v>
      </c>
      <c r="V6" t="s">
        <v>63</v>
      </c>
      <c r="X6">
        <v>270</v>
      </c>
      <c r="Y6">
        <f t="shared" si="4"/>
        <v>0.99630996309963105</v>
      </c>
    </row>
    <row r="7" spans="1:25" x14ac:dyDescent="0.25">
      <c r="A7" t="s">
        <v>37</v>
      </c>
      <c r="B7">
        <v>244</v>
      </c>
      <c r="C7">
        <v>7</v>
      </c>
      <c r="D7" s="7">
        <f t="shared" si="1"/>
        <v>0.7947882736156352</v>
      </c>
      <c r="F7" t="s">
        <v>22</v>
      </c>
      <c r="G7">
        <v>7</v>
      </c>
      <c r="H7">
        <v>77</v>
      </c>
      <c r="I7" s="7">
        <f t="shared" si="2"/>
        <v>0.77777777777777779</v>
      </c>
      <c r="K7" t="s">
        <v>36</v>
      </c>
      <c r="M7">
        <v>197</v>
      </c>
      <c r="N7" s="7">
        <f t="shared" si="0"/>
        <v>0.81742738589211617</v>
      </c>
      <c r="P7" t="s">
        <v>38</v>
      </c>
      <c r="R7">
        <v>71</v>
      </c>
      <c r="S7">
        <f t="shared" si="3"/>
        <v>0.5461538461538461</v>
      </c>
      <c r="V7" t="s">
        <v>63</v>
      </c>
      <c r="X7">
        <v>269</v>
      </c>
      <c r="Y7">
        <f t="shared" si="4"/>
        <v>0.99261992619926198</v>
      </c>
    </row>
    <row r="8" spans="1:25" x14ac:dyDescent="0.25">
      <c r="A8" t="s">
        <v>37</v>
      </c>
      <c r="B8">
        <v>230</v>
      </c>
      <c r="C8">
        <v>8</v>
      </c>
      <c r="D8" s="7">
        <f t="shared" si="1"/>
        <v>0.749185667752443</v>
      </c>
      <c r="F8" t="s">
        <v>22</v>
      </c>
      <c r="G8">
        <v>8</v>
      </c>
      <c r="H8">
        <v>77</v>
      </c>
      <c r="I8" s="7">
        <f t="shared" si="2"/>
        <v>0.77777777777777779</v>
      </c>
      <c r="K8" t="s">
        <v>36</v>
      </c>
      <c r="M8">
        <v>197</v>
      </c>
      <c r="N8" s="7">
        <f t="shared" si="0"/>
        <v>0.81742738589211617</v>
      </c>
      <c r="P8" t="s">
        <v>38</v>
      </c>
      <c r="R8">
        <v>76</v>
      </c>
      <c r="S8">
        <f t="shared" si="3"/>
        <v>0.58461538461538465</v>
      </c>
      <c r="V8" t="s">
        <v>63</v>
      </c>
      <c r="X8">
        <v>271</v>
      </c>
      <c r="Y8">
        <f t="shared" si="4"/>
        <v>1</v>
      </c>
    </row>
    <row r="9" spans="1:25" x14ac:dyDescent="0.25">
      <c r="A9" t="s">
        <v>37</v>
      </c>
      <c r="B9">
        <v>239</v>
      </c>
      <c r="C9">
        <v>9</v>
      </c>
      <c r="D9" s="7">
        <f t="shared" si="1"/>
        <v>0.77850162866449513</v>
      </c>
      <c r="F9" t="s">
        <v>22</v>
      </c>
      <c r="G9">
        <v>9</v>
      </c>
      <c r="H9">
        <v>81</v>
      </c>
      <c r="I9" s="7">
        <f t="shared" si="2"/>
        <v>0.81818181818181823</v>
      </c>
      <c r="K9" t="s">
        <v>36</v>
      </c>
      <c r="M9">
        <v>185</v>
      </c>
      <c r="N9" s="7">
        <f t="shared" si="0"/>
        <v>0.76763485477178428</v>
      </c>
      <c r="P9" t="s">
        <v>38</v>
      </c>
      <c r="R9">
        <v>75</v>
      </c>
      <c r="S9">
        <f t="shared" si="3"/>
        <v>0.57692307692307687</v>
      </c>
      <c r="V9" t="s">
        <v>63</v>
      </c>
      <c r="X9">
        <v>271</v>
      </c>
      <c r="Y9">
        <f t="shared" si="4"/>
        <v>1</v>
      </c>
    </row>
    <row r="10" spans="1:25" x14ac:dyDescent="0.25">
      <c r="A10" t="s">
        <v>37</v>
      </c>
      <c r="B10">
        <v>234</v>
      </c>
      <c r="C10">
        <v>10</v>
      </c>
      <c r="D10" s="7">
        <f t="shared" si="1"/>
        <v>0.76221498371335505</v>
      </c>
      <c r="F10" t="s">
        <v>22</v>
      </c>
      <c r="G10">
        <v>10</v>
      </c>
      <c r="H10">
        <v>80</v>
      </c>
      <c r="I10" s="7">
        <f t="shared" si="2"/>
        <v>0.80808080808080807</v>
      </c>
      <c r="K10" t="s">
        <v>36</v>
      </c>
      <c r="M10">
        <v>196</v>
      </c>
      <c r="N10" s="7">
        <f t="shared" si="0"/>
        <v>0.81327800829875518</v>
      </c>
      <c r="P10" t="s">
        <v>38</v>
      </c>
      <c r="R10">
        <v>66</v>
      </c>
      <c r="S10">
        <f t="shared" si="3"/>
        <v>0.50769230769230766</v>
      </c>
      <c r="V10" t="s">
        <v>63</v>
      </c>
      <c r="X10">
        <v>270</v>
      </c>
      <c r="Y10">
        <f t="shared" si="4"/>
        <v>0.99630996309963105</v>
      </c>
    </row>
    <row r="11" spans="1:25" x14ac:dyDescent="0.25">
      <c r="A11" t="s">
        <v>37</v>
      </c>
      <c r="B11">
        <v>244</v>
      </c>
      <c r="C11">
        <v>11</v>
      </c>
      <c r="D11" s="7">
        <f t="shared" si="1"/>
        <v>0.7947882736156352</v>
      </c>
      <c r="F11" t="s">
        <v>22</v>
      </c>
      <c r="G11">
        <v>11</v>
      </c>
      <c r="H11">
        <v>80</v>
      </c>
      <c r="I11" s="7">
        <f t="shared" si="2"/>
        <v>0.80808080808080807</v>
      </c>
      <c r="K11" t="s">
        <v>36</v>
      </c>
      <c r="M11">
        <v>198</v>
      </c>
      <c r="N11" s="7">
        <f t="shared" si="0"/>
        <v>0.82157676348547715</v>
      </c>
      <c r="P11" t="s">
        <v>38</v>
      </c>
      <c r="R11">
        <v>73</v>
      </c>
      <c r="S11">
        <f t="shared" si="3"/>
        <v>0.56153846153846154</v>
      </c>
      <c r="V11" t="s">
        <v>63</v>
      </c>
      <c r="X11">
        <v>271</v>
      </c>
      <c r="Y11">
        <f t="shared" si="4"/>
        <v>1</v>
      </c>
    </row>
    <row r="12" spans="1:25" x14ac:dyDescent="0.25">
      <c r="A12" t="s">
        <v>37</v>
      </c>
      <c r="B12">
        <v>231</v>
      </c>
      <c r="C12">
        <v>12</v>
      </c>
      <c r="D12" s="7">
        <f t="shared" si="1"/>
        <v>0.75244299674267101</v>
      </c>
      <c r="F12" t="s">
        <v>22</v>
      </c>
      <c r="G12">
        <v>12</v>
      </c>
      <c r="H12">
        <v>80</v>
      </c>
      <c r="I12" s="7">
        <f t="shared" si="2"/>
        <v>0.80808080808080807</v>
      </c>
      <c r="K12" t="s">
        <v>36</v>
      </c>
      <c r="M12">
        <v>187</v>
      </c>
      <c r="N12" s="7">
        <f t="shared" si="0"/>
        <v>0.77593360995850624</v>
      </c>
      <c r="P12" t="s">
        <v>38</v>
      </c>
      <c r="R12">
        <v>67</v>
      </c>
      <c r="S12">
        <f t="shared" si="3"/>
        <v>0.51538461538461533</v>
      </c>
      <c r="V12" t="s">
        <v>63</v>
      </c>
      <c r="X12">
        <v>270</v>
      </c>
      <c r="Y12">
        <f t="shared" si="4"/>
        <v>0.99630996309963105</v>
      </c>
    </row>
    <row r="13" spans="1:25" x14ac:dyDescent="0.25">
      <c r="A13" t="s">
        <v>37</v>
      </c>
      <c r="B13">
        <v>240</v>
      </c>
      <c r="C13">
        <v>13</v>
      </c>
      <c r="D13" s="7">
        <f t="shared" si="1"/>
        <v>0.78175895765472314</v>
      </c>
      <c r="F13" t="s">
        <v>22</v>
      </c>
      <c r="G13">
        <v>13</v>
      </c>
      <c r="H13">
        <v>83</v>
      </c>
      <c r="I13" s="7">
        <f t="shared" si="2"/>
        <v>0.83838383838383834</v>
      </c>
      <c r="K13" t="s">
        <v>36</v>
      </c>
      <c r="M13">
        <v>201</v>
      </c>
      <c r="N13" s="7">
        <f t="shared" si="0"/>
        <v>0.8340248962655602</v>
      </c>
      <c r="P13" t="s">
        <v>38</v>
      </c>
      <c r="R13">
        <v>70</v>
      </c>
      <c r="S13">
        <f t="shared" si="3"/>
        <v>0.53846153846153844</v>
      </c>
      <c r="V13" t="s">
        <v>63</v>
      </c>
      <c r="X13">
        <v>270</v>
      </c>
      <c r="Y13">
        <f t="shared" si="4"/>
        <v>0.99630996309963105</v>
      </c>
    </row>
    <row r="14" spans="1:25" x14ac:dyDescent="0.25">
      <c r="A14" t="s">
        <v>37</v>
      </c>
      <c r="B14">
        <v>239</v>
      </c>
      <c r="C14">
        <v>14</v>
      </c>
      <c r="D14" s="7">
        <f t="shared" si="1"/>
        <v>0.77850162866449513</v>
      </c>
      <c r="F14" t="s">
        <v>22</v>
      </c>
      <c r="G14">
        <v>14</v>
      </c>
      <c r="H14">
        <v>80</v>
      </c>
      <c r="I14" s="7">
        <f t="shared" si="2"/>
        <v>0.80808080808080807</v>
      </c>
      <c r="V14" t="s">
        <v>63</v>
      </c>
      <c r="X14">
        <v>270</v>
      </c>
      <c r="Y14">
        <f t="shared" si="4"/>
        <v>0.99630996309963105</v>
      </c>
    </row>
    <row r="15" spans="1:25" ht="15.75" thickBot="1" x14ac:dyDescent="0.3">
      <c r="A15" t="s">
        <v>37</v>
      </c>
      <c r="B15">
        <v>237</v>
      </c>
      <c r="C15">
        <v>15</v>
      </c>
      <c r="D15" s="7">
        <f t="shared" si="1"/>
        <v>0.7719869706840391</v>
      </c>
      <c r="F15" t="s">
        <v>22</v>
      </c>
      <c r="G15">
        <v>15</v>
      </c>
      <c r="H15">
        <v>78</v>
      </c>
      <c r="I15" s="7">
        <f t="shared" si="2"/>
        <v>0.78787878787878785</v>
      </c>
      <c r="V15" t="s">
        <v>63</v>
      </c>
      <c r="X15">
        <v>270</v>
      </c>
      <c r="Y15">
        <f t="shared" si="4"/>
        <v>0.99630996309963105</v>
      </c>
    </row>
    <row r="16" spans="1:25" ht="15.75" thickBot="1" x14ac:dyDescent="0.3">
      <c r="A16" t="s">
        <v>37</v>
      </c>
      <c r="B16" s="22">
        <v>234</v>
      </c>
      <c r="C16">
        <v>16</v>
      </c>
      <c r="D16" s="7">
        <f t="shared" si="1"/>
        <v>0.76221498371335505</v>
      </c>
      <c r="F16" t="s">
        <v>22</v>
      </c>
      <c r="G16">
        <v>16</v>
      </c>
      <c r="H16">
        <v>77</v>
      </c>
      <c r="I16" s="7">
        <f t="shared" si="2"/>
        <v>0.77777777777777779</v>
      </c>
      <c r="V16" t="s">
        <v>63</v>
      </c>
      <c r="X16">
        <v>271</v>
      </c>
      <c r="Y16">
        <f t="shared" si="4"/>
        <v>1</v>
      </c>
    </row>
    <row r="17" spans="1:25" ht="15.75" thickBot="1" x14ac:dyDescent="0.3">
      <c r="A17" t="s">
        <v>37</v>
      </c>
      <c r="B17" s="22">
        <v>228</v>
      </c>
      <c r="C17">
        <v>17</v>
      </c>
      <c r="D17" s="7">
        <f t="shared" si="1"/>
        <v>0.74267100977198697</v>
      </c>
      <c r="V17" t="s">
        <v>63</v>
      </c>
      <c r="X17">
        <v>270</v>
      </c>
      <c r="Y17">
        <f t="shared" si="4"/>
        <v>0.99630996309963105</v>
      </c>
    </row>
    <row r="18" spans="1:25" ht="15.75" thickBot="1" x14ac:dyDescent="0.3">
      <c r="A18" t="s">
        <v>37</v>
      </c>
      <c r="B18" s="22">
        <v>234</v>
      </c>
      <c r="C18">
        <v>18</v>
      </c>
      <c r="D18" s="7">
        <f t="shared" si="1"/>
        <v>0.76221498371335505</v>
      </c>
      <c r="V18" t="s">
        <v>63</v>
      </c>
      <c r="X18">
        <v>271</v>
      </c>
      <c r="Y18">
        <f t="shared" si="4"/>
        <v>1</v>
      </c>
    </row>
    <row r="19" spans="1:25" ht="15.75" thickBot="1" x14ac:dyDescent="0.3">
      <c r="A19" t="s">
        <v>37</v>
      </c>
      <c r="B19" s="22">
        <v>234</v>
      </c>
      <c r="C19">
        <v>19</v>
      </c>
      <c r="D19" s="7">
        <f t="shared" si="1"/>
        <v>0.76221498371335505</v>
      </c>
      <c r="V19" t="s">
        <v>63</v>
      </c>
      <c r="X19">
        <v>271</v>
      </c>
      <c r="Y19">
        <f t="shared" si="4"/>
        <v>1</v>
      </c>
    </row>
    <row r="20" spans="1:25" ht="15.75" thickBot="1" x14ac:dyDescent="0.3">
      <c r="A20" t="s">
        <v>37</v>
      </c>
      <c r="B20" s="22">
        <v>228</v>
      </c>
      <c r="C20">
        <v>20</v>
      </c>
      <c r="D20" s="7">
        <f t="shared" si="1"/>
        <v>0.74267100977198697</v>
      </c>
      <c r="V20" t="s">
        <v>63</v>
      </c>
      <c r="X20">
        <v>271</v>
      </c>
      <c r="Y20">
        <f t="shared" si="4"/>
        <v>1</v>
      </c>
    </row>
    <row r="21" spans="1:25" ht="15.75" thickBot="1" x14ac:dyDescent="0.3">
      <c r="B21" s="22"/>
    </row>
    <row r="22" spans="1:25" x14ac:dyDescent="0.25">
      <c r="B22" s="7" t="s">
        <v>39</v>
      </c>
      <c r="C22" s="7"/>
      <c r="D22" s="7">
        <f>AVERAGE(D1:D20)</f>
        <v>0.76938110749185673</v>
      </c>
      <c r="G22" s="7" t="s">
        <v>39</v>
      </c>
      <c r="H22" s="7"/>
      <c r="I22" s="7">
        <f>AVERAGE(I1:I20)</f>
        <v>0.80303030303030309</v>
      </c>
      <c r="L22" s="7" t="s">
        <v>39</v>
      </c>
      <c r="M22" s="7"/>
      <c r="N22" s="7">
        <f>AVERAGE(N1:N20)</f>
        <v>0.81455473986594329</v>
      </c>
      <c r="Q22" s="7" t="s">
        <v>39</v>
      </c>
      <c r="R22" s="7"/>
      <c r="S22" s="7">
        <f>AVERAGE(S1:S20)</f>
        <v>0.54911242603550292</v>
      </c>
      <c r="U22" s="17">
        <f>AVERAGE(D22:S22)</f>
        <v>0.73401964410590148</v>
      </c>
      <c r="W22" s="7" t="s">
        <v>39</v>
      </c>
      <c r="X22" s="7"/>
      <c r="Y22" s="23">
        <f>AVERAGE(Y1:Y20)</f>
        <v>0.99778597785977841</v>
      </c>
    </row>
    <row r="23" spans="1:25" x14ac:dyDescent="0.25">
      <c r="B23" s="7" t="s">
        <v>40</v>
      </c>
      <c r="C23" s="7"/>
      <c r="D23" s="7">
        <f>_xlfn.STDEV.P(D1:D20)</f>
        <v>1.7679826377995984E-2</v>
      </c>
      <c r="G23" s="7" t="s">
        <v>40</v>
      </c>
      <c r="H23" s="7"/>
      <c r="I23" s="7">
        <f>_xlfn.STDEV.P(I1:I20)</f>
        <v>1.5971099293779687E-2</v>
      </c>
      <c r="L23" s="7" t="s">
        <v>40</v>
      </c>
      <c r="M23" s="7"/>
      <c r="N23" s="7">
        <f>_xlfn.STDEV.P(N1:N20)</f>
        <v>2.1919291048055404E-2</v>
      </c>
      <c r="Q23" s="7" t="s">
        <v>40</v>
      </c>
      <c r="R23" s="7"/>
      <c r="S23" s="7">
        <f>_xlfn.STDEV.P(S1:S20)</f>
        <v>2.9336225458557501E-2</v>
      </c>
      <c r="W23" s="7" t="s">
        <v>40</v>
      </c>
      <c r="X23" s="7"/>
      <c r="Y23" s="7">
        <f>_xlfn.STDEV.P(Y1:Y20)</f>
        <v>2.1516427656255565E-3</v>
      </c>
    </row>
    <row r="24" spans="1:25" x14ac:dyDescent="0.25">
      <c r="B24" s="7" t="s">
        <v>41</v>
      </c>
      <c r="C24" s="7"/>
      <c r="D24" s="23">
        <f>_xlfn.CONFIDENCE.T(0.05,D23,20)</f>
        <v>8.2744134479050321E-3</v>
      </c>
      <c r="G24" s="7" t="s">
        <v>41</v>
      </c>
      <c r="H24" s="7"/>
      <c r="I24" s="30">
        <f>_xlfn.CONFIDENCE.T(0.05,I23,16)</f>
        <v>8.5103980829541858E-3</v>
      </c>
      <c r="L24" s="7" t="s">
        <v>41</v>
      </c>
      <c r="M24" s="7"/>
      <c r="N24" s="23">
        <f>_xlfn.CONFIDENCE.T(0.05,N23,13)</f>
        <v>1.3245695014160432E-2</v>
      </c>
      <c r="Q24" s="7" t="s">
        <v>41</v>
      </c>
      <c r="R24" s="7"/>
      <c r="S24" s="23">
        <f>_xlfn.CONFIDENCE.T(0.05,S23,13)</f>
        <v>1.7727703621380337E-2</v>
      </c>
      <c r="W24" s="7" t="s">
        <v>41</v>
      </c>
      <c r="X24" s="7"/>
      <c r="Y24" s="29">
        <f>_xlfn.CONFIDENCE.T(0.05,Y23,13)</f>
        <v>1.3002247102982469E-3</v>
      </c>
    </row>
    <row r="28" spans="1:25" x14ac:dyDescent="0.25">
      <c r="A28" t="s">
        <v>24</v>
      </c>
      <c r="D28" s="17">
        <f>LIME!I28</f>
        <v>0.26779897626803173</v>
      </c>
      <c r="I28" s="17">
        <f>LIME!R28</f>
        <v>0.26000000000000006</v>
      </c>
      <c r="N28" s="17">
        <f>LIME!N28</f>
        <v>0.14356846473029042</v>
      </c>
      <c r="S28" s="17">
        <f>LIME!D28</f>
        <v>0.12472527472527473</v>
      </c>
      <c r="U28" s="17">
        <f>AVERAGE(D28:S28)</f>
        <v>0.19902317893089921</v>
      </c>
    </row>
    <row r="32" spans="1:25" x14ac:dyDescent="0.25">
      <c r="Q32" t="s">
        <v>38</v>
      </c>
      <c r="S32">
        <v>69</v>
      </c>
      <c r="T32">
        <f t="shared" ref="T32:T47" si="5">S32/130</f>
        <v>0.53076923076923077</v>
      </c>
    </row>
    <row r="33" spans="17:20" x14ac:dyDescent="0.25">
      <c r="Q33" t="s">
        <v>38</v>
      </c>
      <c r="S33">
        <v>68</v>
      </c>
      <c r="T33">
        <f t="shared" si="5"/>
        <v>0.52307692307692311</v>
      </c>
    </row>
    <row r="34" spans="17:20" x14ac:dyDescent="0.25">
      <c r="Q34" t="s">
        <v>38</v>
      </c>
      <c r="S34">
        <v>75</v>
      </c>
      <c r="T34">
        <f t="shared" si="5"/>
        <v>0.57692307692307687</v>
      </c>
    </row>
    <row r="35" spans="17:20" x14ac:dyDescent="0.25">
      <c r="Q35" t="s">
        <v>38</v>
      </c>
      <c r="S35">
        <v>76</v>
      </c>
      <c r="T35">
        <f t="shared" si="5"/>
        <v>0.58461538461538465</v>
      </c>
    </row>
    <row r="36" spans="17:20" x14ac:dyDescent="0.25">
      <c r="Q36" t="s">
        <v>38</v>
      </c>
      <c r="S36">
        <v>76</v>
      </c>
      <c r="T36">
        <f t="shared" si="5"/>
        <v>0.58461538461538465</v>
      </c>
    </row>
    <row r="37" spans="17:20" x14ac:dyDescent="0.25">
      <c r="Q37" t="s">
        <v>38</v>
      </c>
      <c r="S37">
        <v>66</v>
      </c>
      <c r="T37">
        <f t="shared" si="5"/>
        <v>0.50769230769230766</v>
      </c>
    </row>
    <row r="38" spans="17:20" x14ac:dyDescent="0.25">
      <c r="Q38" t="s">
        <v>38</v>
      </c>
      <c r="S38">
        <v>71</v>
      </c>
      <c r="T38">
        <f t="shared" si="5"/>
        <v>0.5461538461538461</v>
      </c>
    </row>
    <row r="39" spans="17:20" x14ac:dyDescent="0.25">
      <c r="Q39" t="s">
        <v>38</v>
      </c>
      <c r="S39">
        <v>76</v>
      </c>
      <c r="T39">
        <f t="shared" si="5"/>
        <v>0.58461538461538465</v>
      </c>
    </row>
    <row r="40" spans="17:20" x14ac:dyDescent="0.25">
      <c r="Q40" t="s">
        <v>38</v>
      </c>
      <c r="S40">
        <v>75</v>
      </c>
      <c r="T40">
        <f t="shared" si="5"/>
        <v>0.57692307692307687</v>
      </c>
    </row>
    <row r="41" spans="17:20" x14ac:dyDescent="0.25">
      <c r="Q41" t="s">
        <v>38</v>
      </c>
      <c r="S41">
        <v>66</v>
      </c>
      <c r="T41">
        <f t="shared" si="5"/>
        <v>0.50769230769230766</v>
      </c>
    </row>
    <row r="42" spans="17:20" x14ac:dyDescent="0.25">
      <c r="Q42" t="s">
        <v>38</v>
      </c>
      <c r="S42">
        <v>73</v>
      </c>
      <c r="T42">
        <f t="shared" si="5"/>
        <v>0.56153846153846154</v>
      </c>
    </row>
    <row r="43" spans="17:20" x14ac:dyDescent="0.25">
      <c r="Q43" t="s">
        <v>38</v>
      </c>
      <c r="S43">
        <v>67</v>
      </c>
      <c r="T43">
        <f t="shared" si="5"/>
        <v>0.51538461538461533</v>
      </c>
    </row>
    <row r="44" spans="17:20" x14ac:dyDescent="0.25">
      <c r="Q44" t="s">
        <v>38</v>
      </c>
      <c r="S44">
        <v>70</v>
      </c>
      <c r="T44">
        <f t="shared" si="5"/>
        <v>0.53846153846153844</v>
      </c>
    </row>
    <row r="45" spans="17:20" x14ac:dyDescent="0.25">
      <c r="Q45" t="s">
        <v>38</v>
      </c>
      <c r="S45">
        <v>69</v>
      </c>
      <c r="T45">
        <f t="shared" si="5"/>
        <v>0.53076923076923077</v>
      </c>
    </row>
    <row r="46" spans="17:20" x14ac:dyDescent="0.25">
      <c r="Q46" t="s">
        <v>38</v>
      </c>
      <c r="S46">
        <v>68</v>
      </c>
      <c r="T46">
        <f t="shared" si="5"/>
        <v>0.52307692307692311</v>
      </c>
    </row>
    <row r="47" spans="17:20" x14ac:dyDescent="0.25">
      <c r="Q47" t="s">
        <v>38</v>
      </c>
      <c r="S47">
        <v>75</v>
      </c>
      <c r="T47">
        <f t="shared" si="5"/>
        <v>0.57692307692307687</v>
      </c>
    </row>
    <row r="48" spans="17:20" x14ac:dyDescent="0.25">
      <c r="R48" s="7" t="s">
        <v>39</v>
      </c>
      <c r="S48" s="7"/>
      <c r="T48" s="7">
        <f>AVERAGE(T23:T46)</f>
        <v>0.5461538461538461</v>
      </c>
    </row>
    <row r="49" spans="18:20" x14ac:dyDescent="0.25">
      <c r="R49" s="7" t="s">
        <v>40</v>
      </c>
      <c r="S49" s="7"/>
      <c r="T49" s="7">
        <f>_xlfn.STDEV.P(T23:T46)</f>
        <v>2.8367829099362737E-2</v>
      </c>
    </row>
    <row r="50" spans="18:20" x14ac:dyDescent="0.25">
      <c r="R50" s="7" t="s">
        <v>41</v>
      </c>
      <c r="S50" s="7"/>
      <c r="T50" s="23">
        <f>_xlfn.CONFIDENCE.T(0.05,T49,13)</f>
        <v>1.7142507558305334E-2</v>
      </c>
    </row>
  </sheetData>
  <sortState xmlns:xlrd2="http://schemas.microsoft.com/office/spreadsheetml/2017/richdata2" ref="Q28:R57">
    <sortCondition ref="Q28:Q57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A3CB2-FA9A-4961-81CF-2ACA5D71F3B0}">
  <dimension ref="A1:V33"/>
  <sheetViews>
    <sheetView topLeftCell="A13" workbookViewId="0">
      <selection activeCell="U28" sqref="U28:V30"/>
    </sheetView>
  </sheetViews>
  <sheetFormatPr defaultRowHeight="15" x14ac:dyDescent="0.25"/>
  <cols>
    <col min="22" max="22" width="8.85546875" style="7"/>
  </cols>
  <sheetData>
    <row r="1" spans="1:22" x14ac:dyDescent="0.25">
      <c r="A1" t="s">
        <v>38</v>
      </c>
      <c r="B1">
        <v>19</v>
      </c>
      <c r="D1" s="7">
        <f>B1/130</f>
        <v>0.14615384615384616</v>
      </c>
      <c r="F1" t="s">
        <v>37</v>
      </c>
      <c r="G1">
        <v>69</v>
      </c>
      <c r="I1">
        <f>G1/307</f>
        <v>0.22475570032573289</v>
      </c>
      <c r="K1" t="s">
        <v>36</v>
      </c>
      <c r="L1">
        <v>33</v>
      </c>
      <c r="N1" s="7">
        <f t="shared" ref="N1:N20" si="0">L1/241</f>
        <v>0.13692946058091288</v>
      </c>
      <c r="P1" t="s">
        <v>22</v>
      </c>
      <c r="Q1">
        <v>24</v>
      </c>
      <c r="R1" s="7">
        <f>Q1/100</f>
        <v>0.24</v>
      </c>
      <c r="T1" t="s">
        <v>63</v>
      </c>
      <c r="U1">
        <v>83</v>
      </c>
      <c r="V1" s="7">
        <f>U1/271</f>
        <v>0.30627306273062732</v>
      </c>
    </row>
    <row r="2" spans="1:22" x14ac:dyDescent="0.25">
      <c r="A2" t="s">
        <v>38</v>
      </c>
      <c r="B2">
        <v>16</v>
      </c>
      <c r="D2" s="7">
        <f t="shared" ref="D2:D20" si="1">B2/130</f>
        <v>0.12307692307692308</v>
      </c>
      <c r="F2" t="s">
        <v>37</v>
      </c>
      <c r="G2">
        <v>51</v>
      </c>
      <c r="I2">
        <f t="shared" ref="I2:I20" si="2">G2/307</f>
        <v>0.16612377850162866</v>
      </c>
      <c r="K2" t="s">
        <v>36</v>
      </c>
      <c r="L2">
        <v>35</v>
      </c>
      <c r="N2" s="7">
        <f t="shared" si="0"/>
        <v>0.14522821576763487</v>
      </c>
      <c r="P2" t="s">
        <v>22</v>
      </c>
      <c r="Q2">
        <v>26</v>
      </c>
      <c r="R2" s="7">
        <f t="shared" ref="R2:R20" si="3">Q2/100</f>
        <v>0.26</v>
      </c>
      <c r="T2" t="s">
        <v>63</v>
      </c>
      <c r="U2">
        <v>83</v>
      </c>
      <c r="V2" s="7">
        <f t="shared" ref="V2:V22" si="4">U2/271</f>
        <v>0.30627306273062732</v>
      </c>
    </row>
    <row r="3" spans="1:22" x14ac:dyDescent="0.25">
      <c r="A3" t="s">
        <v>38</v>
      </c>
      <c r="B3">
        <v>15</v>
      </c>
      <c r="D3" s="7">
        <f t="shared" si="1"/>
        <v>0.11538461538461539</v>
      </c>
      <c r="F3" t="s">
        <v>37</v>
      </c>
      <c r="G3">
        <v>55</v>
      </c>
      <c r="I3">
        <f t="shared" si="2"/>
        <v>0.17915309446254071</v>
      </c>
      <c r="K3" t="s">
        <v>36</v>
      </c>
      <c r="L3">
        <v>32</v>
      </c>
      <c r="N3" s="7">
        <f t="shared" si="0"/>
        <v>0.13278008298755187</v>
      </c>
      <c r="P3" t="s">
        <v>22</v>
      </c>
      <c r="Q3">
        <v>26</v>
      </c>
      <c r="R3" s="7">
        <f t="shared" si="3"/>
        <v>0.26</v>
      </c>
      <c r="T3" t="s">
        <v>63</v>
      </c>
      <c r="U3">
        <v>83</v>
      </c>
      <c r="V3" s="7">
        <f t="shared" si="4"/>
        <v>0.30627306273062732</v>
      </c>
    </row>
    <row r="4" spans="1:22" x14ac:dyDescent="0.25">
      <c r="A4" t="s">
        <v>38</v>
      </c>
      <c r="B4">
        <v>17</v>
      </c>
      <c r="D4" s="7">
        <f t="shared" si="1"/>
        <v>0.13076923076923078</v>
      </c>
      <c r="F4" t="s">
        <v>37</v>
      </c>
      <c r="G4">
        <v>82</v>
      </c>
      <c r="I4">
        <f t="shared" si="2"/>
        <v>0.26710097719869708</v>
      </c>
      <c r="K4" t="s">
        <v>36</v>
      </c>
      <c r="L4">
        <v>34</v>
      </c>
      <c r="N4" s="7">
        <f t="shared" si="0"/>
        <v>0.14107883817427386</v>
      </c>
      <c r="P4" t="s">
        <v>22</v>
      </c>
      <c r="Q4">
        <v>25</v>
      </c>
      <c r="R4" s="7">
        <f t="shared" si="3"/>
        <v>0.25</v>
      </c>
      <c r="T4" t="s">
        <v>63</v>
      </c>
      <c r="U4">
        <v>79</v>
      </c>
      <c r="V4" s="7">
        <f t="shared" si="4"/>
        <v>0.29151291512915128</v>
      </c>
    </row>
    <row r="5" spans="1:22" x14ac:dyDescent="0.25">
      <c r="A5" t="s">
        <v>38</v>
      </c>
      <c r="B5">
        <v>16</v>
      </c>
      <c r="D5" s="7">
        <f t="shared" si="1"/>
        <v>0.12307692307692308</v>
      </c>
      <c r="F5" t="s">
        <v>37</v>
      </c>
      <c r="G5">
        <v>74</v>
      </c>
      <c r="I5">
        <f t="shared" si="2"/>
        <v>0.24104234527687296</v>
      </c>
      <c r="K5" t="s">
        <v>36</v>
      </c>
      <c r="L5">
        <v>33</v>
      </c>
      <c r="N5" s="7">
        <f t="shared" si="0"/>
        <v>0.13692946058091288</v>
      </c>
      <c r="P5" t="s">
        <v>22</v>
      </c>
      <c r="Q5">
        <v>27</v>
      </c>
      <c r="R5" s="7">
        <f t="shared" si="3"/>
        <v>0.27</v>
      </c>
      <c r="T5" t="s">
        <v>63</v>
      </c>
      <c r="U5">
        <v>82</v>
      </c>
      <c r="V5" s="7">
        <f t="shared" si="4"/>
        <v>0.30258302583025831</v>
      </c>
    </row>
    <row r="6" spans="1:22" x14ac:dyDescent="0.25">
      <c r="A6" t="s">
        <v>38</v>
      </c>
      <c r="B6">
        <v>18</v>
      </c>
      <c r="D6" s="7">
        <f t="shared" si="1"/>
        <v>0.13846153846153847</v>
      </c>
      <c r="F6" t="s">
        <v>37</v>
      </c>
      <c r="G6">
        <v>82</v>
      </c>
      <c r="I6">
        <f t="shared" si="2"/>
        <v>0.26710097719869708</v>
      </c>
      <c r="K6" t="s">
        <v>36</v>
      </c>
      <c r="L6">
        <v>34</v>
      </c>
      <c r="N6" s="7">
        <f t="shared" si="0"/>
        <v>0.14107883817427386</v>
      </c>
      <c r="P6" t="s">
        <v>22</v>
      </c>
      <c r="Q6">
        <v>27</v>
      </c>
      <c r="R6" s="7">
        <f t="shared" si="3"/>
        <v>0.27</v>
      </c>
      <c r="T6" t="s">
        <v>63</v>
      </c>
      <c r="U6">
        <v>82</v>
      </c>
      <c r="V6" s="7">
        <f t="shared" si="4"/>
        <v>0.30258302583025831</v>
      </c>
    </row>
    <row r="7" spans="1:22" x14ac:dyDescent="0.25">
      <c r="A7" t="s">
        <v>38</v>
      </c>
      <c r="B7">
        <v>17</v>
      </c>
      <c r="D7" s="7">
        <f t="shared" si="1"/>
        <v>0.13076923076923078</v>
      </c>
      <c r="F7" t="s">
        <v>37</v>
      </c>
      <c r="G7">
        <v>84</v>
      </c>
      <c r="I7">
        <f t="shared" si="2"/>
        <v>0.2736156351791531</v>
      </c>
      <c r="K7" t="s">
        <v>36</v>
      </c>
      <c r="L7">
        <v>35</v>
      </c>
      <c r="N7" s="7">
        <f t="shared" si="0"/>
        <v>0.14522821576763487</v>
      </c>
      <c r="P7" t="s">
        <v>22</v>
      </c>
      <c r="Q7">
        <v>25</v>
      </c>
      <c r="R7" s="7">
        <f t="shared" si="3"/>
        <v>0.25</v>
      </c>
      <c r="T7" t="s">
        <v>63</v>
      </c>
      <c r="U7">
        <v>81</v>
      </c>
      <c r="V7" s="7">
        <f t="shared" si="4"/>
        <v>0.2988929889298893</v>
      </c>
    </row>
    <row r="8" spans="1:22" x14ac:dyDescent="0.25">
      <c r="A8" t="s">
        <v>38</v>
      </c>
      <c r="B8">
        <v>17</v>
      </c>
      <c r="D8" s="7">
        <f t="shared" si="1"/>
        <v>0.13076923076923078</v>
      </c>
      <c r="F8" t="s">
        <v>37</v>
      </c>
      <c r="G8">
        <v>83</v>
      </c>
      <c r="I8">
        <f t="shared" si="2"/>
        <v>0.27035830618892509</v>
      </c>
      <c r="K8" t="s">
        <v>36</v>
      </c>
      <c r="L8">
        <v>37</v>
      </c>
      <c r="N8" s="7">
        <f t="shared" si="0"/>
        <v>0.15352697095435686</v>
      </c>
      <c r="P8" t="s">
        <v>22</v>
      </c>
      <c r="Q8">
        <v>27</v>
      </c>
      <c r="R8" s="7">
        <f t="shared" si="3"/>
        <v>0.27</v>
      </c>
      <c r="T8" t="s">
        <v>63</v>
      </c>
      <c r="U8">
        <v>82</v>
      </c>
      <c r="V8" s="7">
        <f t="shared" si="4"/>
        <v>0.30258302583025831</v>
      </c>
    </row>
    <row r="9" spans="1:22" x14ac:dyDescent="0.25">
      <c r="A9" t="s">
        <v>38</v>
      </c>
      <c r="B9">
        <v>15</v>
      </c>
      <c r="D9" s="7">
        <f t="shared" si="1"/>
        <v>0.11538461538461539</v>
      </c>
      <c r="F9" t="s">
        <v>37</v>
      </c>
      <c r="G9">
        <v>82</v>
      </c>
      <c r="I9">
        <f t="shared" si="2"/>
        <v>0.26710097719869708</v>
      </c>
      <c r="K9" t="s">
        <v>36</v>
      </c>
      <c r="L9">
        <v>36</v>
      </c>
      <c r="N9" s="7">
        <f t="shared" si="0"/>
        <v>0.14937759336099585</v>
      </c>
      <c r="P9" t="s">
        <v>22</v>
      </c>
      <c r="Q9">
        <v>25</v>
      </c>
      <c r="R9" s="7">
        <f t="shared" si="3"/>
        <v>0.25</v>
      </c>
      <c r="T9" t="s">
        <v>63</v>
      </c>
      <c r="U9">
        <v>82</v>
      </c>
      <c r="V9" s="7">
        <f t="shared" si="4"/>
        <v>0.30258302583025831</v>
      </c>
    </row>
    <row r="10" spans="1:22" x14ac:dyDescent="0.25">
      <c r="A10" t="s">
        <v>38</v>
      </c>
      <c r="B10">
        <v>15</v>
      </c>
      <c r="D10" s="7">
        <f t="shared" si="1"/>
        <v>0.11538461538461539</v>
      </c>
      <c r="F10" t="s">
        <v>37</v>
      </c>
      <c r="G10">
        <v>83</v>
      </c>
      <c r="I10">
        <f t="shared" si="2"/>
        <v>0.27035830618892509</v>
      </c>
      <c r="K10" t="s">
        <v>36</v>
      </c>
      <c r="L10">
        <v>34</v>
      </c>
      <c r="N10" s="7">
        <f t="shared" si="0"/>
        <v>0.14107883817427386</v>
      </c>
      <c r="P10" t="s">
        <v>22</v>
      </c>
      <c r="Q10">
        <v>24</v>
      </c>
      <c r="R10" s="7">
        <f t="shared" si="3"/>
        <v>0.24</v>
      </c>
      <c r="T10" t="s">
        <v>63</v>
      </c>
      <c r="U10">
        <v>82</v>
      </c>
      <c r="V10" s="7">
        <f t="shared" si="4"/>
        <v>0.30258302583025831</v>
      </c>
    </row>
    <row r="11" spans="1:22" x14ac:dyDescent="0.25">
      <c r="A11" t="s">
        <v>38</v>
      </c>
      <c r="B11">
        <v>16</v>
      </c>
      <c r="D11" s="7">
        <f t="shared" si="1"/>
        <v>0.12307692307692308</v>
      </c>
      <c r="F11" t="s">
        <v>37</v>
      </c>
      <c r="G11">
        <v>84</v>
      </c>
      <c r="I11">
        <f t="shared" si="2"/>
        <v>0.2736156351791531</v>
      </c>
      <c r="K11" t="s">
        <v>36</v>
      </c>
      <c r="L11">
        <v>33</v>
      </c>
      <c r="N11" s="7">
        <f t="shared" si="0"/>
        <v>0.13692946058091288</v>
      </c>
      <c r="P11" t="s">
        <v>22</v>
      </c>
      <c r="Q11">
        <v>27</v>
      </c>
      <c r="R11" s="7">
        <f t="shared" si="3"/>
        <v>0.27</v>
      </c>
      <c r="T11" t="s">
        <v>63</v>
      </c>
      <c r="U11">
        <v>83</v>
      </c>
      <c r="V11" s="7">
        <f t="shared" si="4"/>
        <v>0.30627306273062732</v>
      </c>
    </row>
    <row r="12" spans="1:22" x14ac:dyDescent="0.25">
      <c r="A12" t="s">
        <v>38</v>
      </c>
      <c r="B12">
        <v>16</v>
      </c>
      <c r="D12" s="7">
        <f t="shared" si="1"/>
        <v>0.12307692307692308</v>
      </c>
      <c r="F12" t="s">
        <v>37</v>
      </c>
      <c r="G12">
        <v>82</v>
      </c>
      <c r="I12">
        <f t="shared" si="2"/>
        <v>0.26710097719869708</v>
      </c>
      <c r="K12" t="s">
        <v>36</v>
      </c>
      <c r="L12">
        <v>36</v>
      </c>
      <c r="N12" s="7">
        <f t="shared" si="0"/>
        <v>0.14937759336099585</v>
      </c>
      <c r="P12" t="s">
        <v>22</v>
      </c>
      <c r="Q12">
        <v>28</v>
      </c>
      <c r="R12" s="7">
        <f t="shared" si="3"/>
        <v>0.28000000000000003</v>
      </c>
      <c r="T12" t="s">
        <v>63</v>
      </c>
      <c r="U12">
        <v>82</v>
      </c>
      <c r="V12" s="7">
        <f t="shared" si="4"/>
        <v>0.30258302583025831</v>
      </c>
    </row>
    <row r="13" spans="1:22" x14ac:dyDescent="0.25">
      <c r="A13" t="s">
        <v>38</v>
      </c>
      <c r="B13">
        <v>16</v>
      </c>
      <c r="D13" s="7">
        <f t="shared" si="1"/>
        <v>0.12307692307692308</v>
      </c>
      <c r="F13" t="s">
        <v>37</v>
      </c>
      <c r="G13">
        <v>82</v>
      </c>
      <c r="I13">
        <f t="shared" si="2"/>
        <v>0.26710097719869708</v>
      </c>
      <c r="K13" t="s">
        <v>36</v>
      </c>
      <c r="L13">
        <v>34</v>
      </c>
      <c r="N13" s="7">
        <f t="shared" si="0"/>
        <v>0.14107883817427386</v>
      </c>
      <c r="P13" t="s">
        <v>22</v>
      </c>
      <c r="Q13">
        <v>24</v>
      </c>
      <c r="R13" s="7">
        <f t="shared" si="3"/>
        <v>0.24</v>
      </c>
      <c r="T13" t="s">
        <v>63</v>
      </c>
      <c r="U13">
        <v>82</v>
      </c>
      <c r="V13" s="7">
        <f t="shared" si="4"/>
        <v>0.30258302583025831</v>
      </c>
    </row>
    <row r="14" spans="1:22" x14ac:dyDescent="0.25">
      <c r="A14" t="s">
        <v>38</v>
      </c>
      <c r="B14">
        <v>15</v>
      </c>
      <c r="D14" s="7">
        <f t="shared" si="1"/>
        <v>0.11538461538461539</v>
      </c>
      <c r="F14" t="s">
        <v>37</v>
      </c>
      <c r="G14">
        <v>78</v>
      </c>
      <c r="I14">
        <f t="shared" si="2"/>
        <v>0.25407166123778502</v>
      </c>
      <c r="K14" t="s">
        <v>36</v>
      </c>
      <c r="L14">
        <v>33</v>
      </c>
      <c r="N14" s="7">
        <f t="shared" si="0"/>
        <v>0.13692946058091288</v>
      </c>
      <c r="P14" t="s">
        <v>22</v>
      </c>
      <c r="Q14">
        <v>27</v>
      </c>
      <c r="R14" s="7">
        <f t="shared" si="3"/>
        <v>0.27</v>
      </c>
      <c r="T14" t="s">
        <v>63</v>
      </c>
      <c r="U14">
        <v>83</v>
      </c>
      <c r="V14" s="7">
        <f t="shared" si="4"/>
        <v>0.30627306273062732</v>
      </c>
    </row>
    <row r="15" spans="1:22" x14ac:dyDescent="0.25">
      <c r="A15" t="s">
        <v>38</v>
      </c>
      <c r="B15">
        <v>15</v>
      </c>
      <c r="D15" s="7">
        <f t="shared" si="1"/>
        <v>0.11538461538461539</v>
      </c>
      <c r="F15" t="s">
        <v>37</v>
      </c>
      <c r="G15">
        <v>80</v>
      </c>
      <c r="I15">
        <f t="shared" si="2"/>
        <v>0.26058631921824105</v>
      </c>
      <c r="K15" t="s">
        <v>36</v>
      </c>
      <c r="L15">
        <v>37</v>
      </c>
      <c r="N15" s="7">
        <f t="shared" si="0"/>
        <v>0.15352697095435686</v>
      </c>
      <c r="P15" t="s">
        <v>22</v>
      </c>
      <c r="Q15">
        <v>25</v>
      </c>
      <c r="R15" s="7">
        <f t="shared" si="3"/>
        <v>0.25</v>
      </c>
      <c r="T15" t="s">
        <v>63</v>
      </c>
      <c r="U15">
        <v>81</v>
      </c>
      <c r="V15" s="7">
        <f t="shared" si="4"/>
        <v>0.2988929889298893</v>
      </c>
    </row>
    <row r="16" spans="1:22" x14ac:dyDescent="0.25">
      <c r="A16" t="s">
        <v>38</v>
      </c>
      <c r="B16">
        <v>15</v>
      </c>
      <c r="D16" s="7">
        <f t="shared" si="1"/>
        <v>0.11538461538461539</v>
      </c>
      <c r="F16" t="s">
        <v>37</v>
      </c>
      <c r="G16">
        <v>83</v>
      </c>
      <c r="I16">
        <f t="shared" si="2"/>
        <v>0.27035830618892509</v>
      </c>
      <c r="K16" t="s">
        <v>36</v>
      </c>
      <c r="L16">
        <v>38</v>
      </c>
      <c r="N16" s="7">
        <f t="shared" si="0"/>
        <v>0.15767634854771784</v>
      </c>
      <c r="P16" t="s">
        <v>22</v>
      </c>
      <c r="Q16">
        <v>26</v>
      </c>
      <c r="R16" s="7">
        <f t="shared" si="3"/>
        <v>0.26</v>
      </c>
      <c r="T16" t="s">
        <v>63</v>
      </c>
      <c r="U16">
        <v>81</v>
      </c>
      <c r="V16" s="7">
        <f t="shared" si="4"/>
        <v>0.2988929889298893</v>
      </c>
    </row>
    <row r="17" spans="1:22" x14ac:dyDescent="0.25">
      <c r="A17" t="s">
        <v>38</v>
      </c>
      <c r="B17">
        <v>17</v>
      </c>
      <c r="D17" s="7">
        <f t="shared" si="1"/>
        <v>0.13076923076923078</v>
      </c>
      <c r="F17" t="s">
        <v>37</v>
      </c>
      <c r="G17">
        <v>83</v>
      </c>
      <c r="I17">
        <f t="shared" si="2"/>
        <v>0.27035830618892509</v>
      </c>
      <c r="K17" t="s">
        <v>36</v>
      </c>
      <c r="L17">
        <v>32</v>
      </c>
      <c r="N17" s="7">
        <f t="shared" si="0"/>
        <v>0.13278008298755187</v>
      </c>
      <c r="P17" t="s">
        <v>22</v>
      </c>
      <c r="Q17">
        <v>29</v>
      </c>
      <c r="R17" s="7">
        <f t="shared" si="3"/>
        <v>0.28999999999999998</v>
      </c>
      <c r="T17" t="s">
        <v>63</v>
      </c>
      <c r="U17">
        <v>81</v>
      </c>
      <c r="V17" s="7">
        <f t="shared" si="4"/>
        <v>0.2988929889298893</v>
      </c>
    </row>
    <row r="18" spans="1:22" x14ac:dyDescent="0.25">
      <c r="A18" t="s">
        <v>38</v>
      </c>
      <c r="B18">
        <v>17</v>
      </c>
      <c r="D18" s="7">
        <f t="shared" si="1"/>
        <v>0.13076923076923078</v>
      </c>
      <c r="F18" t="s">
        <v>37</v>
      </c>
      <c r="G18">
        <v>80</v>
      </c>
      <c r="I18">
        <f t="shared" si="2"/>
        <v>0.26058631921824105</v>
      </c>
      <c r="K18" t="s">
        <v>36</v>
      </c>
      <c r="L18">
        <v>34</v>
      </c>
      <c r="N18" s="7">
        <f t="shared" si="0"/>
        <v>0.14107883817427386</v>
      </c>
      <c r="P18" t="s">
        <v>22</v>
      </c>
      <c r="Q18">
        <v>26</v>
      </c>
      <c r="R18" s="7">
        <f t="shared" si="3"/>
        <v>0.26</v>
      </c>
      <c r="T18" t="s">
        <v>63</v>
      </c>
      <c r="U18">
        <v>77</v>
      </c>
      <c r="V18" s="7">
        <f t="shared" si="4"/>
        <v>0.28413284132841327</v>
      </c>
    </row>
    <row r="19" spans="1:22" x14ac:dyDescent="0.25">
      <c r="A19" t="s">
        <v>38</v>
      </c>
      <c r="B19">
        <v>20</v>
      </c>
      <c r="D19" s="7">
        <f t="shared" si="1"/>
        <v>0.15384615384615385</v>
      </c>
      <c r="F19" t="s">
        <v>37</v>
      </c>
      <c r="G19">
        <v>81</v>
      </c>
      <c r="I19">
        <f t="shared" si="2"/>
        <v>0.26384364820846906</v>
      </c>
      <c r="K19" t="s">
        <v>36</v>
      </c>
      <c r="L19">
        <v>36</v>
      </c>
      <c r="N19" s="7">
        <f t="shared" si="0"/>
        <v>0.14937759336099585</v>
      </c>
      <c r="P19" t="s">
        <v>22</v>
      </c>
      <c r="Q19">
        <v>25</v>
      </c>
      <c r="R19" s="7">
        <f t="shared" si="3"/>
        <v>0.25</v>
      </c>
      <c r="T19" t="s">
        <v>63</v>
      </c>
      <c r="U19">
        <v>80</v>
      </c>
      <c r="V19" s="7">
        <f t="shared" si="4"/>
        <v>0.29520295202952029</v>
      </c>
    </row>
    <row r="20" spans="1:22" x14ac:dyDescent="0.25">
      <c r="A20" t="s">
        <v>38</v>
      </c>
      <c r="B20">
        <v>16</v>
      </c>
      <c r="D20" s="7">
        <f t="shared" si="1"/>
        <v>0.12307692307692308</v>
      </c>
      <c r="F20" t="s">
        <v>37</v>
      </c>
      <c r="G20">
        <v>86</v>
      </c>
      <c r="I20">
        <f t="shared" si="2"/>
        <v>0.28013029315960913</v>
      </c>
      <c r="K20" t="s">
        <v>36</v>
      </c>
      <c r="L20">
        <v>36</v>
      </c>
      <c r="N20" s="7">
        <f t="shared" si="0"/>
        <v>0.14937759336099585</v>
      </c>
      <c r="P20" t="s">
        <v>22</v>
      </c>
      <c r="Q20">
        <v>27</v>
      </c>
      <c r="R20" s="7">
        <f t="shared" si="3"/>
        <v>0.27</v>
      </c>
      <c r="T20" t="s">
        <v>63</v>
      </c>
      <c r="U20">
        <v>78</v>
      </c>
      <c r="V20" s="7">
        <f t="shared" si="4"/>
        <v>0.28782287822878228</v>
      </c>
    </row>
    <row r="21" spans="1:22" x14ac:dyDescent="0.25">
      <c r="D21" s="7"/>
      <c r="T21" t="s">
        <v>63</v>
      </c>
      <c r="U21">
        <v>80</v>
      </c>
      <c r="V21" s="7">
        <f t="shared" si="4"/>
        <v>0.29520295202952029</v>
      </c>
    </row>
    <row r="22" spans="1:22" x14ac:dyDescent="0.25">
      <c r="D22" s="7"/>
      <c r="T22" t="s">
        <v>63</v>
      </c>
      <c r="U22">
        <v>83</v>
      </c>
      <c r="V22" s="7">
        <f t="shared" si="4"/>
        <v>0.30627306273062732</v>
      </c>
    </row>
    <row r="23" spans="1:22" x14ac:dyDescent="0.25">
      <c r="D23" s="7"/>
    </row>
    <row r="24" spans="1:22" x14ac:dyDescent="0.25">
      <c r="D24" s="7"/>
    </row>
    <row r="25" spans="1:22" x14ac:dyDescent="0.25">
      <c r="D25" s="7"/>
    </row>
    <row r="26" spans="1:22" x14ac:dyDescent="0.25">
      <c r="D26" s="7"/>
    </row>
    <row r="28" spans="1:22" x14ac:dyDescent="0.25">
      <c r="B28" s="7" t="s">
        <v>39</v>
      </c>
      <c r="C28" s="7"/>
      <c r="D28" s="24">
        <f>AVERAGE(D7:D26)</f>
        <v>0.12472527472527473</v>
      </c>
      <c r="G28" s="7" t="s">
        <v>39</v>
      </c>
      <c r="H28" s="7"/>
      <c r="I28" s="24">
        <f>AVERAGE(I7:I26)</f>
        <v>0.26779897626803173</v>
      </c>
      <c r="L28" s="7" t="s">
        <v>39</v>
      </c>
      <c r="M28" s="7"/>
      <c r="N28" s="24">
        <f>AVERAGE(N1:N20)</f>
        <v>0.14356846473029042</v>
      </c>
      <c r="P28" s="7"/>
      <c r="Q28" s="7" t="s">
        <v>39</v>
      </c>
      <c r="R28" s="24">
        <f>AVERAGE(R1:R20)</f>
        <v>0.26000000000000006</v>
      </c>
      <c r="U28" s="7" t="s">
        <v>39</v>
      </c>
      <c r="V28" s="24">
        <f>AVERAGE(V1:V20)</f>
        <v>0.30018450184501849</v>
      </c>
    </row>
    <row r="29" spans="1:22" x14ac:dyDescent="0.25">
      <c r="B29" s="7" t="s">
        <v>40</v>
      </c>
      <c r="C29" s="7"/>
      <c r="D29" s="7">
        <f>_xlfn.STDEV.P(D1:D20)</f>
        <v>1.0434353820192721E-2</v>
      </c>
      <c r="G29" s="7" t="s">
        <v>40</v>
      </c>
      <c r="H29" s="7"/>
      <c r="I29" s="7">
        <f>_xlfn.STDEV.P(I1:I20)</f>
        <v>2.9917817597928616E-2</v>
      </c>
      <c r="L29" s="7" t="s">
        <v>40</v>
      </c>
      <c r="M29" s="7"/>
      <c r="N29" s="7">
        <f>_xlfn.STDEV.P(N1:N20)</f>
        <v>6.992655413424362E-3</v>
      </c>
      <c r="P29" s="7"/>
      <c r="Q29" s="7" t="s">
        <v>40</v>
      </c>
      <c r="R29" s="7">
        <f>_xlfn.STDEV.P(R1:R20)</f>
        <v>1.3416407864998743E-2</v>
      </c>
      <c r="U29" s="7" t="s">
        <v>40</v>
      </c>
      <c r="V29" s="7">
        <f>_xlfn.STDEV.P(V1:V20)</f>
        <v>6.0941492859460395E-3</v>
      </c>
    </row>
    <row r="30" spans="1:22" x14ac:dyDescent="0.25">
      <c r="B30" s="7" t="s">
        <v>41</v>
      </c>
      <c r="C30" s="7"/>
      <c r="D30" s="23">
        <f>_xlfn.CONFIDENCE.T(0.05,D29,20)</f>
        <v>4.8834279095329195E-3</v>
      </c>
      <c r="G30" s="7" t="s">
        <v>41</v>
      </c>
      <c r="H30" s="7"/>
      <c r="I30" s="23">
        <f>_xlfn.CONFIDENCE.T(0.05,I29,20)</f>
        <v>1.4001969644473993E-2</v>
      </c>
      <c r="L30" s="7" t="s">
        <v>41</v>
      </c>
      <c r="M30" s="7"/>
      <c r="N30" s="23">
        <f>_xlfn.CONFIDENCE.T(0.05,N29,20)</f>
        <v>3.272663472612842E-3</v>
      </c>
      <c r="P30" s="7"/>
      <c r="Q30" s="7" t="s">
        <v>41</v>
      </c>
      <c r="R30" s="23">
        <f>_xlfn.CONFIDENCE.T(0.05,R29,20)</f>
        <v>6.2790721632249311E-3</v>
      </c>
      <c r="U30" s="7" t="s">
        <v>41</v>
      </c>
      <c r="V30" s="23">
        <f>_xlfn.CONFIDENCE.T(0.05,V29,20)</f>
        <v>2.8521496606964142E-3</v>
      </c>
    </row>
    <row r="32" spans="1:22" x14ac:dyDescent="0.25">
      <c r="B32" s="7" t="s">
        <v>61</v>
      </c>
      <c r="C32">
        <v>1.5</v>
      </c>
      <c r="G32" s="7" t="s">
        <v>61</v>
      </c>
      <c r="H32">
        <v>0.75</v>
      </c>
      <c r="K32" s="7" t="s">
        <v>61</v>
      </c>
      <c r="L32">
        <v>0.75</v>
      </c>
    </row>
    <row r="33" spans="17:18" x14ac:dyDescent="0.25">
      <c r="Q33" s="7" t="s">
        <v>61</v>
      </c>
      <c r="R33">
        <v>0.5</v>
      </c>
    </row>
  </sheetData>
  <sortState xmlns:xlrd2="http://schemas.microsoft.com/office/spreadsheetml/2017/richdata2" ref="P1:Q39">
    <sortCondition ref="P1:P3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E5A77-0439-42EA-8B1E-E0E6A1C97834}">
  <dimension ref="A1:J23"/>
  <sheetViews>
    <sheetView tabSelected="1" workbookViewId="0">
      <selection activeCell="C23" sqref="C23"/>
    </sheetView>
  </sheetViews>
  <sheetFormatPr defaultRowHeight="15" x14ac:dyDescent="0.25"/>
  <sheetData>
    <row r="1" spans="1:10" x14ac:dyDescent="0.25">
      <c r="A1">
        <v>8</v>
      </c>
      <c r="E1">
        <v>11</v>
      </c>
      <c r="I1">
        <v>17</v>
      </c>
    </row>
    <row r="2" spans="1:10" x14ac:dyDescent="0.25">
      <c r="A2" t="s">
        <v>63</v>
      </c>
      <c r="B2">
        <v>132</v>
      </c>
      <c r="C2" s="7">
        <f>B2/270</f>
        <v>0.48888888888888887</v>
      </c>
      <c r="D2" t="s">
        <v>63</v>
      </c>
      <c r="E2">
        <v>167</v>
      </c>
      <c r="F2" s="7">
        <f>E2/270</f>
        <v>0.61851851851851847</v>
      </c>
      <c r="I2">
        <v>224</v>
      </c>
      <c r="J2" s="7">
        <f>I2/270</f>
        <v>0.82962962962962961</v>
      </c>
    </row>
    <row r="3" spans="1:10" x14ac:dyDescent="0.25">
      <c r="A3" t="s">
        <v>63</v>
      </c>
      <c r="B3">
        <v>142</v>
      </c>
      <c r="C3" s="7">
        <f t="shared" ref="C3:C21" si="0">B3/270</f>
        <v>0.52592592592592591</v>
      </c>
      <c r="D3" t="s">
        <v>63</v>
      </c>
      <c r="E3">
        <v>174</v>
      </c>
      <c r="F3" s="7">
        <f t="shared" ref="F3:F21" si="1">E3/270</f>
        <v>0.64444444444444449</v>
      </c>
      <c r="I3">
        <v>217</v>
      </c>
      <c r="J3" s="7">
        <f t="shared" ref="J3:J21" si="2">I3/270</f>
        <v>0.8037037037037037</v>
      </c>
    </row>
    <row r="4" spans="1:10" x14ac:dyDescent="0.25">
      <c r="A4" t="s">
        <v>63</v>
      </c>
      <c r="B4">
        <v>133</v>
      </c>
      <c r="C4" s="7">
        <f t="shared" si="0"/>
        <v>0.49259259259259258</v>
      </c>
      <c r="D4" t="s">
        <v>63</v>
      </c>
      <c r="E4">
        <v>165</v>
      </c>
      <c r="F4" s="7">
        <f t="shared" si="1"/>
        <v>0.61111111111111116</v>
      </c>
      <c r="I4">
        <v>224</v>
      </c>
      <c r="J4" s="7">
        <f t="shared" si="2"/>
        <v>0.82962962962962961</v>
      </c>
    </row>
    <row r="5" spans="1:10" x14ac:dyDescent="0.25">
      <c r="A5" t="s">
        <v>63</v>
      </c>
      <c r="B5">
        <v>138</v>
      </c>
      <c r="C5" s="7">
        <f t="shared" si="0"/>
        <v>0.51111111111111107</v>
      </c>
      <c r="D5" t="s">
        <v>63</v>
      </c>
      <c r="E5">
        <v>168</v>
      </c>
      <c r="F5" s="7">
        <f t="shared" si="1"/>
        <v>0.62222222222222223</v>
      </c>
      <c r="I5">
        <v>212</v>
      </c>
      <c r="J5" s="7">
        <f t="shared" si="2"/>
        <v>0.78518518518518521</v>
      </c>
    </row>
    <row r="6" spans="1:10" x14ac:dyDescent="0.25">
      <c r="A6" t="s">
        <v>63</v>
      </c>
      <c r="B6">
        <v>134</v>
      </c>
      <c r="C6" s="7">
        <f t="shared" si="0"/>
        <v>0.49629629629629629</v>
      </c>
      <c r="D6" t="s">
        <v>63</v>
      </c>
      <c r="E6">
        <v>167</v>
      </c>
      <c r="F6" s="7">
        <f t="shared" si="1"/>
        <v>0.61851851851851847</v>
      </c>
      <c r="I6">
        <v>218</v>
      </c>
      <c r="J6" s="7">
        <f t="shared" si="2"/>
        <v>0.80740740740740746</v>
      </c>
    </row>
    <row r="7" spans="1:10" x14ac:dyDescent="0.25">
      <c r="A7" t="s">
        <v>63</v>
      </c>
      <c r="B7">
        <v>133</v>
      </c>
      <c r="C7" s="7">
        <f t="shared" si="0"/>
        <v>0.49259259259259258</v>
      </c>
      <c r="D7" t="s">
        <v>63</v>
      </c>
      <c r="E7">
        <v>167</v>
      </c>
      <c r="F7" s="7">
        <f t="shared" si="1"/>
        <v>0.61851851851851847</v>
      </c>
      <c r="I7">
        <v>216</v>
      </c>
      <c r="J7" s="7">
        <f t="shared" si="2"/>
        <v>0.8</v>
      </c>
    </row>
    <row r="8" spans="1:10" x14ac:dyDescent="0.25">
      <c r="A8" t="s">
        <v>63</v>
      </c>
      <c r="B8">
        <v>131</v>
      </c>
      <c r="C8" s="7">
        <f t="shared" si="0"/>
        <v>0.48518518518518516</v>
      </c>
      <c r="D8" t="s">
        <v>63</v>
      </c>
      <c r="E8">
        <v>167</v>
      </c>
      <c r="F8" s="7">
        <f t="shared" si="1"/>
        <v>0.61851851851851847</v>
      </c>
      <c r="I8">
        <v>205</v>
      </c>
      <c r="J8" s="7">
        <f t="shared" si="2"/>
        <v>0.7592592592592593</v>
      </c>
    </row>
    <row r="9" spans="1:10" x14ac:dyDescent="0.25">
      <c r="A9" t="s">
        <v>63</v>
      </c>
      <c r="B9">
        <v>134</v>
      </c>
      <c r="C9" s="7">
        <f t="shared" si="0"/>
        <v>0.49629629629629629</v>
      </c>
      <c r="D9" t="s">
        <v>63</v>
      </c>
      <c r="E9">
        <v>170</v>
      </c>
      <c r="F9" s="7">
        <f t="shared" si="1"/>
        <v>0.62962962962962965</v>
      </c>
      <c r="I9">
        <v>216</v>
      </c>
      <c r="J9" s="7">
        <f t="shared" si="2"/>
        <v>0.8</v>
      </c>
    </row>
    <row r="10" spans="1:10" x14ac:dyDescent="0.25">
      <c r="A10" t="s">
        <v>63</v>
      </c>
      <c r="B10">
        <v>133</v>
      </c>
      <c r="C10" s="7">
        <f t="shared" si="0"/>
        <v>0.49259259259259258</v>
      </c>
      <c r="D10" t="s">
        <v>63</v>
      </c>
      <c r="E10">
        <v>169</v>
      </c>
      <c r="F10" s="7">
        <f t="shared" si="1"/>
        <v>0.62592592592592589</v>
      </c>
      <c r="I10">
        <v>219</v>
      </c>
      <c r="J10" s="7">
        <f t="shared" si="2"/>
        <v>0.81111111111111112</v>
      </c>
    </row>
    <row r="11" spans="1:10" x14ac:dyDescent="0.25">
      <c r="A11" t="s">
        <v>63</v>
      </c>
      <c r="B11">
        <v>134</v>
      </c>
      <c r="C11" s="7">
        <f t="shared" si="0"/>
        <v>0.49629629629629629</v>
      </c>
      <c r="D11" t="s">
        <v>63</v>
      </c>
      <c r="E11">
        <v>171</v>
      </c>
      <c r="F11" s="7">
        <f t="shared" si="1"/>
        <v>0.6333333333333333</v>
      </c>
      <c r="I11">
        <v>211</v>
      </c>
      <c r="J11" s="7">
        <f t="shared" si="2"/>
        <v>0.78148148148148144</v>
      </c>
    </row>
    <row r="12" spans="1:10" x14ac:dyDescent="0.25">
      <c r="A12" t="s">
        <v>63</v>
      </c>
      <c r="B12">
        <v>134</v>
      </c>
      <c r="C12" s="7">
        <f t="shared" si="0"/>
        <v>0.49629629629629629</v>
      </c>
      <c r="D12" t="s">
        <v>63</v>
      </c>
      <c r="E12">
        <v>167</v>
      </c>
      <c r="F12" s="7">
        <f t="shared" si="1"/>
        <v>0.61851851851851847</v>
      </c>
      <c r="I12">
        <v>221</v>
      </c>
      <c r="J12" s="7">
        <f t="shared" si="2"/>
        <v>0.81851851851851853</v>
      </c>
    </row>
    <row r="13" spans="1:10" x14ac:dyDescent="0.25">
      <c r="A13" t="s">
        <v>63</v>
      </c>
      <c r="B13">
        <v>134</v>
      </c>
      <c r="C13" s="7">
        <f t="shared" si="0"/>
        <v>0.49629629629629629</v>
      </c>
      <c r="D13" t="s">
        <v>63</v>
      </c>
      <c r="E13">
        <v>173</v>
      </c>
      <c r="F13" s="7">
        <f t="shared" si="1"/>
        <v>0.64074074074074072</v>
      </c>
      <c r="I13">
        <v>219</v>
      </c>
      <c r="J13" s="7">
        <f t="shared" si="2"/>
        <v>0.81111111111111112</v>
      </c>
    </row>
    <row r="14" spans="1:10" x14ac:dyDescent="0.25">
      <c r="A14" t="s">
        <v>63</v>
      </c>
      <c r="B14">
        <v>131</v>
      </c>
      <c r="C14" s="7">
        <f t="shared" si="0"/>
        <v>0.48518518518518516</v>
      </c>
      <c r="D14" t="s">
        <v>63</v>
      </c>
      <c r="E14">
        <v>166</v>
      </c>
      <c r="F14" s="7">
        <f t="shared" si="1"/>
        <v>0.61481481481481481</v>
      </c>
      <c r="I14">
        <v>202</v>
      </c>
      <c r="J14" s="7">
        <f t="shared" si="2"/>
        <v>0.74814814814814812</v>
      </c>
    </row>
    <row r="15" spans="1:10" x14ac:dyDescent="0.25">
      <c r="A15" t="s">
        <v>63</v>
      </c>
      <c r="B15">
        <v>132</v>
      </c>
      <c r="C15" s="7">
        <f t="shared" si="0"/>
        <v>0.48888888888888887</v>
      </c>
      <c r="D15" t="s">
        <v>63</v>
      </c>
      <c r="E15">
        <v>173</v>
      </c>
      <c r="F15" s="7">
        <f t="shared" si="1"/>
        <v>0.64074074074074072</v>
      </c>
      <c r="I15">
        <v>220</v>
      </c>
      <c r="J15" s="7">
        <f t="shared" si="2"/>
        <v>0.81481481481481477</v>
      </c>
    </row>
    <row r="16" spans="1:10" x14ac:dyDescent="0.25">
      <c r="A16" t="s">
        <v>63</v>
      </c>
      <c r="B16">
        <v>134</v>
      </c>
      <c r="C16" s="7">
        <f t="shared" si="0"/>
        <v>0.49629629629629629</v>
      </c>
      <c r="D16" t="s">
        <v>63</v>
      </c>
      <c r="E16">
        <v>161</v>
      </c>
      <c r="F16" s="7">
        <f t="shared" si="1"/>
        <v>0.59629629629629632</v>
      </c>
      <c r="I16">
        <v>216</v>
      </c>
      <c r="J16" s="7">
        <f t="shared" si="2"/>
        <v>0.8</v>
      </c>
    </row>
    <row r="17" spans="1:10" x14ac:dyDescent="0.25">
      <c r="A17" t="s">
        <v>63</v>
      </c>
      <c r="B17">
        <v>140</v>
      </c>
      <c r="C17" s="7">
        <f t="shared" si="0"/>
        <v>0.51851851851851849</v>
      </c>
      <c r="D17" t="s">
        <v>63</v>
      </c>
      <c r="E17">
        <v>166</v>
      </c>
      <c r="F17" s="7">
        <f t="shared" si="1"/>
        <v>0.61481481481481481</v>
      </c>
      <c r="I17">
        <v>218</v>
      </c>
      <c r="J17" s="7">
        <f t="shared" si="2"/>
        <v>0.80740740740740746</v>
      </c>
    </row>
    <row r="18" spans="1:10" x14ac:dyDescent="0.25">
      <c r="A18" t="s">
        <v>63</v>
      </c>
      <c r="B18">
        <v>131</v>
      </c>
      <c r="C18" s="7">
        <f t="shared" si="0"/>
        <v>0.48518518518518516</v>
      </c>
      <c r="D18" t="s">
        <v>63</v>
      </c>
      <c r="E18">
        <v>163</v>
      </c>
      <c r="F18" s="7">
        <f t="shared" si="1"/>
        <v>0.60370370370370374</v>
      </c>
      <c r="I18">
        <v>214</v>
      </c>
      <c r="J18" s="7">
        <f t="shared" si="2"/>
        <v>0.79259259259259263</v>
      </c>
    </row>
    <row r="19" spans="1:10" x14ac:dyDescent="0.25">
      <c r="A19" t="s">
        <v>63</v>
      </c>
      <c r="B19">
        <v>132</v>
      </c>
      <c r="C19" s="7">
        <f t="shared" si="0"/>
        <v>0.48888888888888887</v>
      </c>
      <c r="D19" t="s">
        <v>63</v>
      </c>
      <c r="E19">
        <v>168</v>
      </c>
      <c r="F19" s="7">
        <f t="shared" si="1"/>
        <v>0.62222222222222223</v>
      </c>
      <c r="I19">
        <v>210</v>
      </c>
      <c r="J19" s="7">
        <f t="shared" si="2"/>
        <v>0.77777777777777779</v>
      </c>
    </row>
    <row r="20" spans="1:10" x14ac:dyDescent="0.25">
      <c r="A20" t="s">
        <v>63</v>
      </c>
      <c r="B20">
        <v>133</v>
      </c>
      <c r="C20" s="7">
        <f t="shared" si="0"/>
        <v>0.49259259259259258</v>
      </c>
      <c r="D20" t="s">
        <v>63</v>
      </c>
      <c r="E20">
        <v>169</v>
      </c>
      <c r="F20" s="7">
        <f t="shared" si="1"/>
        <v>0.62592592592592589</v>
      </c>
      <c r="I20">
        <v>215</v>
      </c>
      <c r="J20" s="7">
        <f t="shared" si="2"/>
        <v>0.79629629629629628</v>
      </c>
    </row>
    <row r="21" spans="1:10" x14ac:dyDescent="0.25">
      <c r="A21" t="s">
        <v>63</v>
      </c>
      <c r="B21">
        <v>140</v>
      </c>
      <c r="C21" s="7">
        <f t="shared" si="0"/>
        <v>0.51851851851851849</v>
      </c>
      <c r="D21" t="s">
        <v>63</v>
      </c>
      <c r="E21">
        <v>167</v>
      </c>
      <c r="F21" s="7">
        <f t="shared" si="1"/>
        <v>0.61851851851851847</v>
      </c>
      <c r="I21">
        <v>207</v>
      </c>
      <c r="J21" s="7">
        <f t="shared" si="2"/>
        <v>0.76666666666666672</v>
      </c>
    </row>
    <row r="23" spans="1:10" x14ac:dyDescent="0.25">
      <c r="C23" s="17">
        <f>AVERAGE(C2:C22)</f>
        <v>0.49722222222222212</v>
      </c>
      <c r="F23" s="17">
        <f>AVERAGE(F2:F22)</f>
        <v>0.62185185185185199</v>
      </c>
      <c r="J23" s="17">
        <f>AVERAGE(J2:J22)</f>
        <v>0.7970370370370371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LIME kernels</vt:lpstr>
      <vt:lpstr>sensit</vt:lpstr>
      <vt:lpstr>Sheet1</vt:lpstr>
      <vt:lpstr>Batch 15</vt:lpstr>
      <vt:lpstr>Counter Batch</vt:lpstr>
      <vt:lpstr>LIME</vt:lpstr>
      <vt:lpstr>IRIS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 White</cp:lastModifiedBy>
  <dcterms:created xsi:type="dcterms:W3CDTF">2019-03-22T14:21:57Z</dcterms:created>
  <dcterms:modified xsi:type="dcterms:W3CDTF">2019-09-02T00:45:38Z</dcterms:modified>
</cp:coreProperties>
</file>