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yst\Desktop\Studia\Semestr_3\Fizyka3_1\laboratoria4\"/>
    </mc:Choice>
  </mc:AlternateContent>
  <xr:revisionPtr revIDLastSave="0" documentId="13_ncr:1_{EDA925AD-264B-4479-9EE3-B8170C3FF9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B41" i="1"/>
  <c r="A44" i="1"/>
  <c r="F44" i="1"/>
  <c r="E44" i="1"/>
  <c r="D44" i="1"/>
  <c r="E41" i="1"/>
  <c r="D41" i="1"/>
  <c r="A41" i="1"/>
  <c r="B22" i="1" a="1"/>
  <c r="B22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3" i="1"/>
  <c r="L4" i="1"/>
  <c r="G22" i="1"/>
  <c r="G21" i="1"/>
  <c r="G3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F3" i="1"/>
  <c r="F3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2" i="1"/>
  <c r="F33" i="1"/>
  <c r="F34" i="1"/>
  <c r="F35" i="1"/>
  <c r="F36" i="1"/>
  <c r="F37" i="1"/>
  <c r="F38" i="1"/>
  <c r="F39" i="1"/>
  <c r="C32" i="1" l="1"/>
  <c r="A32" i="1"/>
  <c r="B31" i="1"/>
  <c r="B30" i="1"/>
  <c r="I3" i="1"/>
  <c r="A36" i="1" l="1"/>
  <c r="B32" i="1"/>
  <c r="B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<sst xmlns="http://schemas.openxmlformats.org/spreadsheetml/2006/main" count="61" uniqueCount="48">
  <si>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zakres</t>
  </si>
  <si>
    <t>klasa</t>
  </si>
  <si>
    <t>amperomierz</t>
  </si>
  <si>
    <t>u(Is)</t>
  </si>
  <si>
    <t>woltomierz</t>
  </si>
  <si>
    <t>Bn</t>
  </si>
  <si>
    <t>uc(Bn)</t>
  </si>
  <si>
    <t>u(Uh)</t>
  </si>
  <si>
    <t>α</t>
  </si>
  <si>
    <t>u(α)</t>
  </si>
  <si>
    <t>Is [mA]</t>
  </si>
  <si>
    <t>200mV</t>
  </si>
  <si>
    <t>METEX M-4660A</t>
  </si>
  <si>
    <t>15mA</t>
  </si>
  <si>
    <t xml:space="preserve">  ƴb</t>
  </si>
  <si>
    <t>n</t>
  </si>
  <si>
    <t xml:space="preserve"> uc( ƴb)</t>
  </si>
  <si>
    <t>uc(n)</t>
  </si>
  <si>
    <t>[T]</t>
  </si>
  <si>
    <t>[A]</t>
  </si>
  <si>
    <t>[mV]</t>
  </si>
  <si>
    <t>Uh</t>
  </si>
  <si>
    <t>[⁰]</t>
  </si>
  <si>
    <t>[𝑉/(𝐴⋅𝑇)]</t>
  </si>
  <si>
    <r>
      <t>[1/m^3]</t>
    </r>
    <r>
      <rPr>
        <sz val="11"/>
        <color theme="1"/>
        <rFont val="Calibri"/>
        <family val="2"/>
        <charset val="238"/>
      </rPr>
      <t xml:space="preserve"> </t>
    </r>
  </si>
  <si>
    <t>B0</t>
  </si>
  <si>
    <t>130-240</t>
  </si>
  <si>
    <t>ΔUh</t>
  </si>
  <si>
    <t>Δα</t>
  </si>
  <si>
    <t>Sα[V/⁰]</t>
  </si>
  <si>
    <t>u(Sα)[V/⁰]</t>
  </si>
  <si>
    <t>RĘKI NIE DAJE ŻE TO JEST DOBRZE</t>
  </si>
  <si>
    <t>[rad]</t>
  </si>
  <si>
    <t>α0[</t>
  </si>
  <si>
    <t>u(B0)</t>
  </si>
  <si>
    <t>Regresja</t>
  </si>
  <si>
    <t>a</t>
  </si>
  <si>
    <t>u(a)</t>
  </si>
  <si>
    <t>b</t>
  </si>
  <si>
    <t>u(b)</t>
  </si>
  <si>
    <t>R^2</t>
  </si>
  <si>
    <t>[V]</t>
  </si>
  <si>
    <t>ƴ=Uh/(Is*Bn)</t>
  </si>
  <si>
    <t>ƴ z regresji</t>
  </si>
  <si>
    <t>u(ƴ)</t>
  </si>
  <si>
    <t>e</t>
  </si>
  <si>
    <t>d</t>
  </si>
  <si>
    <t>u(d)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</si>
</sst>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6" formatCode="0.00000"/>
    <numFmt numFmtId="167" formatCode="0.0000"/>
    <numFmt numFmtId="168" formatCode="0.000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Garamond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2" fillId="0" borderId="9" xfId="0" applyFont="1" applyBorder="1"/>
    <xf numFmtId="167" fontId="0" fillId="0" borderId="9" xfId="0" applyNumberFormat="1" applyBorder="1"/>
    <xf numFmtId="164" fontId="0" fillId="0" borderId="9" xfId="0" applyNumberFormat="1" applyBorder="1"/>
    <xf numFmtId="0" fontId="0" fillId="2" borderId="9" xfId="0" applyFill="1" applyBorder="1"/>
    <xf numFmtId="0" fontId="0" fillId="3" borderId="0" xfId="0" applyFill="1"/>
    <xf numFmtId="166" fontId="0" fillId="0" borderId="9" xfId="0" applyNumberFormat="1" applyBorder="1"/>
    <xf numFmtId="168" fontId="0" fillId="0" borderId="9" xfId="0" applyNumberFormat="1" applyBorder="1"/>
    <xf numFmtId="2" fontId="0" fillId="0" borderId="9" xfId="0" applyNumberFormat="1" applyBorder="1"/>
    <xf numFmtId="2" fontId="0" fillId="2" borderId="9" xfId="0" applyNumberFormat="1" applyFill="1" applyBorder="1"/>
    <xf numFmtId="168" fontId="0" fillId="2" borderId="9" xfId="0" applyNumberFormat="1" applyFill="1" applyBorder="1"/>
    <xf numFmtId="167" fontId="0" fillId="2" borderId="9" xfId="0" applyNumberFormat="1" applyFill="1" applyBorder="1"/>
    <xf numFmtId="2" fontId="0" fillId="0" borderId="0" xfId="0" applyNumberFormat="1"/>
    <xf numFmtId="169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zależności napięcia Halla od kąta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467489483108434E-2"/>
          <c:y val="0.14950537031749414"/>
          <c:w val="0.92594360761651329"/>
          <c:h val="0.836288307986455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Arkusz1!$O$3</c:f>
                <c:numCache>
                  <c:formatCode>General</c:formatCode>
                  <c:ptCount val="1"/>
                  <c:pt idx="0">
                    <c:v>2.5</c:v>
                  </c:pt>
                </c:numCache>
              </c:numRef>
            </c:plus>
            <c:minus>
              <c:numRef>
                <c:f>Arkusz1!$O$3</c:f>
                <c:numCache>
                  <c:formatCode>General</c:formatCode>
                  <c:ptCount val="1"/>
                  <c:pt idx="0">
                    <c:v>2.5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Arkusz1!$L$3:$L$39</c:f>
                <c:numCache>
                  <c:formatCode>General</c:formatCode>
                  <c:ptCount val="37"/>
                  <c:pt idx="0">
                    <c:v>-1.2E-4</c:v>
                  </c:pt>
                  <c:pt idx="1">
                    <c:v>-1.6000000000000001E-3</c:v>
                  </c:pt>
                  <c:pt idx="2">
                    <c:v>-3.1000000000000003E-3</c:v>
                  </c:pt>
                  <c:pt idx="3">
                    <c:v>-4.5999999999999999E-3</c:v>
                  </c:pt>
                  <c:pt idx="4">
                    <c:v>-5.8999999999999999E-3</c:v>
                  </c:pt>
                  <c:pt idx="5">
                    <c:v>-7.0000000000000001E-3</c:v>
                  </c:pt>
                  <c:pt idx="6">
                    <c:v>-7.9000000000000008E-3</c:v>
                  </c:pt>
                  <c:pt idx="7">
                    <c:v>-8.6E-3</c:v>
                  </c:pt>
                  <c:pt idx="8">
                    <c:v>-9.1000000000000004E-3</c:v>
                  </c:pt>
                  <c:pt idx="9">
                    <c:v>-9.1999999999999998E-3</c:v>
                  </c:pt>
                  <c:pt idx="10">
                    <c:v>-9.1999999999999998E-3</c:v>
                  </c:pt>
                  <c:pt idx="11">
                    <c:v>-8.8999999999999999E-3</c:v>
                  </c:pt>
                  <c:pt idx="12">
                    <c:v>-8.3000000000000001E-3</c:v>
                  </c:pt>
                  <c:pt idx="13">
                    <c:v>-7.5000000000000006E-3</c:v>
                  </c:pt>
                  <c:pt idx="14">
                    <c:v>-6.5000000000000006E-3</c:v>
                  </c:pt>
                  <c:pt idx="15">
                    <c:v>-5.2000000000000006E-3</c:v>
                  </c:pt>
                  <c:pt idx="16">
                    <c:v>-3.8E-3</c:v>
                  </c:pt>
                  <c:pt idx="17">
                    <c:v>-2.3E-3</c:v>
                  </c:pt>
                  <c:pt idx="18">
                    <c:v>-6.9999999999999999E-4</c:v>
                  </c:pt>
                  <c:pt idx="19">
                    <c:v>9.0000000000000008E-4</c:v>
                  </c:pt>
                  <c:pt idx="20">
                    <c:v>2.4000000000000002E-3</c:v>
                  </c:pt>
                  <c:pt idx="21">
                    <c:v>3.9000000000000003E-3</c:v>
                  </c:pt>
                  <c:pt idx="22">
                    <c:v>5.2000000000000006E-3</c:v>
                  </c:pt>
                  <c:pt idx="23">
                    <c:v>6.3E-3</c:v>
                  </c:pt>
                  <c:pt idx="24">
                    <c:v>7.2000000000000007E-3</c:v>
                  </c:pt>
                  <c:pt idx="25">
                    <c:v>7.8000000000000005E-3</c:v>
                  </c:pt>
                  <c:pt idx="26">
                    <c:v>8.3000000000000001E-3</c:v>
                  </c:pt>
                  <c:pt idx="27">
                    <c:v>8.4000000000000012E-3</c:v>
                  </c:pt>
                  <c:pt idx="28">
                    <c:v>8.4000000000000012E-3</c:v>
                  </c:pt>
                  <c:pt idx="29">
                    <c:v>8.0999999999999996E-3</c:v>
                  </c:pt>
                  <c:pt idx="30">
                    <c:v>7.6E-3</c:v>
                  </c:pt>
                  <c:pt idx="31">
                    <c:v>6.7000000000000002E-3</c:v>
                  </c:pt>
                  <c:pt idx="32">
                    <c:v>5.7000000000000002E-3</c:v>
                  </c:pt>
                  <c:pt idx="33">
                    <c:v>4.5000000000000005E-3</c:v>
                  </c:pt>
                  <c:pt idx="34">
                    <c:v>3.1000000000000003E-3</c:v>
                  </c:pt>
                  <c:pt idx="35">
                    <c:v>1.6000000000000001E-3</c:v>
                  </c:pt>
                  <c:pt idx="36">
                    <c:v>3.4999999999999999E-6</c:v>
                  </c:pt>
                </c:numCache>
              </c:numRef>
            </c:plus>
            <c:minus>
              <c:numRef>
                <c:f>Arkusz1!$L$3:$L$39</c:f>
                <c:numCache>
                  <c:formatCode>General</c:formatCode>
                  <c:ptCount val="37"/>
                  <c:pt idx="0">
                    <c:v>-1.2E-4</c:v>
                  </c:pt>
                  <c:pt idx="1">
                    <c:v>-1.6000000000000001E-3</c:v>
                  </c:pt>
                  <c:pt idx="2">
                    <c:v>-3.1000000000000003E-3</c:v>
                  </c:pt>
                  <c:pt idx="3">
                    <c:v>-4.5999999999999999E-3</c:v>
                  </c:pt>
                  <c:pt idx="4">
                    <c:v>-5.8999999999999999E-3</c:v>
                  </c:pt>
                  <c:pt idx="5">
                    <c:v>-7.0000000000000001E-3</c:v>
                  </c:pt>
                  <c:pt idx="6">
                    <c:v>-7.9000000000000008E-3</c:v>
                  </c:pt>
                  <c:pt idx="7">
                    <c:v>-8.6E-3</c:v>
                  </c:pt>
                  <c:pt idx="8">
                    <c:v>-9.1000000000000004E-3</c:v>
                  </c:pt>
                  <c:pt idx="9">
                    <c:v>-9.1999999999999998E-3</c:v>
                  </c:pt>
                  <c:pt idx="10">
                    <c:v>-9.1999999999999998E-3</c:v>
                  </c:pt>
                  <c:pt idx="11">
                    <c:v>-8.8999999999999999E-3</c:v>
                  </c:pt>
                  <c:pt idx="12">
                    <c:v>-8.3000000000000001E-3</c:v>
                  </c:pt>
                  <c:pt idx="13">
                    <c:v>-7.5000000000000006E-3</c:v>
                  </c:pt>
                  <c:pt idx="14">
                    <c:v>-6.5000000000000006E-3</c:v>
                  </c:pt>
                  <c:pt idx="15">
                    <c:v>-5.2000000000000006E-3</c:v>
                  </c:pt>
                  <c:pt idx="16">
                    <c:v>-3.8E-3</c:v>
                  </c:pt>
                  <c:pt idx="17">
                    <c:v>-2.3E-3</c:v>
                  </c:pt>
                  <c:pt idx="18">
                    <c:v>-6.9999999999999999E-4</c:v>
                  </c:pt>
                  <c:pt idx="19">
                    <c:v>9.0000000000000008E-4</c:v>
                  </c:pt>
                  <c:pt idx="20">
                    <c:v>2.4000000000000002E-3</c:v>
                  </c:pt>
                  <c:pt idx="21">
                    <c:v>3.9000000000000003E-3</c:v>
                  </c:pt>
                  <c:pt idx="22">
                    <c:v>5.2000000000000006E-3</c:v>
                  </c:pt>
                  <c:pt idx="23">
                    <c:v>6.3E-3</c:v>
                  </c:pt>
                  <c:pt idx="24">
                    <c:v>7.2000000000000007E-3</c:v>
                  </c:pt>
                  <c:pt idx="25">
                    <c:v>7.8000000000000005E-3</c:v>
                  </c:pt>
                  <c:pt idx="26">
                    <c:v>8.3000000000000001E-3</c:v>
                  </c:pt>
                  <c:pt idx="27">
                    <c:v>8.4000000000000012E-3</c:v>
                  </c:pt>
                  <c:pt idx="28">
                    <c:v>8.4000000000000012E-3</c:v>
                  </c:pt>
                  <c:pt idx="29">
                    <c:v>8.0999999999999996E-3</c:v>
                  </c:pt>
                  <c:pt idx="30">
                    <c:v>7.6E-3</c:v>
                  </c:pt>
                  <c:pt idx="31">
                    <c:v>6.7000000000000002E-3</c:v>
                  </c:pt>
                  <c:pt idx="32">
                    <c:v>5.7000000000000002E-3</c:v>
                  </c:pt>
                  <c:pt idx="33">
                    <c:v>4.5000000000000005E-3</c:v>
                  </c:pt>
                  <c:pt idx="34">
                    <c:v>3.1000000000000003E-3</c:v>
                  </c:pt>
                  <c:pt idx="35">
                    <c:v>1.6000000000000001E-3</c:v>
                  </c:pt>
                  <c:pt idx="36">
                    <c:v>3.4999999999999999E-6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Arkusz1!$M$3:$M$39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Arkusz1!$J$3:$J$39</c:f>
              <c:numCache>
                <c:formatCode>General</c:formatCode>
                <c:ptCount val="37"/>
                <c:pt idx="0">
                  <c:v>-0.13</c:v>
                </c:pt>
                <c:pt idx="1">
                  <c:v>-18.829999999999998</c:v>
                </c:pt>
                <c:pt idx="2">
                  <c:v>-36.020000000000003</c:v>
                </c:pt>
                <c:pt idx="3">
                  <c:v>-53.52</c:v>
                </c:pt>
                <c:pt idx="4">
                  <c:v>-68.64</c:v>
                </c:pt>
                <c:pt idx="5">
                  <c:v>-81.3</c:v>
                </c:pt>
                <c:pt idx="6">
                  <c:v>-92.05</c:v>
                </c:pt>
                <c:pt idx="7">
                  <c:v>-100.12</c:v>
                </c:pt>
                <c:pt idx="8">
                  <c:v>-105.12</c:v>
                </c:pt>
                <c:pt idx="9">
                  <c:v>-107.36</c:v>
                </c:pt>
                <c:pt idx="10">
                  <c:v>-106.55</c:v>
                </c:pt>
                <c:pt idx="11">
                  <c:v>-102.97</c:v>
                </c:pt>
                <c:pt idx="12">
                  <c:v>-96.53</c:v>
                </c:pt>
                <c:pt idx="13">
                  <c:v>-87.18</c:v>
                </c:pt>
                <c:pt idx="14">
                  <c:v>-75.08</c:v>
                </c:pt>
                <c:pt idx="15">
                  <c:v>-60.8</c:v>
                </c:pt>
                <c:pt idx="16">
                  <c:v>-44.45</c:v>
                </c:pt>
                <c:pt idx="17">
                  <c:v>-27.06</c:v>
                </c:pt>
                <c:pt idx="18">
                  <c:v>-8.49</c:v>
                </c:pt>
                <c:pt idx="19">
                  <c:v>9.75</c:v>
                </c:pt>
                <c:pt idx="20">
                  <c:v>27.32</c:v>
                </c:pt>
                <c:pt idx="21">
                  <c:v>44.05</c:v>
                </c:pt>
                <c:pt idx="22">
                  <c:v>59.32</c:v>
                </c:pt>
                <c:pt idx="23">
                  <c:v>72.31</c:v>
                </c:pt>
                <c:pt idx="24">
                  <c:v>82.6</c:v>
                </c:pt>
                <c:pt idx="25">
                  <c:v>90.05</c:v>
                </c:pt>
                <c:pt idx="26">
                  <c:v>94.99</c:v>
                </c:pt>
                <c:pt idx="27">
                  <c:v>96.93</c:v>
                </c:pt>
                <c:pt idx="28">
                  <c:v>96.03</c:v>
                </c:pt>
                <c:pt idx="29">
                  <c:v>92.45</c:v>
                </c:pt>
                <c:pt idx="30">
                  <c:v>87.03</c:v>
                </c:pt>
                <c:pt idx="31">
                  <c:v>76.650000000000006</c:v>
                </c:pt>
                <c:pt idx="32">
                  <c:v>64.77</c:v>
                </c:pt>
                <c:pt idx="33">
                  <c:v>51.36</c:v>
                </c:pt>
                <c:pt idx="34">
                  <c:v>35.21</c:v>
                </c:pt>
                <c:pt idx="35">
                  <c:v>17.57</c:v>
                </c:pt>
                <c:pt idx="36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4F-4533-B5C5-9F474F7D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72000"/>
        <c:axId val="660379360"/>
      </c:scatterChart>
      <c:valAx>
        <c:axId val="5191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α</a:t>
                </a:r>
                <a:r>
                  <a:rPr lang="pl-PL"/>
                  <a:t>[⁰]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379360"/>
        <c:crosses val="autoZero"/>
        <c:crossBetween val="midCat"/>
      </c:valAx>
      <c:valAx>
        <c:axId val="6603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Uh=f(Bn)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Arkusz1!$G$3:$G$39</c:f>
                <c:numCache>
                  <c:formatCode>General</c:formatCode>
                  <c:ptCount val="37"/>
                  <c:pt idx="0">
                    <c:v>4.4000000000000003E-3</c:v>
                  </c:pt>
                  <c:pt idx="1">
                    <c:v>4.4000000000000003E-3</c:v>
                  </c:pt>
                  <c:pt idx="2">
                    <c:v>1.3000000000000001E-2</c:v>
                  </c:pt>
                  <c:pt idx="3">
                    <c:v>2.1999999999999999E-2</c:v>
                  </c:pt>
                  <c:pt idx="4">
                    <c:v>2.9000000000000001E-2</c:v>
                  </c:pt>
                  <c:pt idx="5">
                    <c:v>3.6000000000000004E-2</c:v>
                  </c:pt>
                  <c:pt idx="6">
                    <c:v>4.1000000000000002E-2</c:v>
                  </c:pt>
                  <c:pt idx="7">
                    <c:v>4.5999999999999999E-2</c:v>
                  </c:pt>
                  <c:pt idx="8">
                    <c:v>4.9000000000000002E-2</c:v>
                  </c:pt>
                  <c:pt idx="9">
                    <c:v>0.05</c:v>
                  </c:pt>
                  <c:pt idx="10">
                    <c:v>0.05</c:v>
                  </c:pt>
                  <c:pt idx="11">
                    <c:v>4.9000000000000002E-2</c:v>
                  </c:pt>
                  <c:pt idx="12">
                    <c:v>4.5999999999999999E-2</c:v>
                  </c:pt>
                  <c:pt idx="13">
                    <c:v>4.1000000000000002E-2</c:v>
                  </c:pt>
                  <c:pt idx="14">
                    <c:v>3.6000000000000004E-2</c:v>
                  </c:pt>
                  <c:pt idx="15">
                    <c:v>2.9000000000000001E-2</c:v>
                  </c:pt>
                  <c:pt idx="16">
                    <c:v>2.1999999999999999E-2</c:v>
                  </c:pt>
                  <c:pt idx="17">
                    <c:v>1.3000000000000001E-2</c:v>
                  </c:pt>
                  <c:pt idx="18">
                    <c:v>4.4000000000000003E-3</c:v>
                  </c:pt>
                  <c:pt idx="19">
                    <c:v>4.4000000000000003E-3</c:v>
                  </c:pt>
                  <c:pt idx="20">
                    <c:v>1.3000000000000001E-2</c:v>
                  </c:pt>
                  <c:pt idx="21">
                    <c:v>2.1999999999999999E-2</c:v>
                  </c:pt>
                  <c:pt idx="22">
                    <c:v>2.9000000000000001E-2</c:v>
                  </c:pt>
                  <c:pt idx="23">
                    <c:v>3.6000000000000004E-2</c:v>
                  </c:pt>
                  <c:pt idx="24">
                    <c:v>4.1000000000000002E-2</c:v>
                  </c:pt>
                  <c:pt idx="25">
                    <c:v>4.5999999999999999E-2</c:v>
                  </c:pt>
                  <c:pt idx="26">
                    <c:v>4.9000000000000002E-2</c:v>
                  </c:pt>
                  <c:pt idx="27">
                    <c:v>0.05</c:v>
                  </c:pt>
                  <c:pt idx="28">
                    <c:v>0.05</c:v>
                  </c:pt>
                  <c:pt idx="29">
                    <c:v>4.9000000000000002E-2</c:v>
                  </c:pt>
                  <c:pt idx="30">
                    <c:v>4.5999999999999999E-2</c:v>
                  </c:pt>
                  <c:pt idx="31">
                    <c:v>4.1000000000000002E-2</c:v>
                  </c:pt>
                  <c:pt idx="32">
                    <c:v>3.6000000000000004E-2</c:v>
                  </c:pt>
                  <c:pt idx="33">
                    <c:v>2.9000000000000001E-2</c:v>
                  </c:pt>
                  <c:pt idx="34">
                    <c:v>2.1999999999999999E-2</c:v>
                  </c:pt>
                  <c:pt idx="35">
                    <c:v>1.3000000000000001E-2</c:v>
                  </c:pt>
                  <c:pt idx="36">
                    <c:v>4.4000000000000003E-3</c:v>
                  </c:pt>
                </c:numCache>
              </c:numRef>
            </c:plus>
            <c:minus>
              <c:numRef>
                <c:f>Arkusz1!$G$3:$G$39</c:f>
                <c:numCache>
                  <c:formatCode>General</c:formatCode>
                  <c:ptCount val="37"/>
                  <c:pt idx="0">
                    <c:v>4.4000000000000003E-3</c:v>
                  </c:pt>
                  <c:pt idx="1">
                    <c:v>4.4000000000000003E-3</c:v>
                  </c:pt>
                  <c:pt idx="2">
                    <c:v>1.3000000000000001E-2</c:v>
                  </c:pt>
                  <c:pt idx="3">
                    <c:v>2.1999999999999999E-2</c:v>
                  </c:pt>
                  <c:pt idx="4">
                    <c:v>2.9000000000000001E-2</c:v>
                  </c:pt>
                  <c:pt idx="5">
                    <c:v>3.6000000000000004E-2</c:v>
                  </c:pt>
                  <c:pt idx="6">
                    <c:v>4.1000000000000002E-2</c:v>
                  </c:pt>
                  <c:pt idx="7">
                    <c:v>4.5999999999999999E-2</c:v>
                  </c:pt>
                  <c:pt idx="8">
                    <c:v>4.9000000000000002E-2</c:v>
                  </c:pt>
                  <c:pt idx="9">
                    <c:v>0.05</c:v>
                  </c:pt>
                  <c:pt idx="10">
                    <c:v>0.05</c:v>
                  </c:pt>
                  <c:pt idx="11">
                    <c:v>4.9000000000000002E-2</c:v>
                  </c:pt>
                  <c:pt idx="12">
                    <c:v>4.5999999999999999E-2</c:v>
                  </c:pt>
                  <c:pt idx="13">
                    <c:v>4.1000000000000002E-2</c:v>
                  </c:pt>
                  <c:pt idx="14">
                    <c:v>3.6000000000000004E-2</c:v>
                  </c:pt>
                  <c:pt idx="15">
                    <c:v>2.9000000000000001E-2</c:v>
                  </c:pt>
                  <c:pt idx="16">
                    <c:v>2.1999999999999999E-2</c:v>
                  </c:pt>
                  <c:pt idx="17">
                    <c:v>1.3000000000000001E-2</c:v>
                  </c:pt>
                  <c:pt idx="18">
                    <c:v>4.4000000000000003E-3</c:v>
                  </c:pt>
                  <c:pt idx="19">
                    <c:v>4.4000000000000003E-3</c:v>
                  </c:pt>
                  <c:pt idx="20">
                    <c:v>1.3000000000000001E-2</c:v>
                  </c:pt>
                  <c:pt idx="21">
                    <c:v>2.1999999999999999E-2</c:v>
                  </c:pt>
                  <c:pt idx="22">
                    <c:v>2.9000000000000001E-2</c:v>
                  </c:pt>
                  <c:pt idx="23">
                    <c:v>3.6000000000000004E-2</c:v>
                  </c:pt>
                  <c:pt idx="24">
                    <c:v>4.1000000000000002E-2</c:v>
                  </c:pt>
                  <c:pt idx="25">
                    <c:v>4.5999999999999999E-2</c:v>
                  </c:pt>
                  <c:pt idx="26">
                    <c:v>4.9000000000000002E-2</c:v>
                  </c:pt>
                  <c:pt idx="27">
                    <c:v>0.05</c:v>
                  </c:pt>
                  <c:pt idx="28">
                    <c:v>0.05</c:v>
                  </c:pt>
                  <c:pt idx="29">
                    <c:v>4.9000000000000002E-2</c:v>
                  </c:pt>
                  <c:pt idx="30">
                    <c:v>4.5999999999999999E-2</c:v>
                  </c:pt>
                  <c:pt idx="31">
                    <c:v>4.1000000000000002E-2</c:v>
                  </c:pt>
                  <c:pt idx="32">
                    <c:v>3.6000000000000004E-2</c:v>
                  </c:pt>
                  <c:pt idx="33">
                    <c:v>2.9000000000000001E-2</c:v>
                  </c:pt>
                  <c:pt idx="34">
                    <c:v>2.1999999999999999E-2</c:v>
                  </c:pt>
                  <c:pt idx="35">
                    <c:v>1.3000000000000001E-2</c:v>
                  </c:pt>
                  <c:pt idx="36">
                    <c:v>4.4000000000000003E-3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Arkusz1!$L$3:$L$39</c:f>
                <c:numCache>
                  <c:formatCode>General</c:formatCode>
                  <c:ptCount val="37"/>
                  <c:pt idx="0">
                    <c:v>-1.2E-4</c:v>
                  </c:pt>
                  <c:pt idx="1">
                    <c:v>-1.6000000000000001E-3</c:v>
                  </c:pt>
                  <c:pt idx="2">
                    <c:v>-3.1000000000000003E-3</c:v>
                  </c:pt>
                  <c:pt idx="3">
                    <c:v>-4.5999999999999999E-3</c:v>
                  </c:pt>
                  <c:pt idx="4">
                    <c:v>-5.8999999999999999E-3</c:v>
                  </c:pt>
                  <c:pt idx="5">
                    <c:v>-7.0000000000000001E-3</c:v>
                  </c:pt>
                  <c:pt idx="6">
                    <c:v>-7.9000000000000008E-3</c:v>
                  </c:pt>
                  <c:pt idx="7">
                    <c:v>-8.6E-3</c:v>
                  </c:pt>
                  <c:pt idx="8">
                    <c:v>-9.1000000000000004E-3</c:v>
                  </c:pt>
                  <c:pt idx="9">
                    <c:v>-9.1999999999999998E-3</c:v>
                  </c:pt>
                  <c:pt idx="10">
                    <c:v>-9.1999999999999998E-3</c:v>
                  </c:pt>
                  <c:pt idx="11">
                    <c:v>-8.8999999999999999E-3</c:v>
                  </c:pt>
                  <c:pt idx="12">
                    <c:v>-8.3000000000000001E-3</c:v>
                  </c:pt>
                  <c:pt idx="13">
                    <c:v>-7.5000000000000006E-3</c:v>
                  </c:pt>
                  <c:pt idx="14">
                    <c:v>-6.5000000000000006E-3</c:v>
                  </c:pt>
                  <c:pt idx="15">
                    <c:v>-5.2000000000000006E-3</c:v>
                  </c:pt>
                  <c:pt idx="16">
                    <c:v>-3.8E-3</c:v>
                  </c:pt>
                  <c:pt idx="17">
                    <c:v>-2.3E-3</c:v>
                  </c:pt>
                  <c:pt idx="18">
                    <c:v>-6.9999999999999999E-4</c:v>
                  </c:pt>
                  <c:pt idx="19">
                    <c:v>9.0000000000000008E-4</c:v>
                  </c:pt>
                  <c:pt idx="20">
                    <c:v>2.4000000000000002E-3</c:v>
                  </c:pt>
                  <c:pt idx="21">
                    <c:v>3.9000000000000003E-3</c:v>
                  </c:pt>
                  <c:pt idx="22">
                    <c:v>5.2000000000000006E-3</c:v>
                  </c:pt>
                  <c:pt idx="23">
                    <c:v>6.3E-3</c:v>
                  </c:pt>
                  <c:pt idx="24">
                    <c:v>7.2000000000000007E-3</c:v>
                  </c:pt>
                  <c:pt idx="25">
                    <c:v>7.8000000000000005E-3</c:v>
                  </c:pt>
                  <c:pt idx="26">
                    <c:v>8.3000000000000001E-3</c:v>
                  </c:pt>
                  <c:pt idx="27">
                    <c:v>8.4000000000000012E-3</c:v>
                  </c:pt>
                  <c:pt idx="28">
                    <c:v>8.4000000000000012E-3</c:v>
                  </c:pt>
                  <c:pt idx="29">
                    <c:v>8.0999999999999996E-3</c:v>
                  </c:pt>
                  <c:pt idx="30">
                    <c:v>7.6E-3</c:v>
                  </c:pt>
                  <c:pt idx="31">
                    <c:v>6.7000000000000002E-3</c:v>
                  </c:pt>
                  <c:pt idx="32">
                    <c:v>5.7000000000000002E-3</c:v>
                  </c:pt>
                  <c:pt idx="33">
                    <c:v>4.5000000000000005E-3</c:v>
                  </c:pt>
                  <c:pt idx="34">
                    <c:v>3.1000000000000003E-3</c:v>
                  </c:pt>
                  <c:pt idx="35">
                    <c:v>1.6000000000000001E-3</c:v>
                  </c:pt>
                  <c:pt idx="36">
                    <c:v>3.4999999999999999E-6</c:v>
                  </c:pt>
                </c:numCache>
              </c:numRef>
            </c:plus>
            <c:minus>
              <c:numRef>
                <c:f>Arkusz1!$L$3:$L$39</c:f>
                <c:numCache>
                  <c:formatCode>General</c:formatCode>
                  <c:ptCount val="37"/>
                  <c:pt idx="0">
                    <c:v>-1.2E-4</c:v>
                  </c:pt>
                  <c:pt idx="1">
                    <c:v>-1.6000000000000001E-3</c:v>
                  </c:pt>
                  <c:pt idx="2">
                    <c:v>-3.1000000000000003E-3</c:v>
                  </c:pt>
                  <c:pt idx="3">
                    <c:v>-4.5999999999999999E-3</c:v>
                  </c:pt>
                  <c:pt idx="4">
                    <c:v>-5.8999999999999999E-3</c:v>
                  </c:pt>
                  <c:pt idx="5">
                    <c:v>-7.0000000000000001E-3</c:v>
                  </c:pt>
                  <c:pt idx="6">
                    <c:v>-7.9000000000000008E-3</c:v>
                  </c:pt>
                  <c:pt idx="7">
                    <c:v>-8.6E-3</c:v>
                  </c:pt>
                  <c:pt idx="8">
                    <c:v>-9.1000000000000004E-3</c:v>
                  </c:pt>
                  <c:pt idx="9">
                    <c:v>-9.1999999999999998E-3</c:v>
                  </c:pt>
                  <c:pt idx="10">
                    <c:v>-9.1999999999999998E-3</c:v>
                  </c:pt>
                  <c:pt idx="11">
                    <c:v>-8.8999999999999999E-3</c:v>
                  </c:pt>
                  <c:pt idx="12">
                    <c:v>-8.3000000000000001E-3</c:v>
                  </c:pt>
                  <c:pt idx="13">
                    <c:v>-7.5000000000000006E-3</c:v>
                  </c:pt>
                  <c:pt idx="14">
                    <c:v>-6.5000000000000006E-3</c:v>
                  </c:pt>
                  <c:pt idx="15">
                    <c:v>-5.2000000000000006E-3</c:v>
                  </c:pt>
                  <c:pt idx="16">
                    <c:v>-3.8E-3</c:v>
                  </c:pt>
                  <c:pt idx="17">
                    <c:v>-2.3E-3</c:v>
                  </c:pt>
                  <c:pt idx="18">
                    <c:v>-6.9999999999999999E-4</c:v>
                  </c:pt>
                  <c:pt idx="19">
                    <c:v>9.0000000000000008E-4</c:v>
                  </c:pt>
                  <c:pt idx="20">
                    <c:v>2.4000000000000002E-3</c:v>
                  </c:pt>
                  <c:pt idx="21">
                    <c:v>3.9000000000000003E-3</c:v>
                  </c:pt>
                  <c:pt idx="22">
                    <c:v>5.2000000000000006E-3</c:v>
                  </c:pt>
                  <c:pt idx="23">
                    <c:v>6.3E-3</c:v>
                  </c:pt>
                  <c:pt idx="24">
                    <c:v>7.2000000000000007E-3</c:v>
                  </c:pt>
                  <c:pt idx="25">
                    <c:v>7.8000000000000005E-3</c:v>
                  </c:pt>
                  <c:pt idx="26">
                    <c:v>8.3000000000000001E-3</c:v>
                  </c:pt>
                  <c:pt idx="27">
                    <c:v>8.4000000000000012E-3</c:v>
                  </c:pt>
                  <c:pt idx="28">
                    <c:v>8.4000000000000012E-3</c:v>
                  </c:pt>
                  <c:pt idx="29">
                    <c:v>8.0999999999999996E-3</c:v>
                  </c:pt>
                  <c:pt idx="30">
                    <c:v>7.6E-3</c:v>
                  </c:pt>
                  <c:pt idx="31">
                    <c:v>6.7000000000000002E-3</c:v>
                  </c:pt>
                  <c:pt idx="32">
                    <c:v>5.7000000000000002E-3</c:v>
                  </c:pt>
                  <c:pt idx="33">
                    <c:v>4.5000000000000005E-3</c:v>
                  </c:pt>
                  <c:pt idx="34">
                    <c:v>3.1000000000000003E-3</c:v>
                  </c:pt>
                  <c:pt idx="35">
                    <c:v>1.6000000000000001E-3</c:v>
                  </c:pt>
                  <c:pt idx="36">
                    <c:v>3.4999999999999999E-6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Arkusz1!$F$3:$F$39</c:f>
              <c:numCache>
                <c:formatCode>0.00</c:formatCode>
                <c:ptCount val="37"/>
                <c:pt idx="0">
                  <c:v>4.3598235455027556E-2</c:v>
                </c:pt>
                <c:pt idx="1">
                  <c:v>-4.3557544477887997E-2</c:v>
                </c:pt>
                <c:pt idx="2">
                  <c:v>-0.12938984933148756</c:v>
                </c:pt>
                <c:pt idx="3">
                  <c:v>-0.21129070572628705</c:v>
                </c:pt>
                <c:pt idx="4">
                  <c:v>-0.28677159545694569</c:v>
                </c:pt>
                <c:pt idx="5">
                  <c:v>-0.35353906792333056</c:v>
                </c:pt>
                <c:pt idx="6">
                  <c:v>-0.40956442552603817</c:v>
                </c:pt>
                <c:pt idx="7">
                  <c:v>-0.45314536466908389</c:v>
                </c:pt>
                <c:pt idx="8">
                  <c:v>-0.48295769943748168</c:v>
                </c:pt>
                <c:pt idx="9">
                  <c:v>-0.4980955963505988</c:v>
                </c:pt>
                <c:pt idx="10">
                  <c:v>-0.498099097677624</c:v>
                </c:pt>
                <c:pt idx="11">
                  <c:v>-0.48296809703241628</c:v>
                </c:pt>
                <c:pt idx="12">
                  <c:v>-0.45316234260599725</c:v>
                </c:pt>
                <c:pt idx="13">
                  <c:v>-0.40958746793846718</c:v>
                </c:pt>
                <c:pt idx="14">
                  <c:v>-0.35356747467863531</c:v>
                </c:pt>
                <c:pt idx="15">
                  <c:v>-0.28680450342950264</c:v>
                </c:pt>
                <c:pt idx="16">
                  <c:v>-0.21132711502314735</c:v>
                </c:pt>
                <c:pt idx="17">
                  <c:v>-0.12942865367364415</c:v>
                </c:pt>
                <c:pt idx="18">
                  <c:v>-4.3597564814032687E-2</c:v>
                </c:pt>
                <c:pt idx="19">
                  <c:v>4.3558215123597081E-2</c:v>
                </c:pt>
                <c:pt idx="20">
                  <c:v>0.12939049960466295</c:v>
                </c:pt>
                <c:pt idx="21">
                  <c:v>0.21129131586869046</c:v>
                </c:pt>
                <c:pt idx="22">
                  <c:v>0.28677214692969327</c:v>
                </c:pt>
                <c:pt idx="23">
                  <c:v>0.35353954397018728</c:v>
                </c:pt>
                <c:pt idx="24">
                  <c:v>0.40956481168254893</c:v>
                </c:pt>
                <c:pt idx="25">
                  <c:v>0.45314564920206851</c:v>
                </c:pt>
                <c:pt idx="26">
                  <c:v>0.48295787370154203</c:v>
                </c:pt>
                <c:pt idx="27">
                  <c:v>0.49809565505080511</c:v>
                </c:pt>
                <c:pt idx="28">
                  <c:v>0.49809903903039859</c:v>
                </c:pt>
                <c:pt idx="29">
                  <c:v>0.48296792281972695</c:v>
                </c:pt>
                <c:pt idx="30">
                  <c:v>0.45316205812121296</c:v>
                </c:pt>
                <c:pt idx="31">
                  <c:v>0.40958708182552145</c:v>
                </c:pt>
                <c:pt idx="32">
                  <c:v>0.35356699866938479</c:v>
                </c:pt>
                <c:pt idx="33">
                  <c:v>0.28680395198725983</c:v>
                </c:pt>
                <c:pt idx="34">
                  <c:v>0.21132650490321994</c:v>
                </c:pt>
                <c:pt idx="35">
                  <c:v>0.12942800341423377</c:v>
                </c:pt>
                <c:pt idx="36">
                  <c:v>4.359689417295879E-2</c:v>
                </c:pt>
              </c:numCache>
            </c:numRef>
          </c:xVal>
          <c:yVal>
            <c:numRef>
              <c:f>Arkusz1!$K$3:$K$39</c:f>
              <c:numCache>
                <c:formatCode>0.0000</c:formatCode>
                <c:ptCount val="37"/>
                <c:pt idx="0" formatCode="0.00000">
                  <c:v>-1.3000000000000002E-4</c:v>
                </c:pt>
                <c:pt idx="1">
                  <c:v>-1.883E-2</c:v>
                </c:pt>
                <c:pt idx="2">
                  <c:v>-3.6020000000000003E-2</c:v>
                </c:pt>
                <c:pt idx="3">
                  <c:v>-5.3520000000000005E-2</c:v>
                </c:pt>
                <c:pt idx="4">
                  <c:v>-6.8640000000000007E-2</c:v>
                </c:pt>
                <c:pt idx="5">
                  <c:v>-8.1299999999999997E-2</c:v>
                </c:pt>
                <c:pt idx="6">
                  <c:v>-9.2049999999999993E-2</c:v>
                </c:pt>
                <c:pt idx="7">
                  <c:v>-0.10012</c:v>
                </c:pt>
                <c:pt idx="8">
                  <c:v>-0.10512000000000001</c:v>
                </c:pt>
                <c:pt idx="9">
                  <c:v>-0.10736</c:v>
                </c:pt>
                <c:pt idx="10">
                  <c:v>-0.10654999999999999</c:v>
                </c:pt>
                <c:pt idx="11">
                  <c:v>-0.10296999999999999</c:v>
                </c:pt>
                <c:pt idx="12">
                  <c:v>-9.6530000000000005E-2</c:v>
                </c:pt>
                <c:pt idx="13">
                  <c:v>-8.7180000000000007E-2</c:v>
                </c:pt>
                <c:pt idx="14">
                  <c:v>-7.5079999999999994E-2</c:v>
                </c:pt>
                <c:pt idx="15">
                  <c:v>-6.08E-2</c:v>
                </c:pt>
                <c:pt idx="16">
                  <c:v>-4.4450000000000003E-2</c:v>
                </c:pt>
                <c:pt idx="17">
                  <c:v>-2.7059999999999997E-2</c:v>
                </c:pt>
                <c:pt idx="18">
                  <c:v>-8.490000000000001E-3</c:v>
                </c:pt>
                <c:pt idx="19">
                  <c:v>9.75E-3</c:v>
                </c:pt>
                <c:pt idx="20">
                  <c:v>2.7320000000000001E-2</c:v>
                </c:pt>
                <c:pt idx="21">
                  <c:v>4.4049999999999999E-2</c:v>
                </c:pt>
                <c:pt idx="22">
                  <c:v>5.9319999999999998E-2</c:v>
                </c:pt>
                <c:pt idx="23">
                  <c:v>7.2309999999999999E-2</c:v>
                </c:pt>
                <c:pt idx="24">
                  <c:v>8.2599999999999993E-2</c:v>
                </c:pt>
                <c:pt idx="25">
                  <c:v>9.0049999999999991E-2</c:v>
                </c:pt>
                <c:pt idx="26">
                  <c:v>9.4989999999999991E-2</c:v>
                </c:pt>
                <c:pt idx="27">
                  <c:v>9.6930000000000002E-2</c:v>
                </c:pt>
                <c:pt idx="28">
                  <c:v>9.6030000000000004E-2</c:v>
                </c:pt>
                <c:pt idx="29">
                  <c:v>9.2450000000000004E-2</c:v>
                </c:pt>
                <c:pt idx="30">
                  <c:v>8.7029999999999996E-2</c:v>
                </c:pt>
                <c:pt idx="31">
                  <c:v>7.665000000000001E-2</c:v>
                </c:pt>
                <c:pt idx="32">
                  <c:v>6.4769999999999994E-2</c:v>
                </c:pt>
                <c:pt idx="33">
                  <c:v>5.1360000000000003E-2</c:v>
                </c:pt>
                <c:pt idx="34">
                  <c:v>3.5209999999999998E-2</c:v>
                </c:pt>
                <c:pt idx="35">
                  <c:v>1.7569999999999999E-2</c:v>
                </c:pt>
                <c:pt idx="36" formatCode="0.00000">
                  <c:v>4.0000000000000003E-5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4-4EA7-98DB-C096914F8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809648"/>
        <c:axId val="1161027680"/>
      </c:scatterChart>
      <c:valAx>
        <c:axId val="51780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Bn[T]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1027680"/>
        <c:crosses val="autoZero"/>
        <c:crossBetween val="midCat"/>
      </c:valAx>
      <c:valAx>
        <c:axId val="11610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80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583508</xdr:colOff>
      <xdr:row>0</xdr:row>
      <xdr:rowOff>133580</xdr:rowOff>
    </xdr:from>
    <xdr:to>
      <xdr:col>37</xdr:col>
      <xdr:colOff>219828</xdr:colOff>
      <xdr:row>26</xdr:row>
      <xdr:rowOff>90718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88CFBAD-0984-48BE-45DA-AA4432778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14</xdr:row>
      <xdr:rowOff>161926</xdr:rowOff>
    </xdr:from>
    <xdr:to>
      <xdr:col>4</xdr:col>
      <xdr:colOff>898413</xdr:colOff>
      <xdr:row>19</xdr:row>
      <xdr:rowOff>66676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5C0728D-4D36-AFAC-6F9E-F562F9861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8451"/>
          <a:ext cx="4117863" cy="857250"/>
        </a:xfrm>
        <a:prstGeom prst="rect">
          <a:avLst/>
        </a:prstGeom>
      </xdr:spPr>
    </xdr:pic>
    <xdr:clientData/>
  </xdr:twoCellAnchor>
  <xdr:twoCellAnchor>
    <xdr:from>
      <xdr:col>24</xdr:col>
      <xdr:colOff>115633</xdr:colOff>
      <xdr:row>28</xdr:row>
      <xdr:rowOff>53049</xdr:rowOff>
    </xdr:from>
    <xdr:to>
      <xdr:col>42</xdr:col>
      <xdr:colOff>158095</xdr:colOff>
      <xdr:row>59</xdr:row>
      <xdr:rowOff>190032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64CBF6C6-7F38-13BA-4603-AEAE065E4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zoomScale="70" zoomScaleNormal="70" workbookViewId="0">
      <selection activeCell="K39" sqref="K39"/>
    </sheetView>
  </sheetViews>
  <sheetFormatPr defaultRowHeight="15" x14ac:dyDescent="0.25"/>
  <cols>
    <col min="1" max="1" width="12.85546875" bestFit="1" customWidth="1"/>
    <col min="3" max="3" width="11.140625" bestFit="1" customWidth="1"/>
    <col min="4" max="4" width="15.140625" bestFit="1" customWidth="1"/>
    <col min="5" max="5" width="15.140625" customWidth="1"/>
    <col min="6" max="6" width="11.140625" customWidth="1"/>
    <col min="7" max="7" width="10.28515625" customWidth="1"/>
    <col min="11" max="11" width="9.5703125" bestFit="1" customWidth="1"/>
    <col min="12" max="12" width="15.28515625" customWidth="1"/>
    <col min="14" max="14" width="9.5703125" bestFit="1" customWidth="1"/>
    <col min="22" max="22" width="9.85546875" bestFit="1" customWidth="1"/>
  </cols>
  <sheetData>
    <row r="1" spans="1:20" x14ac:dyDescent="0.25">
      <c r="A1" s="2" t="s">
        <v>2</v>
      </c>
      <c r="B1" s="3"/>
      <c r="C1" s="3" t="s">
        <v>4</v>
      </c>
      <c r="D1" s="4"/>
      <c r="F1" s="10" t="s">
        <v>5</v>
      </c>
      <c r="G1" s="10" t="s">
        <v>6</v>
      </c>
      <c r="H1" s="10" t="s">
        <v>10</v>
      </c>
      <c r="I1" s="10" t="s">
        <v>3</v>
      </c>
      <c r="J1" s="10" t="s">
        <v>21</v>
      </c>
      <c r="K1" s="10" t="s">
        <v>21</v>
      </c>
      <c r="L1" s="10" t="s">
        <v>7</v>
      </c>
      <c r="M1" s="11" t="s">
        <v>8</v>
      </c>
      <c r="N1" s="11" t="s">
        <v>8</v>
      </c>
      <c r="O1" s="10" t="s">
        <v>9</v>
      </c>
      <c r="P1" s="10" t="s">
        <v>9</v>
      </c>
      <c r="Q1" s="12" t="s">
        <v>14</v>
      </c>
      <c r="R1" s="12" t="s">
        <v>16</v>
      </c>
      <c r="S1" s="10" t="s">
        <v>15</v>
      </c>
      <c r="T1" s="10" t="s">
        <v>17</v>
      </c>
    </row>
    <row r="2" spans="1:20" x14ac:dyDescent="0.25">
      <c r="A2" s="5"/>
      <c r="D2" s="6"/>
      <c r="F2" s="10" t="s">
        <v>18</v>
      </c>
      <c r="G2" s="10" t="s">
        <v>18</v>
      </c>
      <c r="H2" s="10" t="s">
        <v>19</v>
      </c>
      <c r="I2" s="10" t="s">
        <v>19</v>
      </c>
      <c r="J2" s="10" t="s">
        <v>20</v>
      </c>
      <c r="K2" s="10" t="s">
        <v>41</v>
      </c>
      <c r="L2" s="10" t="s">
        <v>41</v>
      </c>
      <c r="M2" s="11" t="s">
        <v>22</v>
      </c>
      <c r="N2" s="11" t="s">
        <v>32</v>
      </c>
      <c r="O2" s="11" t="s">
        <v>22</v>
      </c>
      <c r="P2" s="11" t="s">
        <v>32</v>
      </c>
      <c r="Q2" s="12" t="s">
        <v>23</v>
      </c>
      <c r="R2" s="12" t="s">
        <v>23</v>
      </c>
      <c r="S2" s="10" t="s">
        <v>24</v>
      </c>
      <c r="T2" s="10" t="s">
        <v>24</v>
      </c>
    </row>
    <row r="3" spans="1:20" x14ac:dyDescent="0.25">
      <c r="A3" s="5"/>
      <c r="D3" s="6"/>
      <c r="F3" s="19">
        <f>$A$8*(SIN(N3-$D$8))</f>
        <v>4.3598235455027556E-2</v>
      </c>
      <c r="G3" s="13">
        <v>4.4000000000000003E-3</v>
      </c>
      <c r="H3" s="25">
        <v>10</v>
      </c>
      <c r="I3" s="25">
        <f>CEILING(B5*15/(SQRT(3)*100),0.01)</f>
        <v>0.26</v>
      </c>
      <c r="J3" s="10">
        <v>-0.13</v>
      </c>
      <c r="K3" s="17">
        <f>J3/1000</f>
        <v>-1.3000000000000002E-4</v>
      </c>
      <c r="L3" s="17">
        <v>-1.2E-4</v>
      </c>
      <c r="M3" s="10">
        <v>0</v>
      </c>
      <c r="N3" s="10">
        <v>0</v>
      </c>
      <c r="O3" s="25">
        <v>2.5</v>
      </c>
      <c r="P3" s="26">
        <v>4.3999999999999997E-2</v>
      </c>
      <c r="Q3" s="10"/>
      <c r="R3" s="10"/>
      <c r="S3" s="10"/>
      <c r="T3" s="10"/>
    </row>
    <row r="4" spans="1:20" x14ac:dyDescent="0.25">
      <c r="A4" s="5" t="s">
        <v>0</v>
      </c>
      <c r="B4" t="s">
        <v>13</v>
      </c>
      <c r="C4" t="s">
        <v>0</v>
      </c>
      <c r="D4" s="6" t="s">
        <v>11</v>
      </c>
      <c r="F4" s="19">
        <f t="shared" ref="F4:F39" si="0">$A$8*(SIN(N4-$D$8))</f>
        <v>-4.3557544477887997E-2</v>
      </c>
      <c r="G4" s="13">
        <f>CEILING(SQRT((SIN(N4-$D$8))^2*$B$8^2+($A$8*COS(N4-$D$8))^2*(P4)^2+(-$A$8*COS(N4-$D$8))^2*P4^2),0.0001)</f>
        <v>4.4000000000000003E-3</v>
      </c>
      <c r="H4" s="25"/>
      <c r="I4" s="25"/>
      <c r="J4" s="10">
        <v>-18.829999999999998</v>
      </c>
      <c r="K4" s="13">
        <f t="shared" ref="K4:K39" si="1">J4/1000</f>
        <v>-1.883E-2</v>
      </c>
      <c r="L4" s="13">
        <f t="shared" ref="L4:L39" si="2">CEILING((J4*0.005*3*0.01)/SQRT(3),0.0001)</f>
        <v>-1.6000000000000001E-3</v>
      </c>
      <c r="M4" s="10">
        <v>10</v>
      </c>
      <c r="N4" s="18">
        <v>0.17453299999999999</v>
      </c>
      <c r="O4" s="25"/>
      <c r="P4" s="27"/>
      <c r="Q4" s="10"/>
      <c r="R4" s="10"/>
      <c r="S4" s="10"/>
      <c r="T4" s="10"/>
    </row>
    <row r="5" spans="1:20" ht="15.75" thickBot="1" x14ac:dyDescent="0.3">
      <c r="A5" s="7" t="s">
        <v>1</v>
      </c>
      <c r="B5" s="8">
        <v>3</v>
      </c>
      <c r="C5" s="8" t="s">
        <v>1</v>
      </c>
      <c r="D5" s="9" t="s">
        <v>12</v>
      </c>
      <c r="F5" s="19">
        <f t="shared" si="0"/>
        <v>-0.12938984933148756</v>
      </c>
      <c r="G5" s="18">
        <f t="shared" ref="G5:G20" si="3">CEILING(SQRT((SIN(N5-$D$8))^2*$B$8^2+($A$8*COS(N5-$D$8))^2*(P5)^2+(-$A$8*COS(N5-$D$8))^2*P5^2),0.001)</f>
        <v>1.3000000000000001E-2</v>
      </c>
      <c r="H5" s="25"/>
      <c r="I5" s="25"/>
      <c r="J5" s="10">
        <v>-36.020000000000003</v>
      </c>
      <c r="K5" s="13">
        <f t="shared" si="1"/>
        <v>-3.6020000000000003E-2</v>
      </c>
      <c r="L5" s="13">
        <f t="shared" si="2"/>
        <v>-3.1000000000000003E-3</v>
      </c>
      <c r="M5" s="10">
        <v>20</v>
      </c>
      <c r="N5" s="18">
        <v>0.34906599999999999</v>
      </c>
      <c r="O5" s="25"/>
      <c r="P5" s="27"/>
      <c r="Q5" s="10"/>
      <c r="R5" s="10"/>
      <c r="S5" s="10"/>
      <c r="T5" s="10"/>
    </row>
    <row r="6" spans="1:20" x14ac:dyDescent="0.25">
      <c r="F6" s="19">
        <f t="shared" si="0"/>
        <v>-0.21129070572628705</v>
      </c>
      <c r="G6" s="18">
        <f t="shared" si="3"/>
        <v>2.1999999999999999E-2</v>
      </c>
      <c r="H6" s="25"/>
      <c r="I6" s="25"/>
      <c r="J6" s="10">
        <v>-53.52</v>
      </c>
      <c r="K6" s="13">
        <f t="shared" si="1"/>
        <v>-5.3520000000000005E-2</v>
      </c>
      <c r="L6" s="13">
        <f t="shared" si="2"/>
        <v>-4.5999999999999999E-3</v>
      </c>
      <c r="M6" s="10">
        <v>30</v>
      </c>
      <c r="N6" s="18">
        <v>0.52359900000000004</v>
      </c>
      <c r="O6" s="25"/>
      <c r="P6" s="27"/>
      <c r="Q6" s="10"/>
      <c r="R6" s="10"/>
      <c r="S6" s="10"/>
      <c r="T6" s="10"/>
    </row>
    <row r="7" spans="1:20" x14ac:dyDescent="0.25">
      <c r="A7" t="s">
        <v>25</v>
      </c>
      <c r="B7" t="s">
        <v>34</v>
      </c>
      <c r="C7" s="11" t="s">
        <v>33</v>
      </c>
      <c r="F7" s="19">
        <f t="shared" si="0"/>
        <v>-0.28677159545694569</v>
      </c>
      <c r="G7" s="18">
        <f t="shared" si="3"/>
        <v>2.9000000000000001E-2</v>
      </c>
      <c r="H7" s="25"/>
      <c r="I7" s="25"/>
      <c r="J7" s="10">
        <v>-68.64</v>
      </c>
      <c r="K7" s="13">
        <f t="shared" si="1"/>
        <v>-6.8640000000000007E-2</v>
      </c>
      <c r="L7" s="13">
        <f t="shared" si="2"/>
        <v>-5.8999999999999999E-3</v>
      </c>
      <c r="M7" s="10">
        <v>40</v>
      </c>
      <c r="N7" s="18">
        <v>0.69813199999999997</v>
      </c>
      <c r="O7" s="25"/>
      <c r="P7" s="27"/>
      <c r="Q7" s="10"/>
      <c r="R7" s="10"/>
      <c r="S7" s="10"/>
      <c r="T7" s="10"/>
    </row>
    <row r="8" spans="1:20" x14ac:dyDescent="0.25">
      <c r="A8">
        <v>0.5</v>
      </c>
      <c r="B8">
        <v>0.05</v>
      </c>
      <c r="C8">
        <v>185</v>
      </c>
      <c r="D8" s="1">
        <v>3.2288999999999999</v>
      </c>
      <c r="F8" s="19">
        <f t="shared" si="0"/>
        <v>-0.35353906792333056</v>
      </c>
      <c r="G8" s="18">
        <f t="shared" si="3"/>
        <v>3.6000000000000004E-2</v>
      </c>
      <c r="H8" s="25"/>
      <c r="I8" s="25"/>
      <c r="J8" s="10">
        <v>-81.3</v>
      </c>
      <c r="K8" s="13">
        <f t="shared" si="1"/>
        <v>-8.1299999999999997E-2</v>
      </c>
      <c r="L8" s="13">
        <f t="shared" si="2"/>
        <v>-7.0000000000000001E-3</v>
      </c>
      <c r="M8" s="10">
        <v>50</v>
      </c>
      <c r="N8" s="18">
        <v>0.87266500000000002</v>
      </c>
      <c r="O8" s="25"/>
      <c r="P8" s="27"/>
      <c r="Q8" s="10"/>
      <c r="R8" s="10"/>
      <c r="S8" s="10"/>
      <c r="T8" s="10"/>
    </row>
    <row r="9" spans="1:20" x14ac:dyDescent="0.25">
      <c r="F9" s="19">
        <f t="shared" si="0"/>
        <v>-0.40956442552603817</v>
      </c>
      <c r="G9" s="18">
        <f t="shared" si="3"/>
        <v>4.1000000000000002E-2</v>
      </c>
      <c r="H9" s="25"/>
      <c r="I9" s="25"/>
      <c r="J9" s="10">
        <v>-92.05</v>
      </c>
      <c r="K9" s="13">
        <f t="shared" si="1"/>
        <v>-9.2049999999999993E-2</v>
      </c>
      <c r="L9" s="13">
        <f t="shared" si="2"/>
        <v>-7.9000000000000008E-3</v>
      </c>
      <c r="M9" s="10">
        <v>60</v>
      </c>
      <c r="N9" s="18">
        <v>1.0471980000000001</v>
      </c>
      <c r="O9" s="25"/>
      <c r="P9" s="27"/>
      <c r="Q9" s="10"/>
      <c r="R9" s="10"/>
      <c r="S9" s="10"/>
      <c r="T9" s="10"/>
    </row>
    <row r="10" spans="1:20" x14ac:dyDescent="0.25">
      <c r="F10" s="19">
        <f t="shared" si="0"/>
        <v>-0.45314536466908389</v>
      </c>
      <c r="G10" s="18">
        <f t="shared" si="3"/>
        <v>4.5999999999999999E-2</v>
      </c>
      <c r="H10" s="25"/>
      <c r="I10" s="25"/>
      <c r="J10" s="10">
        <v>-100.12</v>
      </c>
      <c r="K10" s="13">
        <f t="shared" si="1"/>
        <v>-0.10012</v>
      </c>
      <c r="L10" s="13">
        <f t="shared" si="2"/>
        <v>-8.6E-3</v>
      </c>
      <c r="M10" s="10">
        <v>70</v>
      </c>
      <c r="N10" s="18">
        <v>1.2217309999999999</v>
      </c>
      <c r="O10" s="25"/>
      <c r="P10" s="27"/>
      <c r="Q10" s="10"/>
      <c r="R10" s="10"/>
      <c r="S10" s="10"/>
      <c r="T10" s="10"/>
    </row>
    <row r="11" spans="1:20" x14ac:dyDescent="0.25">
      <c r="F11" s="19">
        <f t="shared" si="0"/>
        <v>-0.48295769943748168</v>
      </c>
      <c r="G11" s="18">
        <f t="shared" si="3"/>
        <v>4.9000000000000002E-2</v>
      </c>
      <c r="H11" s="25"/>
      <c r="I11" s="25"/>
      <c r="J11" s="10">
        <v>-105.12</v>
      </c>
      <c r="K11" s="13">
        <f t="shared" si="1"/>
        <v>-0.10512000000000001</v>
      </c>
      <c r="L11" s="13">
        <f t="shared" si="2"/>
        <v>-9.1000000000000004E-3</v>
      </c>
      <c r="M11" s="10">
        <v>80</v>
      </c>
      <c r="N11" s="18">
        <v>1.3962639999999999</v>
      </c>
      <c r="O11" s="25"/>
      <c r="P11" s="27"/>
      <c r="Q11" s="10"/>
      <c r="R11" s="10"/>
      <c r="S11" s="10"/>
      <c r="T11" s="10"/>
    </row>
    <row r="12" spans="1:20" x14ac:dyDescent="0.25">
      <c r="F12" s="19">
        <f t="shared" si="0"/>
        <v>-0.4980955963505988</v>
      </c>
      <c r="G12" s="18">
        <f t="shared" si="3"/>
        <v>0.05</v>
      </c>
      <c r="H12" s="25"/>
      <c r="I12" s="25"/>
      <c r="J12" s="10">
        <v>-107.36</v>
      </c>
      <c r="K12" s="13">
        <f t="shared" si="1"/>
        <v>-0.10736</v>
      </c>
      <c r="L12" s="13">
        <f t="shared" si="2"/>
        <v>-9.1999999999999998E-3</v>
      </c>
      <c r="M12" s="10">
        <v>90</v>
      </c>
      <c r="N12" s="18">
        <v>1.570797</v>
      </c>
      <c r="O12" s="25"/>
      <c r="P12" s="27"/>
      <c r="Q12" s="10"/>
      <c r="R12" s="10"/>
      <c r="S12" s="10"/>
      <c r="T12" s="10"/>
    </row>
    <row r="13" spans="1:20" x14ac:dyDescent="0.25">
      <c r="F13" s="19">
        <f t="shared" si="0"/>
        <v>-0.498099097677624</v>
      </c>
      <c r="G13" s="18">
        <f t="shared" si="3"/>
        <v>0.05</v>
      </c>
      <c r="H13" s="25"/>
      <c r="I13" s="25"/>
      <c r="J13" s="10">
        <v>-106.55</v>
      </c>
      <c r="K13" s="13">
        <f t="shared" si="1"/>
        <v>-0.10654999999999999</v>
      </c>
      <c r="L13" s="13">
        <f t="shared" si="2"/>
        <v>-9.1999999999999998E-3</v>
      </c>
      <c r="M13" s="10">
        <v>100</v>
      </c>
      <c r="N13" s="18">
        <v>1.74533</v>
      </c>
      <c r="O13" s="25"/>
      <c r="P13" s="27"/>
      <c r="Q13" s="10"/>
      <c r="R13" s="10"/>
      <c r="S13" s="10"/>
      <c r="T13" s="10"/>
    </row>
    <row r="14" spans="1:20" x14ac:dyDescent="0.25">
      <c r="F14" s="19">
        <f t="shared" si="0"/>
        <v>-0.48296809703241628</v>
      </c>
      <c r="G14" s="18">
        <f t="shared" si="3"/>
        <v>4.9000000000000002E-2</v>
      </c>
      <c r="H14" s="25"/>
      <c r="I14" s="25"/>
      <c r="J14" s="10">
        <v>-102.97</v>
      </c>
      <c r="K14" s="13">
        <f t="shared" si="1"/>
        <v>-0.10296999999999999</v>
      </c>
      <c r="L14" s="13">
        <f t="shared" si="2"/>
        <v>-8.8999999999999999E-3</v>
      </c>
      <c r="M14" s="10">
        <v>110</v>
      </c>
      <c r="N14" s="18">
        <v>1.9198630000000001</v>
      </c>
      <c r="O14" s="25"/>
      <c r="P14" s="27"/>
      <c r="Q14" s="10"/>
      <c r="R14" s="10"/>
      <c r="S14" s="10"/>
      <c r="T14" s="10"/>
    </row>
    <row r="15" spans="1:20" x14ac:dyDescent="0.25">
      <c r="F15" s="19">
        <f t="shared" si="0"/>
        <v>-0.45316234260599725</v>
      </c>
      <c r="G15" s="18">
        <f t="shared" si="3"/>
        <v>4.5999999999999999E-2</v>
      </c>
      <c r="H15" s="25"/>
      <c r="I15" s="25"/>
      <c r="J15" s="10">
        <v>-96.53</v>
      </c>
      <c r="K15" s="13">
        <f t="shared" si="1"/>
        <v>-9.6530000000000005E-2</v>
      </c>
      <c r="L15" s="13">
        <f t="shared" si="2"/>
        <v>-8.3000000000000001E-3</v>
      </c>
      <c r="M15" s="10">
        <v>120</v>
      </c>
      <c r="N15" s="18">
        <v>2.0943960000000001</v>
      </c>
      <c r="O15" s="25"/>
      <c r="P15" s="27"/>
      <c r="Q15" s="10"/>
      <c r="R15" s="10"/>
      <c r="S15" s="10"/>
      <c r="T15" s="10"/>
    </row>
    <row r="16" spans="1:20" x14ac:dyDescent="0.25">
      <c r="F16" s="19">
        <f t="shared" si="0"/>
        <v>-0.40958746793846718</v>
      </c>
      <c r="G16" s="18">
        <f t="shared" si="3"/>
        <v>4.1000000000000002E-2</v>
      </c>
      <c r="H16" s="25"/>
      <c r="I16" s="25"/>
      <c r="J16" s="10">
        <v>-87.18</v>
      </c>
      <c r="K16" s="13">
        <f t="shared" si="1"/>
        <v>-8.7180000000000007E-2</v>
      </c>
      <c r="L16" s="13">
        <f t="shared" si="2"/>
        <v>-7.5000000000000006E-3</v>
      </c>
      <c r="M16" s="10">
        <v>130</v>
      </c>
      <c r="N16" s="18">
        <v>2.268929</v>
      </c>
      <c r="O16" s="25"/>
      <c r="P16" s="27"/>
      <c r="Q16" s="10"/>
      <c r="R16" s="10"/>
      <c r="S16" s="10"/>
      <c r="T16" s="10"/>
    </row>
    <row r="17" spans="1:20" x14ac:dyDescent="0.25">
      <c r="F17" s="19">
        <f t="shared" si="0"/>
        <v>-0.35356747467863531</v>
      </c>
      <c r="G17" s="18">
        <f t="shared" si="3"/>
        <v>3.6000000000000004E-2</v>
      </c>
      <c r="H17" s="25"/>
      <c r="I17" s="25"/>
      <c r="J17" s="10">
        <v>-75.08</v>
      </c>
      <c r="K17" s="13">
        <f t="shared" si="1"/>
        <v>-7.5079999999999994E-2</v>
      </c>
      <c r="L17" s="13">
        <f t="shared" si="2"/>
        <v>-6.5000000000000006E-3</v>
      </c>
      <c r="M17" s="10">
        <v>140</v>
      </c>
      <c r="N17" s="18">
        <v>2.4434619999999998</v>
      </c>
      <c r="O17" s="25"/>
      <c r="P17" s="27"/>
      <c r="Q17" s="10"/>
      <c r="R17" s="10"/>
      <c r="S17" s="10"/>
      <c r="T17" s="10"/>
    </row>
    <row r="18" spans="1:20" x14ac:dyDescent="0.25">
      <c r="F18" s="19">
        <f t="shared" si="0"/>
        <v>-0.28680450342950264</v>
      </c>
      <c r="G18" s="18">
        <f t="shared" si="3"/>
        <v>2.9000000000000001E-2</v>
      </c>
      <c r="H18" s="25"/>
      <c r="I18" s="25"/>
      <c r="J18" s="10">
        <v>-60.8</v>
      </c>
      <c r="K18" s="13">
        <f t="shared" si="1"/>
        <v>-6.08E-2</v>
      </c>
      <c r="L18" s="13">
        <f t="shared" si="2"/>
        <v>-5.2000000000000006E-3</v>
      </c>
      <c r="M18" s="10">
        <v>150</v>
      </c>
      <c r="N18" s="18">
        <v>2.6179950000000001</v>
      </c>
      <c r="O18" s="25"/>
      <c r="P18" s="27"/>
      <c r="Q18" s="10"/>
      <c r="R18" s="10"/>
      <c r="S18" s="10"/>
      <c r="T18" s="10"/>
    </row>
    <row r="19" spans="1:20" x14ac:dyDescent="0.25">
      <c r="F19" s="19">
        <f t="shared" si="0"/>
        <v>-0.21132711502314735</v>
      </c>
      <c r="G19" s="18">
        <f t="shared" si="3"/>
        <v>2.1999999999999999E-2</v>
      </c>
      <c r="H19" s="25"/>
      <c r="I19" s="25"/>
      <c r="J19" s="10">
        <v>-44.45</v>
      </c>
      <c r="K19" s="13">
        <f t="shared" si="1"/>
        <v>-4.4450000000000003E-2</v>
      </c>
      <c r="L19" s="13">
        <f t="shared" si="2"/>
        <v>-3.8E-3</v>
      </c>
      <c r="M19" s="10">
        <v>160</v>
      </c>
      <c r="N19" s="18">
        <v>2.7925279999999999</v>
      </c>
      <c r="O19" s="25"/>
      <c r="P19" s="27"/>
      <c r="Q19" s="10"/>
      <c r="R19" s="10"/>
      <c r="S19" s="10"/>
      <c r="T19" s="10"/>
    </row>
    <row r="20" spans="1:20" x14ac:dyDescent="0.25">
      <c r="F20" s="19">
        <f t="shared" si="0"/>
        <v>-0.12942865367364415</v>
      </c>
      <c r="G20" s="18">
        <f t="shared" si="3"/>
        <v>1.3000000000000001E-2</v>
      </c>
      <c r="H20" s="25"/>
      <c r="I20" s="25"/>
      <c r="J20" s="10">
        <v>-27.06</v>
      </c>
      <c r="K20" s="13">
        <f t="shared" si="1"/>
        <v>-2.7059999999999997E-2</v>
      </c>
      <c r="L20" s="13">
        <f t="shared" si="2"/>
        <v>-2.3E-3</v>
      </c>
      <c r="M20" s="10">
        <v>170</v>
      </c>
      <c r="N20" s="18">
        <v>2.9670610000000002</v>
      </c>
      <c r="O20" s="25"/>
      <c r="P20" s="27"/>
      <c r="Q20" s="10"/>
      <c r="R20" s="10"/>
      <c r="S20" s="10"/>
      <c r="T20" s="10"/>
    </row>
    <row r="21" spans="1:20" x14ac:dyDescent="0.25">
      <c r="A21" t="s">
        <v>35</v>
      </c>
      <c r="F21" s="19">
        <f t="shared" si="0"/>
        <v>-4.3597564814032687E-2</v>
      </c>
      <c r="G21" s="13">
        <f>CEILING(SQRT((SIN(N21-$D$8))^2*$B$8^2+($A$8*COS(N21-$D$8))^2*(P21)^2+(-$A$8*COS(N21-$D$8))^2*P21^2),0.0001)</f>
        <v>4.4000000000000003E-3</v>
      </c>
      <c r="H21" s="25"/>
      <c r="I21" s="25"/>
      <c r="J21" s="10">
        <v>-8.49</v>
      </c>
      <c r="K21" s="13">
        <f t="shared" si="1"/>
        <v>-8.490000000000001E-3</v>
      </c>
      <c r="L21" s="13">
        <f t="shared" si="2"/>
        <v>-6.9999999999999999E-4</v>
      </c>
      <c r="M21" s="10">
        <v>180</v>
      </c>
      <c r="N21" s="18">
        <v>3.141594</v>
      </c>
      <c r="O21" s="25"/>
      <c r="P21" s="27"/>
      <c r="Q21" s="10"/>
      <c r="R21" s="10"/>
      <c r="S21" s="10"/>
      <c r="T21" s="10"/>
    </row>
    <row r="22" spans="1:20" x14ac:dyDescent="0.25">
      <c r="A22" t="s">
        <v>36</v>
      </c>
      <c r="B22" cm="1">
        <f t="array" ref="B22:C26">LINEST(K3:K39,F3:F39,1,1)</f>
        <v>0.20603364605050012</v>
      </c>
      <c r="C22">
        <v>-4.939262256081889E-3</v>
      </c>
      <c r="D22" t="s">
        <v>38</v>
      </c>
      <c r="F22" s="19">
        <f t="shared" si="0"/>
        <v>4.3558215123597081E-2</v>
      </c>
      <c r="G22" s="13">
        <f>CEILING(SQRT((SIN(N22-$D$8))^2*$B$8^2+($A$8*COS(N22-$D$8))^2*(P22)^2+(-$A$8*COS(N22-$D$8))^2*P22^2),0.0001)</f>
        <v>4.4000000000000003E-3</v>
      </c>
      <c r="H22" s="25"/>
      <c r="I22" s="25"/>
      <c r="J22" s="10">
        <v>9.75</v>
      </c>
      <c r="K22" s="13">
        <f t="shared" si="1"/>
        <v>9.75E-3</v>
      </c>
      <c r="L22" s="13">
        <f t="shared" si="2"/>
        <v>9.0000000000000008E-4</v>
      </c>
      <c r="M22" s="10">
        <v>190</v>
      </c>
      <c r="N22" s="18">
        <v>3.3161269999999998</v>
      </c>
      <c r="O22" s="25"/>
      <c r="P22" s="27"/>
      <c r="Q22" s="10"/>
      <c r="R22" s="10"/>
      <c r="S22" s="10"/>
      <c r="T22" s="10"/>
    </row>
    <row r="23" spans="1:20" x14ac:dyDescent="0.25">
      <c r="A23" t="s">
        <v>37</v>
      </c>
      <c r="B23">
        <v>1.7077450058796499E-3</v>
      </c>
      <c r="C23">
        <v>5.9568961552213581E-4</v>
      </c>
      <c r="D23" t="s">
        <v>39</v>
      </c>
      <c r="F23" s="19">
        <f t="shared" si="0"/>
        <v>0.12939049960466295</v>
      </c>
      <c r="G23" s="18">
        <f t="shared" ref="G23:G38" si="4">CEILING(SQRT((SIN(N23-$D$8))^2*$B$8^2+($A$8*COS(N23-$D$8))^2*(P23)^2+(-$A$8*COS(N23-$D$8))^2*P23^2),0.001)</f>
        <v>1.3000000000000001E-2</v>
      </c>
      <c r="H23" s="25"/>
      <c r="I23" s="25"/>
      <c r="J23" s="10">
        <v>27.32</v>
      </c>
      <c r="K23" s="13">
        <f t="shared" si="1"/>
        <v>2.7320000000000001E-2</v>
      </c>
      <c r="L23" s="13">
        <f t="shared" si="2"/>
        <v>2.4000000000000002E-3</v>
      </c>
      <c r="M23" s="10">
        <v>200</v>
      </c>
      <c r="N23" s="18">
        <v>3.4906600000000001</v>
      </c>
      <c r="O23" s="25"/>
      <c r="P23" s="27"/>
      <c r="Q23" s="10"/>
      <c r="R23" s="10"/>
      <c r="S23" s="10"/>
      <c r="T23" s="10"/>
    </row>
    <row r="24" spans="1:20" x14ac:dyDescent="0.25">
      <c r="A24" t="s">
        <v>40</v>
      </c>
      <c r="B24">
        <v>0.99760119603874409</v>
      </c>
      <c r="C24">
        <v>3.6234177986052044E-3</v>
      </c>
      <c r="F24" s="19">
        <f t="shared" si="0"/>
        <v>0.21129131586869046</v>
      </c>
      <c r="G24" s="18">
        <f t="shared" si="4"/>
        <v>2.1999999999999999E-2</v>
      </c>
      <c r="H24" s="25"/>
      <c r="I24" s="25"/>
      <c r="J24" s="10">
        <v>44.05</v>
      </c>
      <c r="K24" s="13">
        <f t="shared" si="1"/>
        <v>4.4049999999999999E-2</v>
      </c>
      <c r="L24" s="13">
        <f t="shared" si="2"/>
        <v>3.9000000000000003E-3</v>
      </c>
      <c r="M24" s="10">
        <v>210</v>
      </c>
      <c r="N24" s="18">
        <v>3.6651929999999999</v>
      </c>
      <c r="O24" s="25"/>
      <c r="P24" s="27"/>
      <c r="Q24" s="10"/>
      <c r="R24" s="10"/>
      <c r="S24" s="10"/>
      <c r="T24" s="10"/>
    </row>
    <row r="25" spans="1:20" x14ac:dyDescent="0.25">
      <c r="B25">
        <v>14555.604553477175</v>
      </c>
      <c r="C25">
        <v>35</v>
      </c>
      <c r="F25" s="20">
        <f t="shared" si="0"/>
        <v>0.28677214692969327</v>
      </c>
      <c r="G25" s="21">
        <f t="shared" si="4"/>
        <v>2.9000000000000001E-2</v>
      </c>
      <c r="H25" s="25"/>
      <c r="I25" s="25"/>
      <c r="J25" s="15">
        <v>59.32</v>
      </c>
      <c r="K25" s="22">
        <f t="shared" si="1"/>
        <v>5.9319999999999998E-2</v>
      </c>
      <c r="L25" s="13">
        <f t="shared" si="2"/>
        <v>5.2000000000000006E-3</v>
      </c>
      <c r="M25" s="15">
        <v>220</v>
      </c>
      <c r="N25" s="21">
        <v>3.8397260000000002</v>
      </c>
      <c r="O25" s="25"/>
      <c r="P25" s="27"/>
      <c r="Q25" s="10"/>
      <c r="R25" s="10"/>
      <c r="S25" s="10"/>
      <c r="T25" s="10"/>
    </row>
    <row r="26" spans="1:20" x14ac:dyDescent="0.25">
      <c r="B26">
        <v>0.19110281076422955</v>
      </c>
      <c r="C26">
        <v>4.5952047901371448E-4</v>
      </c>
      <c r="F26" s="19">
        <f t="shared" si="0"/>
        <v>0.35353954397018728</v>
      </c>
      <c r="G26" s="18">
        <f t="shared" si="4"/>
        <v>3.6000000000000004E-2</v>
      </c>
      <c r="H26" s="25"/>
      <c r="I26" s="25"/>
      <c r="J26" s="10">
        <v>72.31</v>
      </c>
      <c r="K26" s="13">
        <f t="shared" si="1"/>
        <v>7.2309999999999999E-2</v>
      </c>
      <c r="L26" s="13">
        <f t="shared" si="2"/>
        <v>6.3E-3</v>
      </c>
      <c r="M26" s="10">
        <v>230</v>
      </c>
      <c r="N26" s="18">
        <v>4.014259</v>
      </c>
      <c r="O26" s="25"/>
      <c r="P26" s="27"/>
      <c r="Q26" s="10"/>
      <c r="R26" s="10"/>
      <c r="S26" s="10"/>
      <c r="T26" s="10"/>
    </row>
    <row r="27" spans="1:20" x14ac:dyDescent="0.25">
      <c r="F27" s="19">
        <f t="shared" si="0"/>
        <v>0.40956481168254893</v>
      </c>
      <c r="G27" s="18">
        <f t="shared" si="4"/>
        <v>4.1000000000000002E-2</v>
      </c>
      <c r="H27" s="25"/>
      <c r="I27" s="25"/>
      <c r="J27" s="10">
        <v>82.6</v>
      </c>
      <c r="K27" s="13">
        <f t="shared" si="1"/>
        <v>8.2599999999999993E-2</v>
      </c>
      <c r="L27" s="13">
        <f t="shared" si="2"/>
        <v>7.2000000000000007E-3</v>
      </c>
      <c r="M27" s="10">
        <v>240</v>
      </c>
      <c r="N27" s="18">
        <v>4.1887920000000003</v>
      </c>
      <c r="O27" s="25"/>
      <c r="P27" s="27"/>
      <c r="Q27" s="10"/>
      <c r="R27" s="10"/>
      <c r="S27" s="10"/>
      <c r="T27" s="10"/>
    </row>
    <row r="28" spans="1:20" x14ac:dyDescent="0.25">
      <c r="A28" t="s">
        <v>26</v>
      </c>
      <c r="F28" s="19">
        <f t="shared" si="0"/>
        <v>0.45314564920206851</v>
      </c>
      <c r="G28" s="18">
        <f t="shared" si="4"/>
        <v>4.5999999999999999E-2</v>
      </c>
      <c r="H28" s="25"/>
      <c r="I28" s="25"/>
      <c r="J28" s="10">
        <v>90.05</v>
      </c>
      <c r="K28" s="13">
        <f t="shared" si="1"/>
        <v>9.0049999999999991E-2</v>
      </c>
      <c r="L28" s="13">
        <f t="shared" si="2"/>
        <v>7.8000000000000005E-3</v>
      </c>
      <c r="M28" s="10">
        <v>250</v>
      </c>
      <c r="N28" s="18">
        <v>4.3633249999999997</v>
      </c>
      <c r="O28" s="25"/>
      <c r="P28" s="27"/>
      <c r="Q28" s="10"/>
      <c r="R28" s="10"/>
      <c r="S28" s="10"/>
      <c r="T28" s="10"/>
    </row>
    <row r="29" spans="1:20" x14ac:dyDescent="0.25">
      <c r="A29" t="s">
        <v>27</v>
      </c>
      <c r="C29" t="s">
        <v>28</v>
      </c>
      <c r="F29" s="19">
        <f t="shared" si="0"/>
        <v>0.48295787370154203</v>
      </c>
      <c r="G29" s="18">
        <f t="shared" si="4"/>
        <v>4.9000000000000002E-2</v>
      </c>
      <c r="H29" s="25"/>
      <c r="I29" s="25"/>
      <c r="J29" s="10">
        <v>94.99</v>
      </c>
      <c r="K29" s="13">
        <f t="shared" si="1"/>
        <v>9.4989999999999991E-2</v>
      </c>
      <c r="L29" s="13">
        <f t="shared" si="2"/>
        <v>8.3000000000000001E-3</v>
      </c>
      <c r="M29" s="10">
        <v>260</v>
      </c>
      <c r="N29" s="18">
        <v>4.5378579999999999</v>
      </c>
      <c r="O29" s="25"/>
      <c r="P29" s="27"/>
      <c r="Q29" s="10"/>
      <c r="R29" s="10"/>
      <c r="S29" s="10"/>
      <c r="T29" s="10"/>
    </row>
    <row r="30" spans="1:20" x14ac:dyDescent="0.25">
      <c r="A30" s="10">
        <v>-87.18</v>
      </c>
      <c r="B30" s="13">
        <f t="shared" ref="B30:B31" si="5">CEILING((A30*0.005*3*0.01)/SQRT(3),0.0001)</f>
        <v>-7.5000000000000006E-3</v>
      </c>
      <c r="C30">
        <v>130</v>
      </c>
      <c r="F30" s="19">
        <f t="shared" si="0"/>
        <v>0.49809565505080511</v>
      </c>
      <c r="G30" s="18">
        <f t="shared" si="4"/>
        <v>0.05</v>
      </c>
      <c r="H30" s="25"/>
      <c r="I30" s="25"/>
      <c r="J30" s="10">
        <v>96.93</v>
      </c>
      <c r="K30" s="13">
        <f t="shared" si="1"/>
        <v>9.6930000000000002E-2</v>
      </c>
      <c r="L30" s="13">
        <f t="shared" si="2"/>
        <v>8.4000000000000012E-3</v>
      </c>
      <c r="M30" s="10">
        <v>270</v>
      </c>
      <c r="N30" s="18">
        <v>4.7123910000000002</v>
      </c>
      <c r="O30" s="25"/>
      <c r="P30" s="27"/>
      <c r="Q30" s="10"/>
      <c r="R30" s="10"/>
      <c r="S30" s="10"/>
      <c r="T30" s="10"/>
    </row>
    <row r="31" spans="1:20" x14ac:dyDescent="0.25">
      <c r="A31" s="10">
        <v>82.6</v>
      </c>
      <c r="B31" s="13">
        <f t="shared" si="5"/>
        <v>7.2000000000000007E-3</v>
      </c>
      <c r="C31">
        <v>230</v>
      </c>
      <c r="F31" s="19">
        <f t="shared" si="0"/>
        <v>0.49809903903039859</v>
      </c>
      <c r="G31" s="18">
        <f t="shared" si="4"/>
        <v>0.05</v>
      </c>
      <c r="H31" s="25"/>
      <c r="I31" s="25"/>
      <c r="J31" s="10">
        <v>96.03</v>
      </c>
      <c r="K31" s="13">
        <f t="shared" si="1"/>
        <v>9.6030000000000004E-2</v>
      </c>
      <c r="L31" s="13">
        <f t="shared" si="2"/>
        <v>8.4000000000000012E-3</v>
      </c>
      <c r="M31" s="10">
        <v>280</v>
      </c>
      <c r="N31" s="18">
        <v>4.8869239999999996</v>
      </c>
      <c r="O31" s="25"/>
      <c r="P31" s="27"/>
      <c r="Q31" s="10"/>
      <c r="R31" s="10"/>
      <c r="S31" s="10"/>
      <c r="T31" s="10"/>
    </row>
    <row r="32" spans="1:20" x14ac:dyDescent="0.25">
      <c r="A32">
        <f>A31-A30</f>
        <v>169.78</v>
      </c>
      <c r="B32">
        <f>B31-B30</f>
        <v>1.4700000000000001E-2</v>
      </c>
      <c r="C32">
        <f>C31-C30</f>
        <v>100</v>
      </c>
      <c r="F32" s="19">
        <f t="shared" si="0"/>
        <v>0.48296792281972695</v>
      </c>
      <c r="G32" s="18">
        <f t="shared" si="4"/>
        <v>4.9000000000000002E-2</v>
      </c>
      <c r="H32" s="25"/>
      <c r="I32" s="25"/>
      <c r="J32" s="10">
        <v>92.45</v>
      </c>
      <c r="K32" s="13">
        <f t="shared" si="1"/>
        <v>9.2450000000000004E-2</v>
      </c>
      <c r="L32" s="13">
        <f t="shared" si="2"/>
        <v>8.0999999999999996E-3</v>
      </c>
      <c r="M32" s="10">
        <v>290</v>
      </c>
      <c r="N32" s="18">
        <v>5.0614569999999999</v>
      </c>
      <c r="O32" s="25"/>
      <c r="P32" s="27"/>
      <c r="Q32" s="10"/>
      <c r="R32" s="10"/>
      <c r="S32" s="10"/>
      <c r="T32" s="10"/>
    </row>
    <row r="33" spans="1:20" x14ac:dyDescent="0.25">
      <c r="F33" s="19">
        <f t="shared" si="0"/>
        <v>0.45316205812121296</v>
      </c>
      <c r="G33" s="18">
        <f t="shared" si="4"/>
        <v>4.5999999999999999E-2</v>
      </c>
      <c r="H33" s="25"/>
      <c r="I33" s="25"/>
      <c r="J33" s="10">
        <v>87.03</v>
      </c>
      <c r="K33" s="13">
        <f t="shared" si="1"/>
        <v>8.7029999999999996E-2</v>
      </c>
      <c r="L33" s="13">
        <f t="shared" si="2"/>
        <v>7.6E-3</v>
      </c>
      <c r="M33" s="10">
        <v>300</v>
      </c>
      <c r="N33" s="18">
        <v>5.2359900000000001</v>
      </c>
      <c r="O33" s="25"/>
      <c r="P33" s="27"/>
      <c r="Q33" s="10"/>
      <c r="R33" s="10"/>
      <c r="S33" s="10"/>
      <c r="T33" s="10"/>
    </row>
    <row r="34" spans="1:20" x14ac:dyDescent="0.25">
      <c r="F34" s="19">
        <f t="shared" si="0"/>
        <v>0.40958708182552145</v>
      </c>
      <c r="G34" s="18">
        <f t="shared" si="4"/>
        <v>4.1000000000000002E-2</v>
      </c>
      <c r="H34" s="25"/>
      <c r="I34" s="25"/>
      <c r="J34" s="10">
        <v>76.650000000000006</v>
      </c>
      <c r="K34" s="13">
        <f t="shared" si="1"/>
        <v>7.665000000000001E-2</v>
      </c>
      <c r="L34" s="13">
        <f t="shared" si="2"/>
        <v>6.7000000000000002E-3</v>
      </c>
      <c r="M34" s="10">
        <v>310</v>
      </c>
      <c r="N34" s="18">
        <v>5.4105230000000004</v>
      </c>
      <c r="O34" s="25"/>
      <c r="P34" s="27"/>
      <c r="Q34" s="10"/>
      <c r="R34" s="10"/>
      <c r="S34" s="10"/>
      <c r="T34" s="10"/>
    </row>
    <row r="35" spans="1:20" x14ac:dyDescent="0.25">
      <c r="A35" s="15" t="s">
        <v>29</v>
      </c>
      <c r="B35" s="15" t="s">
        <v>30</v>
      </c>
      <c r="F35" s="19">
        <f t="shared" si="0"/>
        <v>0.35356699866938479</v>
      </c>
      <c r="G35" s="18">
        <f t="shared" si="4"/>
        <v>3.6000000000000004E-2</v>
      </c>
      <c r="H35" s="25"/>
      <c r="I35" s="25"/>
      <c r="J35" s="10">
        <v>64.77</v>
      </c>
      <c r="K35" s="13">
        <f t="shared" si="1"/>
        <v>6.4769999999999994E-2</v>
      </c>
      <c r="L35" s="13">
        <f t="shared" si="2"/>
        <v>5.7000000000000002E-3</v>
      </c>
      <c r="M35" s="10">
        <v>320</v>
      </c>
      <c r="N35" s="18">
        <v>5.5850559999999998</v>
      </c>
      <c r="O35" s="25"/>
      <c r="P35" s="27"/>
      <c r="Q35" s="10"/>
      <c r="R35" s="10"/>
      <c r="S35" s="10"/>
      <c r="T35" s="10"/>
    </row>
    <row r="36" spans="1:20" x14ac:dyDescent="0.25">
      <c r="A36" s="15">
        <f>A32/C32*0.001</f>
        <v>1.6978E-3</v>
      </c>
      <c r="B36" s="15">
        <f>SQRT(B32^2*(1/C32)^2+O3^2*(A32*0.001/C32^2)^2)</f>
        <v>1.5300515685753865E-4</v>
      </c>
      <c r="F36" s="19">
        <f t="shared" si="0"/>
        <v>0.28680395198725983</v>
      </c>
      <c r="G36" s="18">
        <f t="shared" si="4"/>
        <v>2.9000000000000001E-2</v>
      </c>
      <c r="H36" s="25"/>
      <c r="I36" s="25"/>
      <c r="J36" s="10">
        <v>51.36</v>
      </c>
      <c r="K36" s="13">
        <f t="shared" si="1"/>
        <v>5.1360000000000003E-2</v>
      </c>
      <c r="L36" s="13">
        <f t="shared" si="2"/>
        <v>4.5000000000000005E-3</v>
      </c>
      <c r="M36" s="10">
        <v>330</v>
      </c>
      <c r="N36" s="18">
        <v>5.7595890000000001</v>
      </c>
      <c r="O36" s="25"/>
      <c r="P36" s="27"/>
      <c r="Q36" s="10"/>
      <c r="R36" s="10"/>
      <c r="S36" s="10"/>
      <c r="T36" s="10"/>
    </row>
    <row r="37" spans="1:20" x14ac:dyDescent="0.25">
      <c r="A37" s="16" t="s">
        <v>31</v>
      </c>
      <c r="B37" s="16"/>
      <c r="C37" s="16"/>
      <c r="F37" s="19">
        <f t="shared" si="0"/>
        <v>0.21132650490321994</v>
      </c>
      <c r="G37" s="18">
        <f t="shared" si="4"/>
        <v>2.1999999999999999E-2</v>
      </c>
      <c r="H37" s="25"/>
      <c r="I37" s="25"/>
      <c r="J37" s="10">
        <v>35.21</v>
      </c>
      <c r="K37" s="13">
        <f t="shared" si="1"/>
        <v>3.5209999999999998E-2</v>
      </c>
      <c r="L37" s="13">
        <f t="shared" si="2"/>
        <v>3.1000000000000003E-3</v>
      </c>
      <c r="M37" s="10">
        <v>340</v>
      </c>
      <c r="N37" s="18">
        <v>5.9341220000000003</v>
      </c>
      <c r="O37" s="25"/>
      <c r="P37" s="27"/>
      <c r="Q37" s="10"/>
      <c r="R37" s="10"/>
      <c r="S37" s="10"/>
      <c r="T37" s="10"/>
    </row>
    <row r="38" spans="1:20" x14ac:dyDescent="0.25">
      <c r="F38" s="19">
        <f t="shared" si="0"/>
        <v>0.12942800341423377</v>
      </c>
      <c r="G38" s="18">
        <f t="shared" si="4"/>
        <v>1.3000000000000001E-2</v>
      </c>
      <c r="H38" s="25"/>
      <c r="I38" s="25"/>
      <c r="J38" s="10">
        <v>17.57</v>
      </c>
      <c r="K38" s="13">
        <f t="shared" si="1"/>
        <v>1.7569999999999999E-2</v>
      </c>
      <c r="L38" s="13">
        <f t="shared" si="2"/>
        <v>1.6000000000000001E-3</v>
      </c>
      <c r="M38" s="10">
        <v>350</v>
      </c>
      <c r="N38" s="18">
        <v>6.1086549999999997</v>
      </c>
      <c r="O38" s="25"/>
      <c r="P38" s="27"/>
      <c r="Q38" s="10"/>
      <c r="R38" s="10"/>
      <c r="S38" s="10"/>
      <c r="T38" s="10"/>
    </row>
    <row r="39" spans="1:20" x14ac:dyDescent="0.25">
      <c r="F39" s="19">
        <f t="shared" si="0"/>
        <v>4.359689417295879E-2</v>
      </c>
      <c r="G39" s="13">
        <f>CEILING(SQRT((SIN(N39-$D$8))^2*$B$8^2+($A$8*COS(N39-$D$8))^2*(P39)^2+(-$A$8*COS(N39-$D$8))^2*P39^2),0.0001)</f>
        <v>4.4000000000000003E-3</v>
      </c>
      <c r="H39" s="25"/>
      <c r="I39" s="25"/>
      <c r="J39" s="10">
        <v>0.04</v>
      </c>
      <c r="K39" s="17">
        <f t="shared" si="1"/>
        <v>4.0000000000000003E-5</v>
      </c>
      <c r="L39" s="14">
        <f>CEILING((J39*0.005*3*0.01)/SQRT(3),0.0000001)</f>
        <v>3.4999999999999999E-6</v>
      </c>
      <c r="M39" s="10">
        <v>360</v>
      </c>
      <c r="N39" s="18">
        <v>6.283188</v>
      </c>
      <c r="O39" s="25"/>
      <c r="P39" s="28"/>
      <c r="Q39" s="10"/>
      <c r="R39" s="10"/>
      <c r="S39" s="10"/>
      <c r="T39" s="10"/>
    </row>
    <row r="40" spans="1:20" x14ac:dyDescent="0.25">
      <c r="A40" t="s">
        <v>42</v>
      </c>
      <c r="B40" t="s">
        <v>44</v>
      </c>
      <c r="D40" t="s">
        <v>43</v>
      </c>
    </row>
    <row r="41" spans="1:20" x14ac:dyDescent="0.25">
      <c r="A41" s="24">
        <f>K25/(H3*0.001*F25)</f>
        <v>20.685411967342574</v>
      </c>
      <c r="B41">
        <f>CEILING(SQRT((L25/(H3*0.001*F25))^2+(-(K25*I3*0.001)/(F25-H3^2))^2+(-(K25*G25)/(F25^2*H3*0.001))^2),0.1)</f>
        <v>2.8000000000000003</v>
      </c>
      <c r="D41" s="23">
        <f>B22/(H3*0.001)</f>
        <v>20.603364605050011</v>
      </c>
      <c r="E41">
        <f>CEILING(SQRT((B23/H3*0.001)^2+((-B22*I3*0.001)/(H3*0.001)^2)^2),0.01)</f>
        <v>0.54</v>
      </c>
    </row>
    <row r="42" spans="1:20" x14ac:dyDescent="0.25">
      <c r="G42" s="1"/>
    </row>
    <row r="43" spans="1:20" x14ac:dyDescent="0.25">
      <c r="A43" t="s">
        <v>15</v>
      </c>
      <c r="D43" t="s">
        <v>45</v>
      </c>
      <c r="E43" t="s">
        <v>46</v>
      </c>
      <c r="F43" t="s">
        <v>47</v>
      </c>
    </row>
    <row r="44" spans="1:20" x14ac:dyDescent="0.25">
      <c r="A44">
        <f>1/(D44*D41*E44)</f>
        <v>1.514848999930625E+23</v>
      </c>
      <c r="D44">
        <f>1.602*10^(-19)</f>
        <v>1.602E-19</v>
      </c>
      <c r="E44">
        <f>2*0.000001</f>
        <v>1.9999999999999999E-6</v>
      </c>
      <c r="F44">
        <f>E44*0.05</f>
        <v>9.9999999999999995E-8</v>
      </c>
    </row>
  </sheetData>
  <mergeCells count="4">
    <mergeCell ref="H3:H39"/>
    <mergeCell ref="O3:O39"/>
    <mergeCell ref="I3:I39"/>
    <mergeCell ref="P3:P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Prystupa (275496)</cp:lastModifiedBy>
  <dcterms:created xsi:type="dcterms:W3CDTF">2015-06-05T18:19:34Z</dcterms:created>
  <dcterms:modified xsi:type="dcterms:W3CDTF">2023-11-12T21:46:36Z</dcterms:modified>
</cp:coreProperties>
</file>