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ryst\Downloads\"/>
    </mc:Choice>
  </mc:AlternateContent>
  <xr:revisionPtr revIDLastSave="0" documentId="13_ncr:1_{BF489329-42E5-4009-8052-53CA82A4AC9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" i="1" l="1"/>
  <c r="AG4" i="1"/>
  <c r="AJ3" i="1"/>
  <c r="AX28" i="1"/>
  <c r="AZ28" i="1" s="1"/>
  <c r="AW28" i="1"/>
  <c r="AY28" i="1" s="1"/>
  <c r="I55" i="1"/>
  <c r="H55" i="1"/>
  <c r="AA5" i="1"/>
  <c r="AB5" i="1" s="1"/>
  <c r="AA6" i="1"/>
  <c r="AD6" i="1" s="1"/>
  <c r="AA7" i="1"/>
  <c r="AD7" i="1" s="1"/>
  <c r="AA8" i="1"/>
  <c r="AD8" i="1" s="1"/>
  <c r="AA9" i="1"/>
  <c r="AB9" i="1" s="1"/>
  <c r="AA10" i="1"/>
  <c r="AD10" i="1" s="1"/>
  <c r="AA11" i="1"/>
  <c r="AB11" i="1" s="1"/>
  <c r="AA12" i="1"/>
  <c r="AD12" i="1" s="1"/>
  <c r="AA13" i="1"/>
  <c r="AB13" i="1" s="1"/>
  <c r="AA14" i="1"/>
  <c r="AD14" i="1" s="1"/>
  <c r="AA15" i="1"/>
  <c r="AD15" i="1" s="1"/>
  <c r="AA16" i="1"/>
  <c r="AD16" i="1" s="1"/>
  <c r="AA17" i="1"/>
  <c r="AD17" i="1" s="1"/>
  <c r="AA18" i="1"/>
  <c r="AD18" i="1" s="1"/>
  <c r="AA19" i="1"/>
  <c r="AB19" i="1" s="1"/>
  <c r="AA4" i="1"/>
  <c r="AB4" i="1" s="1"/>
  <c r="AB17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4" i="1"/>
  <c r="M49" i="1" a="1"/>
  <c r="M49" i="1" s="1"/>
  <c r="Q3" i="1"/>
  <c r="X3" i="1" s="1"/>
  <c r="Q18" i="1"/>
  <c r="X18" i="1" s="1"/>
  <c r="Q19" i="1"/>
  <c r="X19" i="1" s="1"/>
  <c r="Q5" i="1"/>
  <c r="X5" i="1" s="1"/>
  <c r="Q6" i="1"/>
  <c r="X6" i="1" s="1"/>
  <c r="Q7" i="1"/>
  <c r="X7" i="1" s="1"/>
  <c r="Q8" i="1"/>
  <c r="X8" i="1" s="1"/>
  <c r="Q9" i="1"/>
  <c r="X9" i="1" s="1"/>
  <c r="Q10" i="1"/>
  <c r="X10" i="1" s="1"/>
  <c r="Q11" i="1"/>
  <c r="X11" i="1" s="1"/>
  <c r="Q12" i="1"/>
  <c r="X12" i="1" s="1"/>
  <c r="Q13" i="1"/>
  <c r="X13" i="1" s="1"/>
  <c r="Q14" i="1"/>
  <c r="X14" i="1" s="1"/>
  <c r="Q15" i="1"/>
  <c r="X15" i="1" s="1"/>
  <c r="Q16" i="1"/>
  <c r="X16" i="1" s="1"/>
  <c r="Q17" i="1"/>
  <c r="X17" i="1" s="1"/>
  <c r="Q4" i="1"/>
  <c r="X4" i="1" s="1"/>
  <c r="O4" i="1"/>
  <c r="V4" i="1" s="1"/>
  <c r="AE4" i="1" s="1"/>
  <c r="P4" i="1"/>
  <c r="W4" i="1" s="1"/>
  <c r="O5" i="1"/>
  <c r="V5" i="1" s="1"/>
  <c r="AE5" i="1" s="1"/>
  <c r="P5" i="1"/>
  <c r="W5" i="1" s="1"/>
  <c r="O6" i="1"/>
  <c r="V6" i="1" s="1"/>
  <c r="AE6" i="1" s="1"/>
  <c r="P6" i="1"/>
  <c r="W6" i="1" s="1"/>
  <c r="O7" i="1"/>
  <c r="V7" i="1" s="1"/>
  <c r="AE7" i="1" s="1"/>
  <c r="P7" i="1"/>
  <c r="W7" i="1" s="1"/>
  <c r="O8" i="1"/>
  <c r="V8" i="1" s="1"/>
  <c r="AE8" i="1" s="1"/>
  <c r="P8" i="1"/>
  <c r="W8" i="1" s="1"/>
  <c r="O9" i="1"/>
  <c r="V9" i="1" s="1"/>
  <c r="AE9" i="1" s="1"/>
  <c r="P9" i="1"/>
  <c r="W9" i="1" s="1"/>
  <c r="O10" i="1"/>
  <c r="V10" i="1" s="1"/>
  <c r="AE10" i="1" s="1"/>
  <c r="P10" i="1"/>
  <c r="W10" i="1" s="1"/>
  <c r="O11" i="1"/>
  <c r="V11" i="1" s="1"/>
  <c r="AE11" i="1" s="1"/>
  <c r="P11" i="1"/>
  <c r="W11" i="1" s="1"/>
  <c r="O12" i="1"/>
  <c r="V12" i="1" s="1"/>
  <c r="AE12" i="1" s="1"/>
  <c r="P12" i="1"/>
  <c r="W12" i="1" s="1"/>
  <c r="O13" i="1"/>
  <c r="V13" i="1" s="1"/>
  <c r="AE13" i="1" s="1"/>
  <c r="P13" i="1"/>
  <c r="W13" i="1" s="1"/>
  <c r="O14" i="1"/>
  <c r="V14" i="1" s="1"/>
  <c r="AE14" i="1" s="1"/>
  <c r="P14" i="1"/>
  <c r="W14" i="1" s="1"/>
  <c r="O15" i="1"/>
  <c r="V15" i="1" s="1"/>
  <c r="AE15" i="1" s="1"/>
  <c r="P15" i="1"/>
  <c r="W15" i="1" s="1"/>
  <c r="O16" i="1"/>
  <c r="V16" i="1" s="1"/>
  <c r="AE16" i="1" s="1"/>
  <c r="P16" i="1"/>
  <c r="W16" i="1" s="1"/>
  <c r="O17" i="1"/>
  <c r="V17" i="1" s="1"/>
  <c r="AE17" i="1" s="1"/>
  <c r="P17" i="1"/>
  <c r="W17" i="1" s="1"/>
  <c r="O18" i="1"/>
  <c r="V18" i="1" s="1"/>
  <c r="AE18" i="1" s="1"/>
  <c r="P18" i="1"/>
  <c r="W18" i="1" s="1"/>
  <c r="O19" i="1"/>
  <c r="V19" i="1" s="1"/>
  <c r="AE19" i="1" s="1"/>
  <c r="P19" i="1"/>
  <c r="W19" i="1" s="1"/>
  <c r="P3" i="1"/>
  <c r="W3" i="1" s="1"/>
  <c r="O3" i="1"/>
  <c r="V3" i="1" s="1"/>
  <c r="N12" i="1"/>
  <c r="N13" i="1"/>
  <c r="U13" i="1" s="1"/>
  <c r="N14" i="1"/>
  <c r="U14" i="1" s="1"/>
  <c r="N15" i="1"/>
  <c r="U15" i="1" s="1"/>
  <c r="N16" i="1"/>
  <c r="U16" i="1" s="1"/>
  <c r="N17" i="1"/>
  <c r="U17" i="1" s="1"/>
  <c r="N18" i="1"/>
  <c r="U18" i="1" s="1"/>
  <c r="N19" i="1"/>
  <c r="U19" i="1" s="1"/>
  <c r="N11" i="1"/>
  <c r="U11" i="1" s="1"/>
  <c r="N3" i="1"/>
  <c r="U3" i="1" s="1"/>
  <c r="N5" i="1"/>
  <c r="U5" i="1" s="1"/>
  <c r="N6" i="1"/>
  <c r="U6" i="1" s="1"/>
  <c r="N7" i="1"/>
  <c r="U7" i="1" s="1"/>
  <c r="N8" i="1"/>
  <c r="U8" i="1" s="1"/>
  <c r="N9" i="1"/>
  <c r="U9" i="1" s="1"/>
  <c r="N10" i="1"/>
  <c r="U10" i="1" s="1"/>
  <c r="N4" i="1"/>
  <c r="U4" i="1" s="1"/>
  <c r="AB15" i="1" l="1"/>
  <c r="AB7" i="1"/>
  <c r="AB18" i="1"/>
  <c r="AB12" i="1"/>
  <c r="AB6" i="1"/>
  <c r="AB10" i="1"/>
  <c r="AB16" i="1"/>
  <c r="AB8" i="1"/>
  <c r="AD19" i="1"/>
  <c r="AD11" i="1"/>
  <c r="AB14" i="1"/>
  <c r="AD9" i="1"/>
  <c r="AD13" i="1"/>
  <c r="AD5" i="1"/>
  <c r="AC42" i="1" l="1" a="1"/>
  <c r="AC42" i="1" s="1"/>
  <c r="D22" i="1"/>
  <c r="D2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<sst xmlns="http://schemas.openxmlformats.org/spreadsheetml/2006/main" count="105" uniqueCount="46">
  <si>
    <t>miernik Metex M-3850</t>
  </si>
  <si>
    <t>R1</t>
  </si>
  <si>
    <t>R2</t>
  </si>
  <si>
    <t>R3</t>
  </si>
  <si>
    <t>℃</t>
  </si>
  <si>
    <t>Pokojowa (22℃+-1℃)</t>
  </si>
  <si>
    <r>
      <t>k</t>
    </r>
    <r>
      <rPr>
        <sz val="11"/>
        <color theme="1"/>
        <rFont val="Calibri"/>
        <family val="2"/>
        <charset val="238"/>
      </rPr>
      <t>Ω</t>
    </r>
  </si>
  <si>
    <t>Ω</t>
  </si>
  <si>
    <t>kΩ</t>
  </si>
  <si>
    <t>R4</t>
  </si>
  <si>
    <t>Temperatutra</t>
  </si>
  <si>
    <t>u(R1)</t>
  </si>
  <si>
    <t>u(R2)</t>
  </si>
  <si>
    <t>u(R3)</t>
  </si>
  <si>
    <t>u(R4)</t>
  </si>
  <si>
    <t>ln(R)</t>
  </si>
  <si>
    <t>1000/T</t>
  </si>
  <si>
    <t>T(K)</t>
  </si>
  <si>
    <t>u(1000/T)</t>
  </si>
  <si>
    <t>u(ln(R))</t>
  </si>
  <si>
    <t>Do latexa</t>
  </si>
  <si>
    <t>[1/K]</t>
  </si>
  <si>
    <t>[K]</t>
  </si>
  <si>
    <t>[ - ]</t>
  </si>
  <si>
    <t>α</t>
  </si>
  <si>
    <t>a</t>
  </si>
  <si>
    <t>u(a)</t>
  </si>
  <si>
    <t>b</t>
  </si>
  <si>
    <t>u(b)</t>
  </si>
  <si>
    <r>
      <t>u(</t>
    </r>
    <r>
      <rPr>
        <sz val="11"/>
        <color theme="1"/>
        <rFont val="Calibri"/>
        <family val="2"/>
        <charset val="238"/>
      </rPr>
      <t>α</t>
    </r>
    <r>
      <rPr>
        <sz val="10.45"/>
        <color theme="1"/>
        <rFont val="Calibri"/>
        <family val="2"/>
      </rPr>
      <t>)</t>
    </r>
  </si>
  <si>
    <t>Lp.</t>
  </si>
  <si>
    <t>t</t>
  </si>
  <si>
    <t>Rm</t>
  </si>
  <si>
    <t>u(t)</t>
  </si>
  <si>
    <t>u(Rm)</t>
  </si>
  <si>
    <r>
      <t>u(</t>
    </r>
    <r>
      <rPr>
        <sz val="11"/>
        <color theme="1"/>
        <rFont val="Calibri"/>
        <family val="2"/>
        <charset val="238"/>
      </rPr>
      <t>α</t>
    </r>
    <r>
      <rPr>
        <sz val="12.65"/>
        <color theme="1"/>
        <rFont val="Calibri"/>
        <family val="2"/>
      </rPr>
      <t>)</t>
    </r>
  </si>
  <si>
    <r>
      <rPr>
        <sz val="11"/>
        <color theme="1"/>
        <rFont val="Calibri"/>
        <family val="2"/>
        <charset val="238"/>
      </rPr>
      <t>⁰</t>
    </r>
    <r>
      <rPr>
        <sz val="12.65"/>
        <color theme="1"/>
        <rFont val="Calibri"/>
        <family val="2"/>
      </rPr>
      <t>C</t>
    </r>
  </si>
  <si>
    <r>
      <t>Ω/⁰</t>
    </r>
    <r>
      <rPr>
        <sz val="12.65"/>
        <color theme="1"/>
        <rFont val="Calibri"/>
        <family val="2"/>
      </rPr>
      <t>C</t>
    </r>
  </si>
  <si>
    <r>
      <t>⁰</t>
    </r>
    <r>
      <rPr>
        <sz val="12.65"/>
        <color theme="1"/>
        <rFont val="Calibri"/>
        <family val="2"/>
      </rPr>
      <t>C</t>
    </r>
    <r>
      <rPr>
        <vertAlign val="superscript"/>
        <sz val="12"/>
        <color theme="1"/>
        <rFont val="Calibri"/>
        <family val="2"/>
        <charset val="238"/>
      </rPr>
      <t>-1</t>
    </r>
  </si>
  <si>
    <t>K</t>
  </si>
  <si>
    <t>A</t>
  </si>
  <si>
    <r>
      <t>E</t>
    </r>
    <r>
      <rPr>
        <sz val="8"/>
        <color theme="1"/>
        <rFont val="Calibri"/>
        <family val="2"/>
        <charset val="238"/>
      </rPr>
      <t>g</t>
    </r>
  </si>
  <si>
    <t>J</t>
  </si>
  <si>
    <t>eV</t>
  </si>
  <si>
    <t>u(A)</t>
  </si>
  <si>
    <r>
      <t>u(E</t>
    </r>
    <r>
      <rPr>
        <sz val="8"/>
        <color theme="1"/>
        <rFont val="Calibri"/>
        <family val="2"/>
        <charset val="238"/>
      </rPr>
      <t>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</si>
</sst>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E+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22"/>
      <color theme="0"/>
      <name val="Calibri"/>
      <family val="2"/>
      <charset val="238"/>
      <scheme val="minor"/>
    </font>
    <font>
      <sz val="10.45"/>
      <color theme="1"/>
      <name val="Calibri"/>
      <family val="2"/>
    </font>
    <font>
      <sz val="12.65"/>
      <color theme="1"/>
      <name val="Calibri"/>
      <family val="2"/>
    </font>
    <font>
      <sz val="8"/>
      <color theme="1"/>
      <name val="Calibri"/>
      <family val="2"/>
      <charset val="238"/>
    </font>
    <font>
      <vertAlign val="superscript"/>
      <sz val="12"/>
      <color theme="1"/>
      <name val="Calibr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165" fontId="0" fillId="7" borderId="1" xfId="0" applyNumberFormat="1" applyFill="1" applyBorder="1"/>
    <xf numFmtId="164" fontId="0" fillId="7" borderId="1" xfId="0" applyNumberFormat="1" applyFill="1" applyBorder="1"/>
    <xf numFmtId="0" fontId="0" fillId="8" borderId="1" xfId="0" applyFill="1" applyBorder="1"/>
    <xf numFmtId="165" fontId="0" fillId="8" borderId="1" xfId="0" applyNumberFormat="1" applyFill="1" applyBorder="1"/>
    <xf numFmtId="166" fontId="0" fillId="7" borderId="1" xfId="0" applyNumberFormat="1" applyFill="1" applyBorder="1"/>
    <xf numFmtId="167" fontId="0" fillId="7" borderId="1" xfId="0" applyNumberFormat="1" applyFill="1" applyBorder="1"/>
    <xf numFmtId="166" fontId="0" fillId="8" borderId="1" xfId="0" applyNumberFormat="1" applyFill="1" applyBorder="1"/>
    <xf numFmtId="167" fontId="0" fillId="8" borderId="1" xfId="0" applyNumberFormat="1" applyFill="1" applyBorder="1"/>
    <xf numFmtId="2" fontId="0" fillId="8" borderId="1" xfId="0" applyNumberFormat="1" applyFill="1" applyBorder="1"/>
    <xf numFmtId="2" fontId="0" fillId="7" borderId="1" xfId="0" applyNumberFormat="1" applyFill="1" applyBorder="1"/>
    <xf numFmtId="166" fontId="0" fillId="0" borderId="0" xfId="0" applyNumberFormat="1"/>
    <xf numFmtId="168" fontId="0" fillId="0" borderId="0" xfId="0" applyNumberFormat="1"/>
    <xf numFmtId="0" fontId="0" fillId="10" borderId="1" xfId="0" applyFill="1" applyBorder="1"/>
    <xf numFmtId="0" fontId="0" fillId="4" borderId="1" xfId="0" applyFill="1" applyBorder="1" applyAlignment="1">
      <alignment horizontal="center" vertical="center"/>
    </xf>
    <xf numFmtId="0" fontId="1" fillId="0" borderId="0" xfId="0" applyFont="1"/>
    <xf numFmtId="169" fontId="0" fillId="0" borderId="0" xfId="0" applyNumberFormat="1"/>
    <xf numFmtId="0" fontId="0" fillId="10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65" fontId="0" fillId="7" borderId="2" xfId="0" applyNumberFormat="1" applyFill="1" applyBorder="1" applyAlignment="1">
      <alignment horizontal="center" vertical="center"/>
    </xf>
    <xf numFmtId="165" fontId="0" fillId="7" borderId="3" xfId="0" applyNumberFormat="1" applyFill="1" applyBorder="1" applyAlignment="1">
      <alignment horizontal="center" vertical="center"/>
    </xf>
    <xf numFmtId="165" fontId="0" fillId="7" borderId="4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11" fontId="0" fillId="7" borderId="3" xfId="0" applyNumberFormat="1" applyFill="1" applyBorder="1" applyAlignment="1">
      <alignment horizontal="center" vertical="center"/>
    </xf>
    <xf numFmtId="11" fontId="0" fillId="7" borderId="4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170" fontId="0" fillId="8" borderId="2" xfId="0" applyNumberFormat="1" applyFill="1" applyBorder="1" applyAlignment="1">
      <alignment horizontal="center" vertical="center"/>
    </xf>
    <xf numFmtId="170" fontId="0" fillId="8" borderId="3" xfId="0" applyNumberFormat="1" applyFill="1" applyBorder="1" applyAlignment="1">
      <alignment horizontal="center" vertical="center"/>
    </xf>
    <xf numFmtId="170" fontId="0" fillId="8" borderId="4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168" fontId="0" fillId="7" borderId="2" xfId="0" applyNumberFormat="1" applyFill="1" applyBorder="1" applyAlignment="1">
      <alignment horizontal="center" vertical="center"/>
    </xf>
    <xf numFmtId="168" fontId="0" fillId="7" borderId="3" xfId="0" applyNumberFormat="1" applyFill="1" applyBorder="1" applyAlignment="1">
      <alignment horizontal="center" vertical="center"/>
    </xf>
    <xf numFmtId="168" fontId="0" fillId="7" borderId="4" xfId="0" applyNumberFormat="1" applyFill="1" applyBorder="1" applyAlignment="1">
      <alignment horizontal="center" vertical="center"/>
    </xf>
    <xf numFmtId="168" fontId="0" fillId="8" borderId="2" xfId="0" applyNumberFormat="1" applyFill="1" applyBorder="1" applyAlignment="1">
      <alignment horizontal="center" vertical="center"/>
    </xf>
    <xf numFmtId="168" fontId="0" fillId="8" borderId="3" xfId="0" applyNumberFormat="1" applyFill="1" applyBorder="1" applyAlignment="1">
      <alignment horizontal="center" vertical="center"/>
    </xf>
    <xf numFmtId="168" fontId="0" fillId="8" borderId="4" xfId="0" applyNumberForma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Metal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3175">
                <a:noFill/>
              </a:ln>
              <a:effectLst/>
            </c:spPr>
          </c:marker>
          <c:trendline>
            <c:spPr>
              <a:ln w="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backward val="26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Arkusz1!$AR$12</c:f>
                <c:numCache>
                  <c:formatCode>General</c:formatCode>
                  <c:ptCount val="1"/>
                  <c:pt idx="0">
                    <c:v>0.2</c:v>
                  </c:pt>
                </c:numCache>
              </c:numRef>
            </c:plus>
            <c:minus>
              <c:numRef>
                <c:f>Arkusz1!$AR$15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Arkusz1!$W$4:$W$19</c:f>
                <c:numCache>
                  <c:formatCode>General</c:formatCode>
                  <c:ptCount val="16"/>
                  <c:pt idx="0">
                    <c:v>0.45</c:v>
                  </c:pt>
                  <c:pt idx="1">
                    <c:v>0.45</c:v>
                  </c:pt>
                  <c:pt idx="2">
                    <c:v>0.44</c:v>
                  </c:pt>
                  <c:pt idx="3">
                    <c:v>0.44</c:v>
                  </c:pt>
                  <c:pt idx="4">
                    <c:v>0.43</c:v>
                  </c:pt>
                  <c:pt idx="5">
                    <c:v>0.43</c:v>
                  </c:pt>
                  <c:pt idx="6">
                    <c:v>0.42</c:v>
                  </c:pt>
                  <c:pt idx="7">
                    <c:v>0.42</c:v>
                  </c:pt>
                  <c:pt idx="8">
                    <c:v>0.41000000000000003</c:v>
                  </c:pt>
                  <c:pt idx="9">
                    <c:v>0.41000000000000003</c:v>
                  </c:pt>
                  <c:pt idx="10">
                    <c:v>0.4</c:v>
                  </c:pt>
                  <c:pt idx="11">
                    <c:v>0.4</c:v>
                  </c:pt>
                  <c:pt idx="12">
                    <c:v>0.39</c:v>
                  </c:pt>
                  <c:pt idx="13">
                    <c:v>0.39</c:v>
                  </c:pt>
                  <c:pt idx="14">
                    <c:v>0.38</c:v>
                  </c:pt>
                  <c:pt idx="15">
                    <c:v>0.38</c:v>
                  </c:pt>
                </c:numCache>
              </c:numRef>
            </c:plus>
            <c:minus>
              <c:numRef>
                <c:f>Arkusz1!$W$4:$W$19</c:f>
                <c:numCache>
                  <c:formatCode>General</c:formatCode>
                  <c:ptCount val="16"/>
                  <c:pt idx="0">
                    <c:v>0.45</c:v>
                  </c:pt>
                  <c:pt idx="1">
                    <c:v>0.45</c:v>
                  </c:pt>
                  <c:pt idx="2">
                    <c:v>0.44</c:v>
                  </c:pt>
                  <c:pt idx="3">
                    <c:v>0.44</c:v>
                  </c:pt>
                  <c:pt idx="4">
                    <c:v>0.43</c:v>
                  </c:pt>
                  <c:pt idx="5">
                    <c:v>0.43</c:v>
                  </c:pt>
                  <c:pt idx="6">
                    <c:v>0.42</c:v>
                  </c:pt>
                  <c:pt idx="7">
                    <c:v>0.42</c:v>
                  </c:pt>
                  <c:pt idx="8">
                    <c:v>0.41000000000000003</c:v>
                  </c:pt>
                  <c:pt idx="9">
                    <c:v>0.41000000000000003</c:v>
                  </c:pt>
                  <c:pt idx="10">
                    <c:v>0.4</c:v>
                  </c:pt>
                  <c:pt idx="11">
                    <c:v>0.4</c:v>
                  </c:pt>
                  <c:pt idx="12">
                    <c:v>0.39</c:v>
                  </c:pt>
                  <c:pt idx="13">
                    <c:v>0.39</c:v>
                  </c:pt>
                  <c:pt idx="14">
                    <c:v>0.38</c:v>
                  </c:pt>
                  <c:pt idx="15">
                    <c:v>0.38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Arkusz1!$F$4:$F$19</c:f>
              <c:numCache>
                <c:formatCode>General</c:formatCode>
                <c:ptCount val="16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26</c:v>
                </c:pt>
              </c:numCache>
            </c:numRef>
          </c:xVal>
          <c:yVal>
            <c:numRef>
              <c:f>Arkusz1!$I$4:$I$19</c:f>
              <c:numCache>
                <c:formatCode>0.00</c:formatCode>
                <c:ptCount val="16"/>
                <c:pt idx="0">
                  <c:v>133.80000000000001</c:v>
                </c:pt>
                <c:pt idx="1">
                  <c:v>132.5</c:v>
                </c:pt>
                <c:pt idx="2">
                  <c:v>131</c:v>
                </c:pt>
                <c:pt idx="3">
                  <c:v>129.69999999999999</c:v>
                </c:pt>
                <c:pt idx="4">
                  <c:v>128.1</c:v>
                </c:pt>
                <c:pt idx="5">
                  <c:v>126.6</c:v>
                </c:pt>
                <c:pt idx="6">
                  <c:v>125.1</c:v>
                </c:pt>
                <c:pt idx="7">
                  <c:v>123.4</c:v>
                </c:pt>
                <c:pt idx="8">
                  <c:v>121.6</c:v>
                </c:pt>
                <c:pt idx="9">
                  <c:v>119.9</c:v>
                </c:pt>
                <c:pt idx="10">
                  <c:v>118.2</c:v>
                </c:pt>
                <c:pt idx="11">
                  <c:v>116.6</c:v>
                </c:pt>
                <c:pt idx="12">
                  <c:v>114.8</c:v>
                </c:pt>
                <c:pt idx="13">
                  <c:v>113.1</c:v>
                </c:pt>
                <c:pt idx="14">
                  <c:v>111.3</c:v>
                </c:pt>
                <c:pt idx="15">
                  <c:v>109.8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E8-4A85-93E0-F82C3EEF1D7F}"/>
            </c:ext>
          </c:extLst>
        </c:ser>
        <c:ser>
          <c:idx val="1"/>
          <c:order val="1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Arkusz1!$W$3</c:f>
                <c:numCache>
                  <c:formatCode>General</c:formatCode>
                  <c:ptCount val="1"/>
                  <c:pt idx="0">
                    <c:v>0.38</c:v>
                  </c:pt>
                </c:numCache>
              </c:numRef>
            </c:plus>
            <c:minus>
              <c:numRef>
                <c:f>Arkusz1!$W$3</c:f>
                <c:numCache>
                  <c:formatCode>General</c:formatCode>
                  <c:ptCount val="1"/>
                  <c:pt idx="0">
                    <c:v>0.38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Lit>
              <c:formatCode>General</c:formatCode>
              <c:ptCount val="1"/>
              <c:pt idx="0">
                <c:v>22</c:v>
              </c:pt>
            </c:numLit>
          </c:xVal>
          <c:yVal>
            <c:numRef>
              <c:f>Arkusz1!$I$3</c:f>
              <c:numCache>
                <c:formatCode>0.00</c:formatCode>
                <c:ptCount val="1"/>
                <c:pt idx="0">
                  <c:v>110.8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E8-4A85-93E0-F82C3EEF1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121552"/>
        <c:axId val="669781504"/>
      </c:scatterChart>
      <c:valAx>
        <c:axId val="67312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</a:t>
                </a:r>
                <a:r>
                  <a:rPr lang="pl-PL" baseline="0"/>
                  <a:t> [C]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9781504"/>
        <c:crosses val="autoZero"/>
        <c:crossBetween val="midCat"/>
        <c:majorUnit val="10"/>
        <c:minorUnit val="5"/>
      </c:valAx>
      <c:valAx>
        <c:axId val="669781504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Rezystancja</a:t>
                </a:r>
                <a:r>
                  <a:rPr lang="pl-PL" baseline="0"/>
                  <a:t> [</a:t>
                </a:r>
                <a:r>
                  <a:rPr lang="el-GR" baseline="0"/>
                  <a:t>Ω</a:t>
                </a:r>
                <a:r>
                  <a:rPr lang="pl-PL" baseline="0"/>
                  <a:t>]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312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Połprzewodnik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1E-3"/>
            <c:backward val="8.1000000000000016E-2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Arkusz1!$AD$4:$AD$19</c:f>
                <c:numCache>
                  <c:formatCode>General</c:formatCode>
                  <c:ptCount val="16"/>
                  <c:pt idx="0">
                    <c:v>1.5E-3</c:v>
                  </c:pt>
                  <c:pt idx="1">
                    <c:v>1.5E-3</c:v>
                  </c:pt>
                  <c:pt idx="2">
                    <c:v>1.6000000000000001E-3</c:v>
                  </c:pt>
                  <c:pt idx="3">
                    <c:v>1.6000000000000001E-3</c:v>
                  </c:pt>
                  <c:pt idx="4">
                    <c:v>1.7000000000000001E-3</c:v>
                  </c:pt>
                  <c:pt idx="5">
                    <c:v>1.7000000000000001E-3</c:v>
                  </c:pt>
                  <c:pt idx="6">
                    <c:v>1.7000000000000001E-3</c:v>
                  </c:pt>
                  <c:pt idx="7">
                    <c:v>1.8E-3</c:v>
                  </c:pt>
                  <c:pt idx="8">
                    <c:v>1.9E-3</c:v>
                  </c:pt>
                  <c:pt idx="9">
                    <c:v>1.9E-3</c:v>
                  </c:pt>
                  <c:pt idx="10">
                    <c:v>2E-3</c:v>
                  </c:pt>
                  <c:pt idx="11">
                    <c:v>2E-3</c:v>
                  </c:pt>
                  <c:pt idx="12">
                    <c:v>2.0999999999999999E-3</c:v>
                  </c:pt>
                  <c:pt idx="13">
                    <c:v>2.1999999999999997E-3</c:v>
                  </c:pt>
                  <c:pt idx="14">
                    <c:v>2.1999999999999997E-3</c:v>
                  </c:pt>
                  <c:pt idx="15">
                    <c:v>2.3E-3</c:v>
                  </c:pt>
                </c:numCache>
              </c:numRef>
            </c:plus>
            <c:minus>
              <c:numRef>
                <c:f>Arkusz1!$AD$4:$AD$19</c:f>
                <c:numCache>
                  <c:formatCode>General</c:formatCode>
                  <c:ptCount val="16"/>
                  <c:pt idx="0">
                    <c:v>1.5E-3</c:v>
                  </c:pt>
                  <c:pt idx="1">
                    <c:v>1.5E-3</c:v>
                  </c:pt>
                  <c:pt idx="2">
                    <c:v>1.6000000000000001E-3</c:v>
                  </c:pt>
                  <c:pt idx="3">
                    <c:v>1.6000000000000001E-3</c:v>
                  </c:pt>
                  <c:pt idx="4">
                    <c:v>1.7000000000000001E-3</c:v>
                  </c:pt>
                  <c:pt idx="5">
                    <c:v>1.7000000000000001E-3</c:v>
                  </c:pt>
                  <c:pt idx="6">
                    <c:v>1.7000000000000001E-3</c:v>
                  </c:pt>
                  <c:pt idx="7">
                    <c:v>1.8E-3</c:v>
                  </c:pt>
                  <c:pt idx="8">
                    <c:v>1.9E-3</c:v>
                  </c:pt>
                  <c:pt idx="9">
                    <c:v>1.9E-3</c:v>
                  </c:pt>
                  <c:pt idx="10">
                    <c:v>2E-3</c:v>
                  </c:pt>
                  <c:pt idx="11">
                    <c:v>2E-3</c:v>
                  </c:pt>
                  <c:pt idx="12">
                    <c:v>2.0999999999999999E-3</c:v>
                  </c:pt>
                  <c:pt idx="13">
                    <c:v>2.1999999999999997E-3</c:v>
                  </c:pt>
                  <c:pt idx="14">
                    <c:v>2.1999999999999997E-3</c:v>
                  </c:pt>
                  <c:pt idx="15">
                    <c:v>2.3E-3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Arkusz1!$AE$4:$AE$19</c:f>
                <c:numCache>
                  <c:formatCode>General</c:formatCode>
                  <c:ptCount val="16"/>
                  <c:pt idx="0">
                    <c:v>6.8999999999999999E-3</c:v>
                  </c:pt>
                  <c:pt idx="1">
                    <c:v>6.8999999999999999E-3</c:v>
                  </c:pt>
                  <c:pt idx="2">
                    <c:v>7.4000000000000003E-3</c:v>
                  </c:pt>
                  <c:pt idx="3">
                    <c:v>7.0000000000000001E-3</c:v>
                  </c:pt>
                  <c:pt idx="4">
                    <c:v>6.6E-3</c:v>
                  </c:pt>
                  <c:pt idx="5">
                    <c:v>6.2000000000000006E-3</c:v>
                  </c:pt>
                  <c:pt idx="6">
                    <c:v>6.3E-3</c:v>
                  </c:pt>
                  <c:pt idx="7">
                    <c:v>5.7000000000000002E-3</c:v>
                  </c:pt>
                  <c:pt idx="8">
                    <c:v>5.5999999999999999E-3</c:v>
                  </c:pt>
                  <c:pt idx="9">
                    <c:v>5.4000000000000003E-3</c:v>
                  </c:pt>
                  <c:pt idx="10">
                    <c:v>5.2000000000000006E-3</c:v>
                  </c:pt>
                  <c:pt idx="11">
                    <c:v>5.0000000000000001E-3</c:v>
                  </c:pt>
                  <c:pt idx="12">
                    <c:v>4.7000000000000002E-3</c:v>
                  </c:pt>
                  <c:pt idx="13">
                    <c:v>4.5000000000000005E-3</c:v>
                  </c:pt>
                  <c:pt idx="14">
                    <c:v>4.3E-3</c:v>
                  </c:pt>
                  <c:pt idx="15">
                    <c:v>4.0000000000000001E-3</c:v>
                  </c:pt>
                </c:numCache>
              </c:numRef>
            </c:plus>
            <c:minus>
              <c:numRef>
                <c:f>Arkusz1!$AE$4:$AE$19</c:f>
                <c:numCache>
                  <c:formatCode>General</c:formatCode>
                  <c:ptCount val="16"/>
                  <c:pt idx="0">
                    <c:v>6.8999999999999999E-3</c:v>
                  </c:pt>
                  <c:pt idx="1">
                    <c:v>6.8999999999999999E-3</c:v>
                  </c:pt>
                  <c:pt idx="2">
                    <c:v>7.4000000000000003E-3</c:v>
                  </c:pt>
                  <c:pt idx="3">
                    <c:v>7.0000000000000001E-3</c:v>
                  </c:pt>
                  <c:pt idx="4">
                    <c:v>6.6E-3</c:v>
                  </c:pt>
                  <c:pt idx="5">
                    <c:v>6.2000000000000006E-3</c:v>
                  </c:pt>
                  <c:pt idx="6">
                    <c:v>6.3E-3</c:v>
                  </c:pt>
                  <c:pt idx="7">
                    <c:v>5.7000000000000002E-3</c:v>
                  </c:pt>
                  <c:pt idx="8">
                    <c:v>5.5999999999999999E-3</c:v>
                  </c:pt>
                  <c:pt idx="9">
                    <c:v>5.4000000000000003E-3</c:v>
                  </c:pt>
                  <c:pt idx="10">
                    <c:v>5.2000000000000006E-3</c:v>
                  </c:pt>
                  <c:pt idx="11">
                    <c:v>5.0000000000000001E-3</c:v>
                  </c:pt>
                  <c:pt idx="12">
                    <c:v>4.7000000000000002E-3</c:v>
                  </c:pt>
                  <c:pt idx="13">
                    <c:v>4.5000000000000005E-3</c:v>
                  </c:pt>
                  <c:pt idx="14">
                    <c:v>4.3E-3</c:v>
                  </c:pt>
                  <c:pt idx="15">
                    <c:v>4.0000000000000001E-3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Arkusz1!$AB$4:$AB$19</c:f>
              <c:numCache>
                <c:formatCode>0.0000</c:formatCode>
                <c:ptCount val="16"/>
                <c:pt idx="0">
                  <c:v>2.6809651474530831</c:v>
                </c:pt>
                <c:pt idx="1">
                  <c:v>2.7173913043478262</c:v>
                </c:pt>
                <c:pt idx="2">
                  <c:v>2.7548209366391183</c:v>
                </c:pt>
                <c:pt idx="3">
                  <c:v>2.7932960893854748</c:v>
                </c:pt>
                <c:pt idx="4">
                  <c:v>2.8328611898016995</c:v>
                </c:pt>
                <c:pt idx="5">
                  <c:v>2.8735632183908044</c:v>
                </c:pt>
                <c:pt idx="6">
                  <c:v>2.9154518950437316</c:v>
                </c:pt>
                <c:pt idx="7">
                  <c:v>2.9585798816568047</c:v>
                </c:pt>
                <c:pt idx="8">
                  <c:v>3.0030030030030028</c:v>
                </c:pt>
                <c:pt idx="9">
                  <c:v>3.0487804878048781</c:v>
                </c:pt>
                <c:pt idx="10">
                  <c:v>3.0959752321981426</c:v>
                </c:pt>
                <c:pt idx="11">
                  <c:v>3.1446540880503147</c:v>
                </c:pt>
                <c:pt idx="12">
                  <c:v>3.1948881789137382</c:v>
                </c:pt>
                <c:pt idx="13">
                  <c:v>3.2467532467532467</c:v>
                </c:pt>
                <c:pt idx="14">
                  <c:v>3.3003300330033003</c:v>
                </c:pt>
                <c:pt idx="15">
                  <c:v>3.3444816053511706</c:v>
                </c:pt>
              </c:numCache>
            </c:numRef>
          </c:xVal>
          <c:yVal>
            <c:numRef>
              <c:f>Arkusz1!$AC$4:$AC$19</c:f>
              <c:numCache>
                <c:formatCode>0.0000</c:formatCode>
                <c:ptCount val="16"/>
                <c:pt idx="0">
                  <c:v>2.6741486494265287</c:v>
                </c:pt>
                <c:pt idx="1">
                  <c:v>2.6810215287142909</c:v>
                </c:pt>
                <c:pt idx="2">
                  <c:v>2.7013612129514133</c:v>
                </c:pt>
                <c:pt idx="3">
                  <c:v>2.7663191092261861</c:v>
                </c:pt>
                <c:pt idx="4">
                  <c:v>2.8154087194227095</c:v>
                </c:pt>
                <c:pt idx="5">
                  <c:v>2.884800712846709</c:v>
                </c:pt>
                <c:pt idx="6">
                  <c:v>2.9601050959108397</c:v>
                </c:pt>
                <c:pt idx="7">
                  <c:v>3.0587070727153796</c:v>
                </c:pt>
                <c:pt idx="8">
                  <c:v>3.1612467120315646</c:v>
                </c:pt>
                <c:pt idx="9">
                  <c:v>3.2619353143286478</c:v>
                </c:pt>
                <c:pt idx="10">
                  <c:v>3.3672958299864741</c:v>
                </c:pt>
                <c:pt idx="11">
                  <c:v>3.4719664525503626</c:v>
                </c:pt>
                <c:pt idx="12">
                  <c:v>3.5945687746426951</c:v>
                </c:pt>
                <c:pt idx="13">
                  <c:v>3.7037680666076871</c:v>
                </c:pt>
                <c:pt idx="14">
                  <c:v>3.8458832029236012</c:v>
                </c:pt>
                <c:pt idx="15">
                  <c:v>3.9627161197436642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0D-44C8-978C-CA995B0B8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784384"/>
        <c:axId val="72709936"/>
      </c:scatterChart>
      <c:valAx>
        <c:axId val="1276784384"/>
        <c:scaling>
          <c:orientation val="minMax"/>
          <c:min val="2.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1000/T [1/K]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709936"/>
        <c:crosses val="autoZero"/>
        <c:crossBetween val="midCat"/>
      </c:valAx>
      <c:valAx>
        <c:axId val="72709936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lnR [</a:t>
                </a:r>
                <a:r>
                  <a:rPr lang="el-GR"/>
                  <a:t>Ω</a:t>
                </a:r>
                <a:r>
                  <a:rPr lang="pl-PL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7678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102328</xdr:colOff>
      <xdr:row>22</xdr:row>
      <xdr:rowOff>156883</xdr:rowOff>
    </xdr:from>
    <xdr:to>
      <xdr:col>22</xdr:col>
      <xdr:colOff>112058</xdr:colOff>
      <xdr:row>47</xdr:row>
      <xdr:rowOff>170987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CFB4E58-2B2D-5BDD-3A29-174CD2996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284884</xdr:colOff>
      <xdr:row>46</xdr:row>
      <xdr:rowOff>34637</xdr:rowOff>
    </xdr:from>
    <xdr:to>
      <xdr:col>38</xdr:col>
      <xdr:colOff>352425</xdr:colOff>
      <xdr:row>70</xdr:row>
      <xdr:rowOff>28575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32088A-6A0B-4BF1-7ACD-63A771276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9"/>
  <sheetViews>
    <sheetView tabSelected="1" topLeftCell="Q1" zoomScale="85" zoomScaleNormal="85" workbookViewId="0">
      <selection activeCell="AX28" sqref="AX28:AX43"/>
    </sheetView>
  </sheetViews>
  <sheetFormatPr defaultRowHeight="15" x14ac:dyDescent="0.25"/>
  <cols>
    <col min="6" max="6" width="20.5703125" bestFit="1" customWidth="1"/>
    <col min="8" max="8" width="14.28515625" customWidth="1"/>
    <col min="9" max="9" width="9.85546875" bestFit="1" customWidth="1"/>
    <col min="13" max="13" width="19.28515625" bestFit="1" customWidth="1"/>
    <col min="16" max="17" width="9.85546875" bestFit="1" customWidth="1"/>
    <col min="20" max="20" width="20.5703125" bestFit="1" customWidth="1"/>
    <col min="30" max="30" width="10.5703125" customWidth="1"/>
    <col min="35" max="35" width="10.28515625" customWidth="1"/>
    <col min="36" max="36" width="12" bestFit="1" customWidth="1"/>
    <col min="37" max="37" width="8.85546875" customWidth="1"/>
    <col min="38" max="38" width="9" customWidth="1"/>
    <col min="49" max="49" width="10" bestFit="1" customWidth="1"/>
    <col min="50" max="51" width="10.5703125" bestFit="1" customWidth="1"/>
    <col min="52" max="52" width="7.42578125" customWidth="1"/>
  </cols>
  <sheetData>
    <row r="1" spans="1:51" x14ac:dyDescent="0.25">
      <c r="A1" s="28" t="s">
        <v>0</v>
      </c>
      <c r="B1" s="28"/>
      <c r="C1" s="28"/>
      <c r="D1" s="28"/>
      <c r="F1" s="4" t="s">
        <v>10</v>
      </c>
      <c r="G1" s="5" t="s">
        <v>1</v>
      </c>
      <c r="H1" s="5" t="s">
        <v>2</v>
      </c>
      <c r="I1" s="5" t="s">
        <v>3</v>
      </c>
      <c r="J1" s="5" t="s">
        <v>9</v>
      </c>
      <c r="M1" s="4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T1" s="4" t="s">
        <v>10</v>
      </c>
      <c r="U1" s="5" t="s">
        <v>11</v>
      </c>
      <c r="V1" s="5" t="s">
        <v>12</v>
      </c>
      <c r="W1" s="5" t="s">
        <v>13</v>
      </c>
      <c r="X1" s="5" t="s">
        <v>14</v>
      </c>
    </row>
    <row r="2" spans="1:51" ht="17.25" x14ac:dyDescent="0.25">
      <c r="A2" s="28"/>
      <c r="B2" s="28"/>
      <c r="C2" s="28"/>
      <c r="D2" s="28"/>
      <c r="F2" s="2" t="s">
        <v>4</v>
      </c>
      <c r="G2" s="3" t="s">
        <v>6</v>
      </c>
      <c r="H2" s="3" t="s">
        <v>7</v>
      </c>
      <c r="I2" s="3" t="s">
        <v>7</v>
      </c>
      <c r="J2" s="3" t="s">
        <v>7</v>
      </c>
      <c r="M2" s="2" t="s">
        <v>4</v>
      </c>
      <c r="N2" s="3" t="s">
        <v>6</v>
      </c>
      <c r="O2" s="3" t="s">
        <v>7</v>
      </c>
      <c r="P2" s="3" t="s">
        <v>7</v>
      </c>
      <c r="Q2" s="3" t="s">
        <v>7</v>
      </c>
      <c r="T2" s="2" t="s">
        <v>4</v>
      </c>
      <c r="U2" s="3" t="s">
        <v>6</v>
      </c>
      <c r="V2" s="3" t="s">
        <v>7</v>
      </c>
      <c r="W2" s="3" t="s">
        <v>7</v>
      </c>
      <c r="X2" s="3" t="s">
        <v>7</v>
      </c>
      <c r="AO2" s="23" t="s">
        <v>30</v>
      </c>
      <c r="AP2" s="23" t="s">
        <v>31</v>
      </c>
      <c r="AQ2" s="23" t="s">
        <v>32</v>
      </c>
      <c r="AR2" s="23" t="s">
        <v>33</v>
      </c>
      <c r="AS2" s="23" t="s">
        <v>34</v>
      </c>
      <c r="AT2" s="23" t="s">
        <v>25</v>
      </c>
      <c r="AU2" s="23" t="s">
        <v>26</v>
      </c>
      <c r="AV2" s="23" t="s">
        <v>27</v>
      </c>
      <c r="AW2" s="23" t="s">
        <v>28</v>
      </c>
      <c r="AX2" s="24" t="s">
        <v>24</v>
      </c>
      <c r="AY2" s="23" t="s">
        <v>35</v>
      </c>
    </row>
    <row r="3" spans="1:51" ht="18" x14ac:dyDescent="0.25">
      <c r="A3" s="28"/>
      <c r="B3" s="28"/>
      <c r="C3" s="28"/>
      <c r="D3" s="28"/>
      <c r="F3" s="6" t="s">
        <v>5</v>
      </c>
      <c r="G3" s="7">
        <v>14.46</v>
      </c>
      <c r="H3" s="16">
        <v>48</v>
      </c>
      <c r="I3" s="16">
        <v>110.8</v>
      </c>
      <c r="J3" s="11">
        <v>0.438</v>
      </c>
      <c r="K3" s="1" t="s">
        <v>8</v>
      </c>
      <c r="M3" s="6" t="s">
        <v>5</v>
      </c>
      <c r="N3" s="12">
        <f>(0.5%*G3+0.01)/SQRT(3)</f>
        <v>4.7515927154306199E-2</v>
      </c>
      <c r="O3" s="12">
        <f>(0.5%*H3+0.1)/SQRT(3)</f>
        <v>0.19629909152447275</v>
      </c>
      <c r="P3" s="12">
        <f>(0.5%*I3+0.1)/SQRT(3)</f>
        <v>0.37758707605001529</v>
      </c>
      <c r="Q3" s="12">
        <f>(0.5%*J3+0.001)/SQRT(3)</f>
        <v>1.8417473587149064E-3</v>
      </c>
      <c r="R3" s="1" t="s">
        <v>8</v>
      </c>
      <c r="T3" s="6" t="s">
        <v>5</v>
      </c>
      <c r="U3" s="7">
        <f>ROUNDUP(N3,3)</f>
        <v>4.8000000000000001E-2</v>
      </c>
      <c r="V3" s="16">
        <f t="shared" ref="V3:V19" si="0">ROUNDUP(O3,2)</f>
        <v>0.2</v>
      </c>
      <c r="W3" s="16">
        <f t="shared" ref="W3:W19" si="1">ROUNDUP(P3,2)</f>
        <v>0.38</v>
      </c>
      <c r="X3" s="11">
        <f>ROUNDUP(Q3,4)</f>
        <v>1.9E-3</v>
      </c>
      <c r="Y3" s="1" t="s">
        <v>8</v>
      </c>
      <c r="AA3" t="s">
        <v>17</v>
      </c>
      <c r="AB3" t="s">
        <v>16</v>
      </c>
      <c r="AC3" t="s">
        <v>15</v>
      </c>
      <c r="AD3" t="s">
        <v>18</v>
      </c>
      <c r="AE3" t="s">
        <v>19</v>
      </c>
      <c r="AJ3">
        <f>(0.005*133.8+0.1)/SQRT(3)</f>
        <v>0.44398235700682226</v>
      </c>
      <c r="AO3" s="25"/>
      <c r="AP3" s="26" t="s">
        <v>36</v>
      </c>
      <c r="AQ3" s="26" t="s">
        <v>7</v>
      </c>
      <c r="AR3" s="26" t="s">
        <v>36</v>
      </c>
      <c r="AS3" s="26" t="s">
        <v>7</v>
      </c>
      <c r="AT3" s="26" t="s">
        <v>37</v>
      </c>
      <c r="AU3" s="26" t="s">
        <v>37</v>
      </c>
      <c r="AV3" s="26" t="s">
        <v>7</v>
      </c>
      <c r="AW3" s="26" t="s">
        <v>7</v>
      </c>
      <c r="AX3" s="26" t="s">
        <v>38</v>
      </c>
      <c r="AY3" s="26" t="s">
        <v>38</v>
      </c>
    </row>
    <row r="4" spans="1:51" x14ac:dyDescent="0.25">
      <c r="A4" s="28"/>
      <c r="B4" s="28"/>
      <c r="C4" s="28"/>
      <c r="D4" s="28"/>
      <c r="F4" s="9">
        <v>100</v>
      </c>
      <c r="G4" s="13">
        <v>2.3730000000000002</v>
      </c>
      <c r="H4" s="15">
        <v>14.5</v>
      </c>
      <c r="I4" s="15">
        <v>133.80000000000001</v>
      </c>
      <c r="J4" s="15">
        <v>77.099999999999994</v>
      </c>
      <c r="M4" s="9">
        <v>100</v>
      </c>
      <c r="N4" s="14">
        <f t="shared" ref="N4:N10" si="2">(0.5%*G4+0.001)/SQRT(3)</f>
        <v>7.4276112131245369E-3</v>
      </c>
      <c r="O4" s="14">
        <f t="shared" ref="O4:O19" si="3">(0.5%*H4+0.1)/SQRT(3)</f>
        <v>9.9592921435210438E-2</v>
      </c>
      <c r="P4" s="14">
        <f t="shared" ref="P4:P17" si="4">(0.5%*I4+0.1)/SQRT(3)</f>
        <v>0.44398235700682226</v>
      </c>
      <c r="Q4" s="14">
        <f t="shared" ref="Q4:Q17" si="5">(0.5%*J4+0.1)/SQRT(3)</f>
        <v>0.28030355569156329</v>
      </c>
      <c r="T4" s="9">
        <v>100</v>
      </c>
      <c r="U4" s="13">
        <f>ROUNDUP(N4,4)</f>
        <v>7.5000000000000006E-3</v>
      </c>
      <c r="V4" s="15">
        <f t="shared" si="0"/>
        <v>9.9999999999999992E-2</v>
      </c>
      <c r="W4" s="15">
        <f t="shared" si="1"/>
        <v>0.45</v>
      </c>
      <c r="X4" s="15">
        <f t="shared" ref="X4:X16" si="6">ROUNDUP(Q4,2)</f>
        <v>0.29000000000000004</v>
      </c>
      <c r="AA4">
        <f>273+T4</f>
        <v>373</v>
      </c>
      <c r="AB4" s="17">
        <f>1000/AA4</f>
        <v>2.6809651474530831</v>
      </c>
      <c r="AC4" s="17">
        <f t="shared" ref="AC4:AC19" si="7">LN(H4)</f>
        <v>2.6741486494265287</v>
      </c>
      <c r="AD4" s="17">
        <f>ROUNDUP(SQRT((-1000/AA4^2 * (0.2))^2),4)</f>
        <v>1.5E-3</v>
      </c>
      <c r="AE4" s="17">
        <f>ROUNDUP(V4/H4,4)</f>
        <v>6.8999999999999999E-3</v>
      </c>
      <c r="AF4" s="18"/>
      <c r="AG4">
        <f>AA4*AA4</f>
        <v>139129</v>
      </c>
      <c r="AO4" s="9">
        <v>1</v>
      </c>
      <c r="AP4" s="9">
        <v>100</v>
      </c>
      <c r="AQ4" s="15">
        <v>133.80000000000001</v>
      </c>
      <c r="AR4" s="9">
        <v>0.2</v>
      </c>
      <c r="AS4" s="15">
        <v>0.45</v>
      </c>
      <c r="AT4" s="42">
        <v>0.32679999999999998</v>
      </c>
      <c r="AU4" s="36">
        <v>3.5999999999999999E-3</v>
      </c>
      <c r="AV4" s="42">
        <v>101.77</v>
      </c>
      <c r="AW4" s="36">
        <v>0.24</v>
      </c>
      <c r="AX4" s="48">
        <v>3.2111624250761501E-3</v>
      </c>
      <c r="AY4" s="45">
        <v>3.6999999999999998E-5</v>
      </c>
    </row>
    <row r="5" spans="1:51" x14ac:dyDescent="0.25">
      <c r="F5" s="6">
        <v>95</v>
      </c>
      <c r="G5" s="11">
        <v>2.387</v>
      </c>
      <c r="H5" s="16">
        <v>14.6</v>
      </c>
      <c r="I5" s="16">
        <v>132.5</v>
      </c>
      <c r="J5" s="16">
        <v>83.5</v>
      </c>
      <c r="M5" s="6">
        <v>95</v>
      </c>
      <c r="N5" s="14">
        <f t="shared" si="2"/>
        <v>7.4680257319678107E-3</v>
      </c>
      <c r="O5" s="12">
        <f t="shared" si="3"/>
        <v>9.9881596569805262E-2</v>
      </c>
      <c r="P5" s="12">
        <f t="shared" si="4"/>
        <v>0.44022958025708964</v>
      </c>
      <c r="Q5" s="12">
        <f t="shared" si="5"/>
        <v>0.29877876430563133</v>
      </c>
      <c r="T5" s="6">
        <v>95</v>
      </c>
      <c r="U5" s="11">
        <f t="shared" ref="U5:U15" si="8">ROUNDUP(N5,4)</f>
        <v>7.5000000000000006E-3</v>
      </c>
      <c r="V5" s="16">
        <f t="shared" si="0"/>
        <v>9.9999999999999992E-2</v>
      </c>
      <c r="W5" s="16">
        <f t="shared" si="1"/>
        <v>0.45</v>
      </c>
      <c r="X5" s="16">
        <f t="shared" si="6"/>
        <v>0.3</v>
      </c>
      <c r="AA5">
        <f t="shared" ref="AA5:AA19" si="9">273+T5</f>
        <v>368</v>
      </c>
      <c r="AB5" s="17">
        <f t="shared" ref="AB5:AB19" si="10">1000/AA5</f>
        <v>2.7173913043478262</v>
      </c>
      <c r="AC5" s="17">
        <f t="shared" si="7"/>
        <v>2.6810215287142909</v>
      </c>
      <c r="AD5" s="17">
        <f t="shared" ref="AD4:AD19" si="11">ROUNDUP(SQRT((-1000/AA5^2 * (0.2))^2),4)</f>
        <v>1.5E-3</v>
      </c>
      <c r="AE5" s="17">
        <f t="shared" ref="AE5:AE19" si="12">ROUNDUP(V5/H5,4)</f>
        <v>6.8999999999999999E-3</v>
      </c>
      <c r="AF5" s="18"/>
      <c r="AO5" s="6">
        <v>2</v>
      </c>
      <c r="AP5" s="6">
        <v>95</v>
      </c>
      <c r="AQ5" s="16">
        <v>132.5</v>
      </c>
      <c r="AR5" s="6">
        <v>0.2</v>
      </c>
      <c r="AS5" s="16">
        <v>0.45</v>
      </c>
      <c r="AT5" s="43"/>
      <c r="AU5" s="37"/>
      <c r="AV5" s="43"/>
      <c r="AW5" s="37"/>
      <c r="AX5" s="49"/>
      <c r="AY5" s="46"/>
    </row>
    <row r="6" spans="1:51" x14ac:dyDescent="0.25">
      <c r="F6" s="9">
        <v>90</v>
      </c>
      <c r="G6" s="13">
        <v>2.5379999999999998</v>
      </c>
      <c r="H6" s="15">
        <v>14.9</v>
      </c>
      <c r="I6" s="15">
        <v>131</v>
      </c>
      <c r="J6" s="15">
        <v>90.9</v>
      </c>
      <c r="M6" s="9">
        <v>90</v>
      </c>
      <c r="N6" s="14">
        <f t="shared" si="2"/>
        <v>7.9039251852059782E-3</v>
      </c>
      <c r="O6" s="14">
        <f t="shared" si="3"/>
        <v>0.10074762197358969</v>
      </c>
      <c r="P6" s="14">
        <f t="shared" si="4"/>
        <v>0.43589945323816748</v>
      </c>
      <c r="Q6" s="14">
        <f t="shared" si="5"/>
        <v>0.32014072426564749</v>
      </c>
      <c r="T6" s="9">
        <v>90</v>
      </c>
      <c r="U6" s="13">
        <f t="shared" si="8"/>
        <v>8.0000000000000002E-3</v>
      </c>
      <c r="V6" s="15">
        <f t="shared" si="0"/>
        <v>0.11</v>
      </c>
      <c r="W6" s="15">
        <f t="shared" si="1"/>
        <v>0.44</v>
      </c>
      <c r="X6" s="15">
        <f t="shared" si="6"/>
        <v>0.33</v>
      </c>
      <c r="AA6">
        <f t="shared" si="9"/>
        <v>363</v>
      </c>
      <c r="AB6" s="17">
        <f t="shared" si="10"/>
        <v>2.7548209366391183</v>
      </c>
      <c r="AC6" s="17">
        <f t="shared" si="7"/>
        <v>2.7013612129514133</v>
      </c>
      <c r="AD6" s="17">
        <f t="shared" si="11"/>
        <v>1.6000000000000001E-3</v>
      </c>
      <c r="AE6" s="17">
        <f t="shared" si="12"/>
        <v>7.4000000000000003E-3</v>
      </c>
      <c r="AF6" s="18"/>
      <c r="AO6" s="9">
        <v>3</v>
      </c>
      <c r="AP6" s="9">
        <v>90</v>
      </c>
      <c r="AQ6" s="15">
        <v>131</v>
      </c>
      <c r="AR6" s="9">
        <v>0.2</v>
      </c>
      <c r="AS6" s="15">
        <v>0.44</v>
      </c>
      <c r="AT6" s="43"/>
      <c r="AU6" s="37"/>
      <c r="AV6" s="43"/>
      <c r="AW6" s="37"/>
      <c r="AX6" s="49"/>
      <c r="AY6" s="46"/>
    </row>
    <row r="7" spans="1:51" x14ac:dyDescent="0.25">
      <c r="F7" s="6">
        <v>85</v>
      </c>
      <c r="G7" s="11">
        <v>2.7879999999999998</v>
      </c>
      <c r="H7" s="16">
        <v>15.9</v>
      </c>
      <c r="I7" s="16">
        <v>129.69999999999999</v>
      </c>
      <c r="J7" s="16">
        <v>98.4</v>
      </c>
      <c r="M7" s="6">
        <v>85</v>
      </c>
      <c r="N7" s="14">
        <f t="shared" si="2"/>
        <v>8.6256130216930092E-3</v>
      </c>
      <c r="O7" s="12">
        <f t="shared" si="3"/>
        <v>0.10363437331953783</v>
      </c>
      <c r="P7" s="12">
        <f t="shared" si="4"/>
        <v>0.43214667648843486</v>
      </c>
      <c r="Q7" s="12">
        <f t="shared" si="5"/>
        <v>0.34179135936025851</v>
      </c>
      <c r="T7" s="6">
        <v>85</v>
      </c>
      <c r="U7" s="11">
        <f t="shared" si="8"/>
        <v>8.6999999999999994E-3</v>
      </c>
      <c r="V7" s="16">
        <f t="shared" si="0"/>
        <v>0.11</v>
      </c>
      <c r="W7" s="16">
        <f t="shared" si="1"/>
        <v>0.44</v>
      </c>
      <c r="X7" s="16">
        <f t="shared" si="6"/>
        <v>0.35000000000000003</v>
      </c>
      <c r="AA7">
        <f t="shared" si="9"/>
        <v>358</v>
      </c>
      <c r="AB7" s="17">
        <f t="shared" si="10"/>
        <v>2.7932960893854748</v>
      </c>
      <c r="AC7" s="17">
        <f t="shared" si="7"/>
        <v>2.7663191092261861</v>
      </c>
      <c r="AD7" s="17">
        <f t="shared" si="11"/>
        <v>1.6000000000000001E-3</v>
      </c>
      <c r="AE7" s="17">
        <f t="shared" si="12"/>
        <v>7.0000000000000001E-3</v>
      </c>
      <c r="AF7" s="18"/>
      <c r="AO7" s="6">
        <v>4</v>
      </c>
      <c r="AP7" s="6">
        <v>85</v>
      </c>
      <c r="AQ7" s="16">
        <v>129.69999999999999</v>
      </c>
      <c r="AR7" s="6">
        <v>0.2</v>
      </c>
      <c r="AS7" s="16">
        <v>0.44</v>
      </c>
      <c r="AT7" s="43"/>
      <c r="AU7" s="37"/>
      <c r="AV7" s="43"/>
      <c r="AW7" s="37"/>
      <c r="AX7" s="49"/>
      <c r="AY7" s="46"/>
    </row>
    <row r="8" spans="1:51" x14ac:dyDescent="0.25">
      <c r="F8" s="9">
        <v>80</v>
      </c>
      <c r="G8" s="13">
        <v>3.11</v>
      </c>
      <c r="H8" s="15">
        <v>16.7</v>
      </c>
      <c r="I8" s="15">
        <v>128.1</v>
      </c>
      <c r="J8" s="15">
        <v>109.2</v>
      </c>
      <c r="M8" s="9">
        <v>80</v>
      </c>
      <c r="N8" s="14">
        <f t="shared" si="2"/>
        <v>9.5551469550883058E-3</v>
      </c>
      <c r="O8" s="14">
        <f t="shared" si="3"/>
        <v>0.10594377439629633</v>
      </c>
      <c r="P8" s="14">
        <f t="shared" si="4"/>
        <v>0.42752787433491785</v>
      </c>
      <c r="Q8" s="14">
        <f t="shared" si="5"/>
        <v>0.37296827389649828</v>
      </c>
      <c r="T8" s="9">
        <v>80</v>
      </c>
      <c r="U8" s="13">
        <f t="shared" si="8"/>
        <v>9.5999999999999992E-3</v>
      </c>
      <c r="V8" s="15">
        <f t="shared" si="0"/>
        <v>0.11</v>
      </c>
      <c r="W8" s="15">
        <f t="shared" si="1"/>
        <v>0.43</v>
      </c>
      <c r="X8" s="15">
        <f t="shared" si="6"/>
        <v>0.38</v>
      </c>
      <c r="AA8">
        <f t="shared" si="9"/>
        <v>353</v>
      </c>
      <c r="AB8" s="17">
        <f t="shared" si="10"/>
        <v>2.8328611898016995</v>
      </c>
      <c r="AC8" s="17">
        <f t="shared" si="7"/>
        <v>2.8154087194227095</v>
      </c>
      <c r="AD8" s="17">
        <f t="shared" si="11"/>
        <v>1.7000000000000001E-3</v>
      </c>
      <c r="AE8" s="17">
        <f t="shared" si="12"/>
        <v>6.6E-3</v>
      </c>
      <c r="AF8" s="18"/>
      <c r="AO8" s="9">
        <v>5</v>
      </c>
      <c r="AP8" s="9">
        <v>80</v>
      </c>
      <c r="AQ8" s="15">
        <v>128.1</v>
      </c>
      <c r="AR8" s="9">
        <v>0.2</v>
      </c>
      <c r="AS8" s="15">
        <v>0.43</v>
      </c>
      <c r="AT8" s="43"/>
      <c r="AU8" s="37"/>
      <c r="AV8" s="43"/>
      <c r="AW8" s="37"/>
      <c r="AX8" s="49"/>
      <c r="AY8" s="46"/>
    </row>
    <row r="9" spans="1:51" x14ac:dyDescent="0.25">
      <c r="F9" s="6">
        <v>75</v>
      </c>
      <c r="G9" s="7">
        <v>3.46</v>
      </c>
      <c r="H9" s="16">
        <v>17.899999999999999</v>
      </c>
      <c r="I9" s="16">
        <v>126.6</v>
      </c>
      <c r="J9" s="16">
        <v>122.5</v>
      </c>
      <c r="M9" s="6">
        <v>75</v>
      </c>
      <c r="N9" s="14">
        <f t="shared" si="2"/>
        <v>1.0565509926170152E-2</v>
      </c>
      <c r="O9" s="12">
        <f t="shared" si="3"/>
        <v>0.10940787601143409</v>
      </c>
      <c r="P9" s="12">
        <f t="shared" si="4"/>
        <v>0.42319774731599569</v>
      </c>
      <c r="Q9" s="12">
        <f t="shared" si="5"/>
        <v>0.41136206679760839</v>
      </c>
      <c r="T9" s="6">
        <v>75</v>
      </c>
      <c r="U9" s="7">
        <f t="shared" si="8"/>
        <v>1.06E-2</v>
      </c>
      <c r="V9" s="16">
        <f t="shared" si="0"/>
        <v>0.11</v>
      </c>
      <c r="W9" s="16">
        <f t="shared" si="1"/>
        <v>0.43</v>
      </c>
      <c r="X9" s="16">
        <f t="shared" si="6"/>
        <v>0.42</v>
      </c>
      <c r="AA9">
        <f t="shared" si="9"/>
        <v>348</v>
      </c>
      <c r="AB9" s="17">
        <f t="shared" si="10"/>
        <v>2.8735632183908044</v>
      </c>
      <c r="AC9" s="17">
        <f t="shared" si="7"/>
        <v>2.884800712846709</v>
      </c>
      <c r="AD9" s="17">
        <f t="shared" si="11"/>
        <v>1.7000000000000001E-3</v>
      </c>
      <c r="AE9" s="17">
        <f t="shared" si="12"/>
        <v>6.2000000000000006E-3</v>
      </c>
      <c r="AF9" s="18"/>
      <c r="AO9" s="6">
        <v>6</v>
      </c>
      <c r="AP9" s="6">
        <v>75</v>
      </c>
      <c r="AQ9" s="16">
        <v>126.6</v>
      </c>
      <c r="AR9" s="6">
        <v>0.2</v>
      </c>
      <c r="AS9" s="16">
        <v>0.43</v>
      </c>
      <c r="AT9" s="43"/>
      <c r="AU9" s="37"/>
      <c r="AV9" s="43"/>
      <c r="AW9" s="37"/>
      <c r="AX9" s="49"/>
      <c r="AY9" s="46"/>
    </row>
    <row r="10" spans="1:51" x14ac:dyDescent="0.25">
      <c r="F10" s="9">
        <v>70</v>
      </c>
      <c r="G10" s="10">
        <v>3.919</v>
      </c>
      <c r="H10" s="15">
        <v>19.3</v>
      </c>
      <c r="I10" s="15">
        <v>125.1</v>
      </c>
      <c r="J10" s="15">
        <v>136.69999999999999</v>
      </c>
      <c r="M10" s="9">
        <v>70</v>
      </c>
      <c r="N10" s="14">
        <f t="shared" si="2"/>
        <v>1.1890528793960345E-2</v>
      </c>
      <c r="O10" s="14">
        <f t="shared" si="3"/>
        <v>0.11344932789576147</v>
      </c>
      <c r="P10" s="14">
        <f t="shared" si="4"/>
        <v>0.41886762029707347</v>
      </c>
      <c r="Q10" s="14">
        <f t="shared" si="5"/>
        <v>0.45235393591007178</v>
      </c>
      <c r="T10" s="9">
        <v>70</v>
      </c>
      <c r="U10" s="10">
        <f t="shared" si="8"/>
        <v>1.1899999999999999E-2</v>
      </c>
      <c r="V10" s="15">
        <f t="shared" si="0"/>
        <v>0.12</v>
      </c>
      <c r="W10" s="15">
        <f t="shared" si="1"/>
        <v>0.42</v>
      </c>
      <c r="X10" s="15">
        <f t="shared" si="6"/>
        <v>0.46</v>
      </c>
      <c r="AA10">
        <f t="shared" si="9"/>
        <v>343</v>
      </c>
      <c r="AB10" s="17">
        <f t="shared" si="10"/>
        <v>2.9154518950437316</v>
      </c>
      <c r="AC10" s="17">
        <f t="shared" si="7"/>
        <v>2.9601050959108397</v>
      </c>
      <c r="AD10" s="17">
        <f t="shared" si="11"/>
        <v>1.7000000000000001E-3</v>
      </c>
      <c r="AE10" s="17">
        <f t="shared" si="12"/>
        <v>6.3E-3</v>
      </c>
      <c r="AF10" s="18"/>
      <c r="AO10" s="9">
        <v>7</v>
      </c>
      <c r="AP10" s="9">
        <v>70</v>
      </c>
      <c r="AQ10" s="15">
        <v>125.1</v>
      </c>
      <c r="AR10" s="9">
        <v>0.2</v>
      </c>
      <c r="AS10" s="15">
        <v>0.42</v>
      </c>
      <c r="AT10" s="43"/>
      <c r="AU10" s="37"/>
      <c r="AV10" s="43"/>
      <c r="AW10" s="37"/>
      <c r="AX10" s="49"/>
      <c r="AY10" s="46"/>
    </row>
    <row r="11" spans="1:51" x14ac:dyDescent="0.25">
      <c r="F11" s="6">
        <v>65</v>
      </c>
      <c r="G11" s="7">
        <v>4.5199999999999996</v>
      </c>
      <c r="H11" s="16">
        <v>21.3</v>
      </c>
      <c r="I11" s="16">
        <v>123.4</v>
      </c>
      <c r="J11" s="16">
        <v>155.6</v>
      </c>
      <c r="M11" s="6">
        <v>65</v>
      </c>
      <c r="N11" s="14">
        <f>(0.5%*G11+0.01)/SQRT(3)</f>
        <v>1.8821618775581798E-2</v>
      </c>
      <c r="O11" s="12">
        <f t="shared" si="3"/>
        <v>0.11922283058765774</v>
      </c>
      <c r="P11" s="12">
        <f t="shared" si="4"/>
        <v>0.41396014300896167</v>
      </c>
      <c r="Q11" s="12">
        <f t="shared" si="5"/>
        <v>0.50691353634849146</v>
      </c>
      <c r="T11" s="6">
        <v>65</v>
      </c>
      <c r="U11" s="7">
        <f t="shared" si="8"/>
        <v>1.89E-2</v>
      </c>
      <c r="V11" s="16">
        <f t="shared" si="0"/>
        <v>0.12</v>
      </c>
      <c r="W11" s="16">
        <f t="shared" si="1"/>
        <v>0.42</v>
      </c>
      <c r="X11" s="16">
        <f t="shared" si="6"/>
        <v>0.51</v>
      </c>
      <c r="AA11">
        <f t="shared" si="9"/>
        <v>338</v>
      </c>
      <c r="AB11" s="17">
        <f t="shared" si="10"/>
        <v>2.9585798816568047</v>
      </c>
      <c r="AC11" s="17">
        <f t="shared" si="7"/>
        <v>3.0587070727153796</v>
      </c>
      <c r="AD11" s="17">
        <f t="shared" si="11"/>
        <v>1.8E-3</v>
      </c>
      <c r="AE11" s="17">
        <f t="shared" si="12"/>
        <v>5.7000000000000002E-3</v>
      </c>
      <c r="AF11" s="18"/>
      <c r="AO11" s="6">
        <v>8</v>
      </c>
      <c r="AP11" s="6">
        <v>65</v>
      </c>
      <c r="AQ11" s="16">
        <v>123.4</v>
      </c>
      <c r="AR11" s="6">
        <v>0.2</v>
      </c>
      <c r="AS11" s="16">
        <v>0.42</v>
      </c>
      <c r="AT11" s="43"/>
      <c r="AU11" s="37"/>
      <c r="AV11" s="43"/>
      <c r="AW11" s="37"/>
      <c r="AX11" s="49"/>
      <c r="AY11" s="46"/>
    </row>
    <row r="12" spans="1:51" x14ac:dyDescent="0.25">
      <c r="F12" s="9">
        <v>60</v>
      </c>
      <c r="G12" s="10">
        <v>5.29</v>
      </c>
      <c r="H12" s="15">
        <v>23.6</v>
      </c>
      <c r="I12" s="15">
        <v>121.6</v>
      </c>
      <c r="J12" s="15">
        <v>177.5</v>
      </c>
      <c r="M12" s="9">
        <v>60</v>
      </c>
      <c r="N12" s="14">
        <f t="shared" ref="N12:N19" si="13">(0.5%*G12+0.01)/SQRT(3)</f>
        <v>2.1044417311961862E-2</v>
      </c>
      <c r="O12" s="14">
        <f t="shared" si="3"/>
        <v>0.12586235868333845</v>
      </c>
      <c r="P12" s="14">
        <f t="shared" si="4"/>
        <v>0.40876399058625507</v>
      </c>
      <c r="Q12" s="14">
        <f t="shared" si="5"/>
        <v>0.57013339082475545</v>
      </c>
      <c r="T12" s="9">
        <v>60</v>
      </c>
      <c r="U12" s="10">
        <v>2.1999999999999999E-2</v>
      </c>
      <c r="V12" s="15">
        <f t="shared" si="0"/>
        <v>0.13</v>
      </c>
      <c r="W12" s="15">
        <f t="shared" si="1"/>
        <v>0.41000000000000003</v>
      </c>
      <c r="X12" s="15">
        <f t="shared" si="6"/>
        <v>0.57999999999999996</v>
      </c>
      <c r="AA12">
        <f t="shared" si="9"/>
        <v>333</v>
      </c>
      <c r="AB12" s="17">
        <f t="shared" si="10"/>
        <v>3.0030030030030028</v>
      </c>
      <c r="AC12" s="17">
        <f t="shared" si="7"/>
        <v>3.1612467120315646</v>
      </c>
      <c r="AD12" s="17">
        <f t="shared" si="11"/>
        <v>1.9E-3</v>
      </c>
      <c r="AE12" s="17">
        <f t="shared" si="12"/>
        <v>5.5999999999999999E-3</v>
      </c>
      <c r="AF12" s="18"/>
      <c r="AO12" s="9">
        <v>9</v>
      </c>
      <c r="AP12" s="9">
        <v>60</v>
      </c>
      <c r="AQ12" s="15">
        <v>121.6</v>
      </c>
      <c r="AR12" s="9">
        <v>0.2</v>
      </c>
      <c r="AS12" s="15">
        <v>0.41000000000000003</v>
      </c>
      <c r="AT12" s="43"/>
      <c r="AU12" s="37"/>
      <c r="AV12" s="43"/>
      <c r="AW12" s="37"/>
      <c r="AX12" s="49"/>
      <c r="AY12" s="46"/>
    </row>
    <row r="13" spans="1:51" x14ac:dyDescent="0.25">
      <c r="F13" s="6">
        <v>55</v>
      </c>
      <c r="G13" s="7">
        <v>6.11</v>
      </c>
      <c r="H13" s="16">
        <v>26.1</v>
      </c>
      <c r="I13" s="16">
        <v>119.9</v>
      </c>
      <c r="J13" s="16">
        <v>202.7</v>
      </c>
      <c r="M13" s="6">
        <v>55</v>
      </c>
      <c r="N13" s="14">
        <f t="shared" si="13"/>
        <v>2.3411553415639327E-2</v>
      </c>
      <c r="O13" s="12">
        <f t="shared" si="3"/>
        <v>0.13307923704820876</v>
      </c>
      <c r="P13" s="12">
        <f t="shared" si="4"/>
        <v>0.40385651329814326</v>
      </c>
      <c r="Q13" s="12">
        <f t="shared" si="5"/>
        <v>0.64287952474264842</v>
      </c>
      <c r="T13" s="6">
        <v>55</v>
      </c>
      <c r="U13" s="7">
        <f t="shared" si="8"/>
        <v>2.35E-2</v>
      </c>
      <c r="V13" s="16">
        <f t="shared" si="0"/>
        <v>0.14000000000000001</v>
      </c>
      <c r="W13" s="16">
        <f t="shared" si="1"/>
        <v>0.41000000000000003</v>
      </c>
      <c r="X13" s="16">
        <f t="shared" si="6"/>
        <v>0.65</v>
      </c>
      <c r="AA13">
        <f t="shared" si="9"/>
        <v>328</v>
      </c>
      <c r="AB13" s="17">
        <f t="shared" si="10"/>
        <v>3.0487804878048781</v>
      </c>
      <c r="AC13" s="17">
        <f t="shared" si="7"/>
        <v>3.2619353143286478</v>
      </c>
      <c r="AD13" s="17">
        <f t="shared" si="11"/>
        <v>1.9E-3</v>
      </c>
      <c r="AE13" s="17">
        <f t="shared" si="12"/>
        <v>5.4000000000000003E-3</v>
      </c>
      <c r="AF13" s="18"/>
      <c r="AO13" s="6">
        <v>10</v>
      </c>
      <c r="AP13" s="6">
        <v>55</v>
      </c>
      <c r="AQ13" s="16">
        <v>119.9</v>
      </c>
      <c r="AR13" s="6">
        <v>0.2</v>
      </c>
      <c r="AS13" s="16">
        <v>0.41000000000000003</v>
      </c>
      <c r="AT13" s="43"/>
      <c r="AU13" s="37"/>
      <c r="AV13" s="43"/>
      <c r="AW13" s="37"/>
      <c r="AX13" s="49"/>
      <c r="AY13" s="46"/>
    </row>
    <row r="14" spans="1:51" x14ac:dyDescent="0.25">
      <c r="F14" s="9">
        <v>50</v>
      </c>
      <c r="G14" s="10">
        <v>7.15</v>
      </c>
      <c r="H14" s="15">
        <v>29</v>
      </c>
      <c r="I14" s="15">
        <v>118.2</v>
      </c>
      <c r="J14" s="15">
        <v>233</v>
      </c>
      <c r="M14" s="9">
        <v>50</v>
      </c>
      <c r="N14" s="14">
        <f t="shared" si="13"/>
        <v>2.6413774815425384E-2</v>
      </c>
      <c r="O14" s="12">
        <f t="shared" si="3"/>
        <v>0.14145081595145831</v>
      </c>
      <c r="P14" s="12">
        <f t="shared" si="4"/>
        <v>0.39894903601003145</v>
      </c>
      <c r="Q14" s="12">
        <f t="shared" si="5"/>
        <v>0.7303480905248767</v>
      </c>
      <c r="T14" s="9">
        <v>50</v>
      </c>
      <c r="U14" s="10">
        <f t="shared" si="8"/>
        <v>2.6499999999999999E-2</v>
      </c>
      <c r="V14" s="15">
        <f t="shared" si="0"/>
        <v>0.15000000000000002</v>
      </c>
      <c r="W14" s="15">
        <f t="shared" si="1"/>
        <v>0.4</v>
      </c>
      <c r="X14" s="15">
        <f t="shared" si="6"/>
        <v>0.74</v>
      </c>
      <c r="AA14">
        <f t="shared" si="9"/>
        <v>323</v>
      </c>
      <c r="AB14" s="17">
        <f t="shared" si="10"/>
        <v>3.0959752321981426</v>
      </c>
      <c r="AC14" s="17">
        <f t="shared" si="7"/>
        <v>3.3672958299864741</v>
      </c>
      <c r="AD14" s="17">
        <f t="shared" si="11"/>
        <v>2E-3</v>
      </c>
      <c r="AE14" s="17">
        <f t="shared" si="12"/>
        <v>5.2000000000000006E-3</v>
      </c>
      <c r="AF14" s="18"/>
      <c r="AO14" s="9">
        <v>11</v>
      </c>
      <c r="AP14" s="9">
        <v>50</v>
      </c>
      <c r="AQ14" s="15">
        <v>118.2</v>
      </c>
      <c r="AR14" s="9">
        <v>0.2</v>
      </c>
      <c r="AS14" s="15">
        <v>0.4</v>
      </c>
      <c r="AT14" s="43"/>
      <c r="AU14" s="37"/>
      <c r="AV14" s="43"/>
      <c r="AW14" s="37"/>
      <c r="AX14" s="49"/>
      <c r="AY14" s="46"/>
    </row>
    <row r="15" spans="1:51" x14ac:dyDescent="0.25">
      <c r="F15" s="6">
        <v>45</v>
      </c>
      <c r="G15" s="7">
        <v>8.24</v>
      </c>
      <c r="H15" s="16">
        <v>32.200000000000003</v>
      </c>
      <c r="I15" s="16">
        <v>116.6</v>
      </c>
      <c r="J15" s="16">
        <v>267.5</v>
      </c>
      <c r="M15" s="6">
        <v>45</v>
      </c>
      <c r="N15" s="14">
        <f t="shared" si="13"/>
        <v>2.9560333782508844E-2</v>
      </c>
      <c r="O15" s="12">
        <f t="shared" si="3"/>
        <v>0.15068842025849233</v>
      </c>
      <c r="P15" s="12">
        <f t="shared" si="4"/>
        <v>0.39433023385651439</v>
      </c>
      <c r="Q15" s="12">
        <f t="shared" si="5"/>
        <v>0.82994101196008718</v>
      </c>
      <c r="T15" s="6">
        <v>45</v>
      </c>
      <c r="U15" s="7">
        <f t="shared" si="8"/>
        <v>2.9599999999999998E-2</v>
      </c>
      <c r="V15" s="16">
        <f t="shared" si="0"/>
        <v>0.16</v>
      </c>
      <c r="W15" s="16">
        <f t="shared" si="1"/>
        <v>0.4</v>
      </c>
      <c r="X15" s="16">
        <f t="shared" si="6"/>
        <v>0.83</v>
      </c>
      <c r="AA15">
        <f t="shared" si="9"/>
        <v>318</v>
      </c>
      <c r="AB15" s="17">
        <f t="shared" si="10"/>
        <v>3.1446540880503147</v>
      </c>
      <c r="AC15" s="17">
        <f t="shared" si="7"/>
        <v>3.4719664525503626</v>
      </c>
      <c r="AD15" s="17">
        <f t="shared" si="11"/>
        <v>2E-3</v>
      </c>
      <c r="AE15" s="17">
        <f t="shared" si="12"/>
        <v>5.0000000000000001E-3</v>
      </c>
      <c r="AF15" s="18"/>
      <c r="AO15" s="6">
        <v>12</v>
      </c>
      <c r="AP15" s="6">
        <v>45</v>
      </c>
      <c r="AQ15" s="16">
        <v>116.6</v>
      </c>
      <c r="AR15" s="6">
        <v>0.1</v>
      </c>
      <c r="AS15" s="16">
        <v>0.4</v>
      </c>
      <c r="AT15" s="43"/>
      <c r="AU15" s="37"/>
      <c r="AV15" s="43"/>
      <c r="AW15" s="37"/>
      <c r="AX15" s="49"/>
      <c r="AY15" s="46"/>
    </row>
    <row r="16" spans="1:51" x14ac:dyDescent="0.25">
      <c r="F16" s="9">
        <v>40</v>
      </c>
      <c r="G16" s="10">
        <v>9.85</v>
      </c>
      <c r="H16" s="15">
        <v>36.4</v>
      </c>
      <c r="I16" s="15">
        <v>114.8</v>
      </c>
      <c r="J16" s="15">
        <v>310.3</v>
      </c>
      <c r="M16" s="9">
        <v>40</v>
      </c>
      <c r="N16" s="14">
        <f t="shared" si="13"/>
        <v>3.4208003449485332E-2</v>
      </c>
      <c r="O16" s="12">
        <f t="shared" si="3"/>
        <v>0.1628127759114745</v>
      </c>
      <c r="P16" s="12">
        <f t="shared" si="4"/>
        <v>0.38913408143380773</v>
      </c>
      <c r="Q16" s="12">
        <f t="shared" si="5"/>
        <v>0.9534939695666671</v>
      </c>
      <c r="T16" s="9">
        <v>40</v>
      </c>
      <c r="U16" s="10">
        <f>ROUNDUP(N16,3)</f>
        <v>3.5000000000000003E-2</v>
      </c>
      <c r="V16" s="15">
        <f t="shared" si="0"/>
        <v>0.17</v>
      </c>
      <c r="W16" s="15">
        <f t="shared" si="1"/>
        <v>0.39</v>
      </c>
      <c r="X16" s="15">
        <f t="shared" si="6"/>
        <v>0.96</v>
      </c>
      <c r="AA16">
        <f t="shared" si="9"/>
        <v>313</v>
      </c>
      <c r="AB16" s="17">
        <f t="shared" si="10"/>
        <v>3.1948881789137382</v>
      </c>
      <c r="AC16" s="17">
        <f t="shared" si="7"/>
        <v>3.5945687746426951</v>
      </c>
      <c r="AD16" s="17">
        <f t="shared" si="11"/>
        <v>2.0999999999999999E-3</v>
      </c>
      <c r="AE16" s="17">
        <f t="shared" si="12"/>
        <v>4.7000000000000002E-3</v>
      </c>
      <c r="AF16" s="18"/>
      <c r="AO16" s="9">
        <v>13</v>
      </c>
      <c r="AP16" s="9">
        <v>40</v>
      </c>
      <c r="AQ16" s="15">
        <v>114.8</v>
      </c>
      <c r="AR16" s="9">
        <v>0.1</v>
      </c>
      <c r="AS16" s="15">
        <v>0.39</v>
      </c>
      <c r="AT16" s="43"/>
      <c r="AU16" s="37"/>
      <c r="AV16" s="43"/>
      <c r="AW16" s="37"/>
      <c r="AX16" s="49"/>
      <c r="AY16" s="46"/>
    </row>
    <row r="17" spans="4:52" x14ac:dyDescent="0.25">
      <c r="F17" s="6">
        <v>35</v>
      </c>
      <c r="G17" s="7">
        <v>11.49</v>
      </c>
      <c r="H17" s="16">
        <v>40.6</v>
      </c>
      <c r="I17" s="16">
        <v>113.1</v>
      </c>
      <c r="J17" s="16">
        <v>358.6</v>
      </c>
      <c r="M17" s="6">
        <v>35</v>
      </c>
      <c r="N17" s="14">
        <f t="shared" si="13"/>
        <v>3.8942275656840261E-2</v>
      </c>
      <c r="O17" s="12">
        <f t="shared" si="3"/>
        <v>0.17493713156445664</v>
      </c>
      <c r="P17" s="12">
        <f t="shared" si="4"/>
        <v>0.38422660414569598</v>
      </c>
      <c r="Q17" s="12">
        <f t="shared" si="5"/>
        <v>1.0929240595759617</v>
      </c>
      <c r="T17" s="6">
        <v>35</v>
      </c>
      <c r="U17" s="7">
        <f t="shared" ref="U17:U19" si="14">ROUNDUP(N17,3)</f>
        <v>3.9E-2</v>
      </c>
      <c r="V17" s="16">
        <f t="shared" si="0"/>
        <v>0.18000000000000002</v>
      </c>
      <c r="W17" s="16">
        <f t="shared" si="1"/>
        <v>0.39</v>
      </c>
      <c r="X17" s="8">
        <f>ROUNDUP(Q17,1)</f>
        <v>1.1000000000000001</v>
      </c>
      <c r="AA17">
        <f t="shared" si="9"/>
        <v>308</v>
      </c>
      <c r="AB17" s="17">
        <f t="shared" si="10"/>
        <v>3.2467532467532467</v>
      </c>
      <c r="AC17" s="17">
        <f t="shared" si="7"/>
        <v>3.7037680666076871</v>
      </c>
      <c r="AD17" s="17">
        <f t="shared" si="11"/>
        <v>2.1999999999999997E-3</v>
      </c>
      <c r="AE17" s="17">
        <f t="shared" si="12"/>
        <v>4.5000000000000005E-3</v>
      </c>
      <c r="AF17" s="18"/>
      <c r="AO17" s="6">
        <v>14</v>
      </c>
      <c r="AP17" s="6">
        <v>35</v>
      </c>
      <c r="AQ17" s="16">
        <v>113.1</v>
      </c>
      <c r="AR17" s="6">
        <v>0.1</v>
      </c>
      <c r="AS17" s="16">
        <v>0.39</v>
      </c>
      <c r="AT17" s="43"/>
      <c r="AU17" s="37"/>
      <c r="AV17" s="43"/>
      <c r="AW17" s="37"/>
      <c r="AX17" s="49"/>
      <c r="AY17" s="46"/>
    </row>
    <row r="18" spans="4:52" x14ac:dyDescent="0.25">
      <c r="F18" s="9">
        <v>30</v>
      </c>
      <c r="G18" s="10">
        <v>14.07</v>
      </c>
      <c r="H18" s="15">
        <v>46.8</v>
      </c>
      <c r="I18" s="15">
        <v>111.3</v>
      </c>
      <c r="J18" s="13">
        <v>0.42399999999999999</v>
      </c>
      <c r="K18" s="1" t="s">
        <v>8</v>
      </c>
      <c r="M18" s="9">
        <v>30</v>
      </c>
      <c r="N18" s="14">
        <f t="shared" si="13"/>
        <v>4.6390094129386439E-2</v>
      </c>
      <c r="O18" s="12">
        <f t="shared" si="3"/>
        <v>0.19283498990933501</v>
      </c>
      <c r="P18" s="12">
        <f>(0.5%*I18+0.1)/SQRT(3)</f>
        <v>0.37903045172298933</v>
      </c>
      <c r="Q18" s="12">
        <f>(0.5%*J18+0.001)/SQRT(3)</f>
        <v>1.8013328398716324E-3</v>
      </c>
      <c r="R18" s="1" t="s">
        <v>8</v>
      </c>
      <c r="T18" s="9">
        <v>30</v>
      </c>
      <c r="U18" s="10">
        <f t="shared" si="14"/>
        <v>4.7E-2</v>
      </c>
      <c r="V18" s="15">
        <f t="shared" si="0"/>
        <v>0.2</v>
      </c>
      <c r="W18" s="15">
        <f t="shared" si="1"/>
        <v>0.38</v>
      </c>
      <c r="X18" s="13">
        <f>ROUNDUP(Q18,4)</f>
        <v>1.9E-3</v>
      </c>
      <c r="Y18" s="1" t="s">
        <v>8</v>
      </c>
      <c r="AA18">
        <f t="shared" si="9"/>
        <v>303</v>
      </c>
      <c r="AB18" s="17">
        <f t="shared" si="10"/>
        <v>3.3003300330033003</v>
      </c>
      <c r="AC18" s="17">
        <f t="shared" si="7"/>
        <v>3.8458832029236012</v>
      </c>
      <c r="AD18" s="17">
        <f t="shared" si="11"/>
        <v>2.1999999999999997E-3</v>
      </c>
      <c r="AE18" s="17">
        <f t="shared" si="12"/>
        <v>4.3E-3</v>
      </c>
      <c r="AF18" s="18"/>
      <c r="AO18" s="9">
        <v>15</v>
      </c>
      <c r="AP18" s="9">
        <v>30</v>
      </c>
      <c r="AQ18" s="15">
        <v>111.3</v>
      </c>
      <c r="AR18" s="9">
        <v>0.1</v>
      </c>
      <c r="AS18" s="15">
        <v>0.38</v>
      </c>
      <c r="AT18" s="43"/>
      <c r="AU18" s="37"/>
      <c r="AV18" s="43"/>
      <c r="AW18" s="37"/>
      <c r="AX18" s="49"/>
      <c r="AY18" s="46"/>
    </row>
    <row r="19" spans="4:52" x14ac:dyDescent="0.25">
      <c r="F19" s="6">
        <v>26</v>
      </c>
      <c r="G19" s="7">
        <v>19.27</v>
      </c>
      <c r="H19" s="16">
        <v>52.6</v>
      </c>
      <c r="I19" s="16">
        <v>109.8</v>
      </c>
      <c r="J19" s="11">
        <v>0.48699999999999999</v>
      </c>
      <c r="K19" s="1" t="s">
        <v>8</v>
      </c>
      <c r="M19" s="6">
        <v>26</v>
      </c>
      <c r="N19" s="14">
        <f t="shared" si="13"/>
        <v>6.1401201128316707E-2</v>
      </c>
      <c r="O19" s="12">
        <f t="shared" si="3"/>
        <v>0.20957814771583416</v>
      </c>
      <c r="P19" s="12">
        <f>(0.5%*I19+0.1)/SQRT(3)</f>
        <v>0.37470032470406717</v>
      </c>
      <c r="Q19" s="12">
        <f>(0.5%*J19+0.001)/SQRT(3)</f>
        <v>1.9831981746663645E-3</v>
      </c>
      <c r="R19" s="1" t="s">
        <v>8</v>
      </c>
      <c r="T19" s="6">
        <v>26</v>
      </c>
      <c r="U19" s="7">
        <f t="shared" si="14"/>
        <v>6.2E-2</v>
      </c>
      <c r="V19" s="16">
        <f t="shared" si="0"/>
        <v>0.21000000000000002</v>
      </c>
      <c r="W19" s="16">
        <f t="shared" si="1"/>
        <v>0.38</v>
      </c>
      <c r="X19" s="11">
        <f>ROUNDUP(Q19,4)</f>
        <v>2E-3</v>
      </c>
      <c r="Y19" s="1" t="s">
        <v>8</v>
      </c>
      <c r="AA19">
        <f t="shared" si="9"/>
        <v>299</v>
      </c>
      <c r="AB19" s="17">
        <f t="shared" si="10"/>
        <v>3.3444816053511706</v>
      </c>
      <c r="AC19" s="17">
        <f t="shared" si="7"/>
        <v>3.9627161197436642</v>
      </c>
      <c r="AD19" s="17">
        <f t="shared" si="11"/>
        <v>2.3E-3</v>
      </c>
      <c r="AE19" s="17">
        <f t="shared" si="12"/>
        <v>4.0000000000000001E-3</v>
      </c>
      <c r="AF19" s="18"/>
      <c r="AO19" s="6">
        <v>16</v>
      </c>
      <c r="AP19" s="6">
        <v>26</v>
      </c>
      <c r="AQ19" s="16">
        <v>109.8</v>
      </c>
      <c r="AR19" s="6">
        <v>0.1</v>
      </c>
      <c r="AS19" s="16">
        <v>0.38</v>
      </c>
      <c r="AT19" s="44"/>
      <c r="AU19" s="38"/>
      <c r="AV19" s="44"/>
      <c r="AW19" s="38"/>
      <c r="AX19" s="50"/>
      <c r="AY19" s="47"/>
    </row>
    <row r="22" spans="4:52" x14ac:dyDescent="0.25">
      <c r="D22" cm="1">
        <f t="array" aca="1" ref="D22" ca="1">D22:J23</f>
        <v>0</v>
      </c>
      <c r="F22" s="29" t="s">
        <v>20</v>
      </c>
      <c r="G22" s="29"/>
      <c r="H22" s="29"/>
      <c r="I22" s="29"/>
      <c r="J22" s="29"/>
      <c r="T22" s="29" t="s">
        <v>20</v>
      </c>
      <c r="U22" s="29"/>
      <c r="V22" s="29"/>
      <c r="W22" s="29"/>
      <c r="X22" s="29"/>
      <c r="AB22" s="29"/>
      <c r="AC22" s="29"/>
      <c r="AD22" s="29"/>
      <c r="AE22" s="29"/>
      <c r="AF22" s="29"/>
      <c r="AP22" s="27"/>
      <c r="AQ22" s="27"/>
      <c r="AR22" s="27"/>
      <c r="AS22" s="27"/>
      <c r="AT22" s="27"/>
    </row>
    <row r="23" spans="4:52" x14ac:dyDescent="0.25">
      <c r="F23" s="29"/>
      <c r="G23" s="29"/>
      <c r="H23" s="29"/>
      <c r="I23" s="29"/>
      <c r="J23" s="29"/>
      <c r="T23" s="29"/>
      <c r="U23" s="29"/>
      <c r="V23" s="29"/>
      <c r="W23" s="29"/>
      <c r="X23" s="29"/>
      <c r="AB23" s="29"/>
      <c r="AC23" s="29"/>
      <c r="AD23" s="29"/>
      <c r="AE23" s="29"/>
      <c r="AF23" s="29"/>
      <c r="AP23" s="27"/>
      <c r="AQ23" s="27"/>
      <c r="AR23" s="27"/>
      <c r="AS23" s="27"/>
      <c r="AT23" s="27"/>
    </row>
    <row r="26" spans="4:52" x14ac:dyDescent="0.25">
      <c r="AO26" s="23" t="s">
        <v>30</v>
      </c>
      <c r="AP26" s="19" t="s">
        <v>17</v>
      </c>
      <c r="AQ26" s="19" t="s">
        <v>16</v>
      </c>
      <c r="AR26" s="19" t="s">
        <v>18</v>
      </c>
      <c r="AS26" s="19" t="s">
        <v>15</v>
      </c>
      <c r="AT26" s="19" t="s">
        <v>19</v>
      </c>
      <c r="AU26" s="19" t="s">
        <v>40</v>
      </c>
      <c r="AV26" s="23" t="s">
        <v>26</v>
      </c>
      <c r="AW26" s="24" t="s">
        <v>41</v>
      </c>
      <c r="AX26" s="24" t="s">
        <v>45</v>
      </c>
      <c r="AY26" s="24" t="s">
        <v>41</v>
      </c>
      <c r="AZ26" s="24" t="s">
        <v>45</v>
      </c>
    </row>
    <row r="27" spans="4:52" x14ac:dyDescent="0.25">
      <c r="AO27" s="25"/>
      <c r="AP27" s="20" t="s">
        <v>22</v>
      </c>
      <c r="AQ27" s="20" t="s">
        <v>21</v>
      </c>
      <c r="AR27" s="20" t="s">
        <v>21</v>
      </c>
      <c r="AS27" s="20" t="s">
        <v>23</v>
      </c>
      <c r="AT27" s="20" t="s">
        <v>23</v>
      </c>
      <c r="AU27" s="20" t="s">
        <v>39</v>
      </c>
      <c r="AV27" s="26" t="s">
        <v>39</v>
      </c>
      <c r="AW27" s="26" t="s">
        <v>42</v>
      </c>
      <c r="AX27" s="26" t="s">
        <v>42</v>
      </c>
      <c r="AY27" s="26" t="s">
        <v>43</v>
      </c>
      <c r="AZ27" s="26" t="s">
        <v>43</v>
      </c>
    </row>
    <row r="28" spans="4:52" x14ac:dyDescent="0.25">
      <c r="AO28" s="9">
        <v>1</v>
      </c>
      <c r="AP28" s="6">
        <v>373</v>
      </c>
      <c r="AQ28" s="11">
        <v>2.6809651474530831</v>
      </c>
      <c r="AR28" s="6">
        <v>1.5E-3</v>
      </c>
      <c r="AS28" s="11">
        <v>2.6741486494265287</v>
      </c>
      <c r="AT28" s="11">
        <v>6.8999999999999999E-3</v>
      </c>
      <c r="AU28" s="42">
        <v>2.0249999999999999</v>
      </c>
      <c r="AV28" s="36">
        <v>6.6000000000000003E-2</v>
      </c>
      <c r="AW28" s="39">
        <f xml:space="preserve"> 2000 * AU28 * 1.3806 * 10^(-23)</f>
        <v>5.5914300000000005E-20</v>
      </c>
      <c r="AX28" s="33">
        <f>ROUNDUP((AV28* 2000 * 1.3806 * 10^(-23)),22)</f>
        <v>1.8999999999999999E-21</v>
      </c>
      <c r="AY28" s="30">
        <f>AW28 / (1.60218 * 10^(-19))</f>
        <v>0.34898887765419617</v>
      </c>
      <c r="AZ28" s="30">
        <f>AX28 * 6.241496 * 10^(18)</f>
        <v>1.1858842399999998E-2</v>
      </c>
    </row>
    <row r="29" spans="4:52" x14ac:dyDescent="0.25">
      <c r="AK29" t="s">
        <v>40</v>
      </c>
      <c r="AL29" t="s">
        <v>44</v>
      </c>
      <c r="AO29" s="6">
        <v>2</v>
      </c>
      <c r="AP29" s="9">
        <v>368</v>
      </c>
      <c r="AQ29" s="13">
        <v>2.7173913043478262</v>
      </c>
      <c r="AR29" s="9">
        <v>1.5E-3</v>
      </c>
      <c r="AS29" s="13">
        <v>2.6810215287142909</v>
      </c>
      <c r="AT29" s="13">
        <v>6.8999999999999999E-3</v>
      </c>
      <c r="AU29" s="43">
        <v>2.0249999999999999</v>
      </c>
      <c r="AV29" s="37">
        <v>6.6000000000000003E-2</v>
      </c>
      <c r="AW29" s="40"/>
      <c r="AX29" s="34"/>
      <c r="AY29" s="31"/>
      <c r="AZ29" s="31"/>
    </row>
    <row r="30" spans="4:52" x14ac:dyDescent="0.25">
      <c r="AK30">
        <v>2.0249999999999999</v>
      </c>
      <c r="AL30">
        <v>6.6000000000000003E-2</v>
      </c>
      <c r="AO30" s="9">
        <v>3</v>
      </c>
      <c r="AP30" s="6">
        <v>363</v>
      </c>
      <c r="AQ30" s="11">
        <v>2.7548209366391183</v>
      </c>
      <c r="AR30" s="6">
        <v>1.6000000000000001E-3</v>
      </c>
      <c r="AS30" s="11">
        <v>2.7013612129514133</v>
      </c>
      <c r="AT30" s="11">
        <v>7.4000000000000003E-3</v>
      </c>
      <c r="AU30" s="43">
        <v>2.0249999999999999</v>
      </c>
      <c r="AV30" s="37">
        <v>6.6000000000000003E-2</v>
      </c>
      <c r="AW30" s="40"/>
      <c r="AX30" s="34"/>
      <c r="AY30" s="31"/>
      <c r="AZ30" s="31"/>
    </row>
    <row r="31" spans="4:52" x14ac:dyDescent="0.25">
      <c r="AO31" s="6">
        <v>4</v>
      </c>
      <c r="AP31" s="9">
        <v>358</v>
      </c>
      <c r="AQ31" s="13">
        <v>2.7932960893854748</v>
      </c>
      <c r="AR31" s="9">
        <v>1.6000000000000001E-3</v>
      </c>
      <c r="AS31" s="13">
        <v>2.7663191092261861</v>
      </c>
      <c r="AT31" s="13">
        <v>7.0000000000000001E-3</v>
      </c>
      <c r="AU31" s="43">
        <v>2.0249999999999999</v>
      </c>
      <c r="AV31" s="37">
        <v>6.6000000000000003E-2</v>
      </c>
      <c r="AW31" s="40"/>
      <c r="AX31" s="34"/>
      <c r="AY31" s="31"/>
      <c r="AZ31" s="31"/>
    </row>
    <row r="32" spans="4:52" x14ac:dyDescent="0.25">
      <c r="AO32" s="9">
        <v>5</v>
      </c>
      <c r="AP32" s="6">
        <v>353</v>
      </c>
      <c r="AQ32" s="11">
        <v>2.8328611898016995</v>
      </c>
      <c r="AR32" s="6">
        <v>1.7000000000000001E-3</v>
      </c>
      <c r="AS32" s="11">
        <v>2.8154087194227095</v>
      </c>
      <c r="AT32" s="11">
        <v>6.6E-3</v>
      </c>
      <c r="AU32" s="43">
        <v>2.0249999999999999</v>
      </c>
      <c r="AV32" s="37">
        <v>6.6000000000000003E-2</v>
      </c>
      <c r="AW32" s="40"/>
      <c r="AX32" s="34"/>
      <c r="AY32" s="31"/>
      <c r="AZ32" s="31"/>
    </row>
    <row r="33" spans="29:52" x14ac:dyDescent="0.25">
      <c r="AO33" s="6">
        <v>6</v>
      </c>
      <c r="AP33" s="9">
        <v>348</v>
      </c>
      <c r="AQ33" s="13">
        <v>2.8735632183908044</v>
      </c>
      <c r="AR33" s="9">
        <v>1.7000000000000001E-3</v>
      </c>
      <c r="AS33" s="13">
        <v>2.884800712846709</v>
      </c>
      <c r="AT33" s="13">
        <v>6.2000000000000006E-3</v>
      </c>
      <c r="AU33" s="43">
        <v>2.0249999999999999</v>
      </c>
      <c r="AV33" s="37">
        <v>6.6000000000000003E-2</v>
      </c>
      <c r="AW33" s="40"/>
      <c r="AX33" s="34"/>
      <c r="AY33" s="31"/>
      <c r="AZ33" s="31"/>
    </row>
    <row r="34" spans="29:52" x14ac:dyDescent="0.25">
      <c r="AO34" s="9">
        <v>7</v>
      </c>
      <c r="AP34" s="6">
        <v>343</v>
      </c>
      <c r="AQ34" s="11">
        <v>2.9154518950437316</v>
      </c>
      <c r="AR34" s="6">
        <v>1.7000000000000001E-3</v>
      </c>
      <c r="AS34" s="11">
        <v>2.9601050959108397</v>
      </c>
      <c r="AT34" s="11">
        <v>6.3E-3</v>
      </c>
      <c r="AU34" s="43">
        <v>2.0249999999999999</v>
      </c>
      <c r="AV34" s="37">
        <v>6.6000000000000003E-2</v>
      </c>
      <c r="AW34" s="40"/>
      <c r="AX34" s="34"/>
      <c r="AY34" s="31"/>
      <c r="AZ34" s="31"/>
    </row>
    <row r="35" spans="29:52" x14ac:dyDescent="0.25">
      <c r="AO35" s="6">
        <v>8</v>
      </c>
      <c r="AP35" s="9">
        <v>338</v>
      </c>
      <c r="AQ35" s="13">
        <v>2.9585798816568047</v>
      </c>
      <c r="AR35" s="9">
        <v>1.8E-3</v>
      </c>
      <c r="AS35" s="13">
        <v>3.0587070727153796</v>
      </c>
      <c r="AT35" s="13">
        <v>5.7000000000000002E-3</v>
      </c>
      <c r="AU35" s="43">
        <v>2.0249999999999999</v>
      </c>
      <c r="AV35" s="37">
        <v>6.6000000000000003E-2</v>
      </c>
      <c r="AW35" s="40"/>
      <c r="AX35" s="34"/>
      <c r="AY35" s="31"/>
      <c r="AZ35" s="31"/>
    </row>
    <row r="36" spans="29:52" x14ac:dyDescent="0.25">
      <c r="AO36" s="9">
        <v>9</v>
      </c>
      <c r="AP36" s="6">
        <v>333</v>
      </c>
      <c r="AQ36" s="11">
        <v>3.0030030030030028</v>
      </c>
      <c r="AR36" s="6">
        <v>1.9E-3</v>
      </c>
      <c r="AS36" s="11">
        <v>3.1612467120315646</v>
      </c>
      <c r="AT36" s="11">
        <v>5.5999999999999999E-3</v>
      </c>
      <c r="AU36" s="43">
        <v>2.0249999999999999</v>
      </c>
      <c r="AV36" s="37">
        <v>6.6000000000000003E-2</v>
      </c>
      <c r="AW36" s="40"/>
      <c r="AX36" s="34"/>
      <c r="AY36" s="31"/>
      <c r="AZ36" s="31"/>
    </row>
    <row r="37" spans="29:52" x14ac:dyDescent="0.25">
      <c r="AO37" s="6">
        <v>10</v>
      </c>
      <c r="AP37" s="9">
        <v>328</v>
      </c>
      <c r="AQ37" s="13">
        <v>3.0487804878048781</v>
      </c>
      <c r="AR37" s="9">
        <v>1.9E-3</v>
      </c>
      <c r="AS37" s="13">
        <v>3.2619353143286478</v>
      </c>
      <c r="AT37" s="13">
        <v>5.4000000000000003E-3</v>
      </c>
      <c r="AU37" s="43">
        <v>2.0249999999999999</v>
      </c>
      <c r="AV37" s="37">
        <v>6.6000000000000003E-2</v>
      </c>
      <c r="AW37" s="40"/>
      <c r="AX37" s="34"/>
      <c r="AY37" s="31"/>
      <c r="AZ37" s="31"/>
    </row>
    <row r="38" spans="29:52" x14ac:dyDescent="0.25">
      <c r="AO38" s="9">
        <v>11</v>
      </c>
      <c r="AP38" s="6">
        <v>323</v>
      </c>
      <c r="AQ38" s="11">
        <v>3.0959752321981426</v>
      </c>
      <c r="AR38" s="11">
        <v>2E-3</v>
      </c>
      <c r="AS38" s="11">
        <v>3.3672958299864741</v>
      </c>
      <c r="AT38" s="11">
        <v>5.2000000000000006E-3</v>
      </c>
      <c r="AU38" s="43">
        <v>2.0249999999999999</v>
      </c>
      <c r="AV38" s="37">
        <v>6.6000000000000003E-2</v>
      </c>
      <c r="AW38" s="40"/>
      <c r="AX38" s="34"/>
      <c r="AY38" s="31"/>
      <c r="AZ38" s="31"/>
    </row>
    <row r="39" spans="29:52" x14ac:dyDescent="0.25">
      <c r="AO39" s="6">
        <v>12</v>
      </c>
      <c r="AP39" s="9">
        <v>318</v>
      </c>
      <c r="AQ39" s="13">
        <v>3.1446540880503147</v>
      </c>
      <c r="AR39" s="13">
        <v>2E-3</v>
      </c>
      <c r="AS39" s="13">
        <v>3.4719664525503626</v>
      </c>
      <c r="AT39" s="13">
        <v>5.0000000000000001E-3</v>
      </c>
      <c r="AU39" s="43">
        <v>2.0249999999999999</v>
      </c>
      <c r="AV39" s="37">
        <v>6.6000000000000003E-2</v>
      </c>
      <c r="AW39" s="40"/>
      <c r="AX39" s="34"/>
      <c r="AY39" s="31"/>
      <c r="AZ39" s="31"/>
    </row>
    <row r="40" spans="29:52" x14ac:dyDescent="0.25">
      <c r="AO40" s="9">
        <v>13</v>
      </c>
      <c r="AP40" s="6">
        <v>313</v>
      </c>
      <c r="AQ40" s="11">
        <v>3.1948881789137382</v>
      </c>
      <c r="AR40" s="6">
        <v>2.0999999999999999E-3</v>
      </c>
      <c r="AS40" s="11">
        <v>3.5945687746426951</v>
      </c>
      <c r="AT40" s="11">
        <v>4.7000000000000002E-3</v>
      </c>
      <c r="AU40" s="43">
        <v>2.0249999999999999</v>
      </c>
      <c r="AV40" s="37">
        <v>6.6000000000000003E-2</v>
      </c>
      <c r="AW40" s="40"/>
      <c r="AX40" s="34"/>
      <c r="AY40" s="31"/>
      <c r="AZ40" s="31"/>
    </row>
    <row r="41" spans="29:52" x14ac:dyDescent="0.25">
      <c r="AO41" s="6">
        <v>14</v>
      </c>
      <c r="AP41" s="9">
        <v>308</v>
      </c>
      <c r="AQ41" s="13">
        <v>3.2467532467532467</v>
      </c>
      <c r="AR41" s="9">
        <v>2.1999999999999997E-3</v>
      </c>
      <c r="AS41" s="13">
        <v>3.7037680666076871</v>
      </c>
      <c r="AT41" s="13">
        <v>4.5000000000000005E-3</v>
      </c>
      <c r="AU41" s="43">
        <v>2.0249999999999999</v>
      </c>
      <c r="AV41" s="37">
        <v>6.6000000000000003E-2</v>
      </c>
      <c r="AW41" s="40"/>
      <c r="AX41" s="34"/>
      <c r="AY41" s="31"/>
      <c r="AZ41" s="31"/>
    </row>
    <row r="42" spans="29:52" x14ac:dyDescent="0.25">
      <c r="AC42" cm="1">
        <f t="array" ref="AC42:AD46">LINEST(AC4:AC19,AB4:AB19,1,1)</f>
        <v>2.0253552001998183</v>
      </c>
      <c r="AD42">
        <v>-2.8821874711347686</v>
      </c>
      <c r="AO42" s="9">
        <v>15</v>
      </c>
      <c r="AP42" s="6">
        <v>303</v>
      </c>
      <c r="AQ42" s="11">
        <v>3.3003300330033003</v>
      </c>
      <c r="AR42" s="6">
        <v>2.1999999999999997E-3</v>
      </c>
      <c r="AS42" s="11">
        <v>3.8458832029236012</v>
      </c>
      <c r="AT42" s="11">
        <v>4.3E-3</v>
      </c>
      <c r="AU42" s="43">
        <v>2.0249999999999999</v>
      </c>
      <c r="AV42" s="37">
        <v>6.6000000000000003E-2</v>
      </c>
      <c r="AW42" s="40"/>
      <c r="AX42" s="34"/>
      <c r="AY42" s="31"/>
      <c r="AZ42" s="31"/>
    </row>
    <row r="43" spans="29:52" x14ac:dyDescent="0.25">
      <c r="AC43">
        <v>6.5599397456796243E-2</v>
      </c>
      <c r="AD43">
        <v>0.19687492047047397</v>
      </c>
      <c r="AO43" s="6">
        <v>16</v>
      </c>
      <c r="AP43" s="9">
        <v>299</v>
      </c>
      <c r="AQ43" s="13">
        <v>3.3444816053511706</v>
      </c>
      <c r="AR43" s="9">
        <v>2.3E-3</v>
      </c>
      <c r="AS43" s="13">
        <v>3.9627161197436642</v>
      </c>
      <c r="AT43" s="13">
        <v>4.0000000000000001E-3</v>
      </c>
      <c r="AU43" s="44">
        <v>2.0249999999999999</v>
      </c>
      <c r="AV43" s="38">
        <v>6.6000000000000003E-2</v>
      </c>
      <c r="AW43" s="41"/>
      <c r="AX43" s="35"/>
      <c r="AY43" s="32"/>
      <c r="AZ43" s="32"/>
    </row>
    <row r="44" spans="29:52" x14ac:dyDescent="0.25">
      <c r="AC44">
        <v>0.9855258405187084</v>
      </c>
      <c r="AD44">
        <v>5.3974395849635093E-2</v>
      </c>
    </row>
    <row r="45" spans="29:52" x14ac:dyDescent="0.25">
      <c r="AC45">
        <v>953.24096608825175</v>
      </c>
      <c r="AD45">
        <v>14</v>
      </c>
    </row>
    <row r="46" spans="29:52" x14ac:dyDescent="0.25">
      <c r="AC46">
        <v>2.7770153341287114</v>
      </c>
      <c r="AD46">
        <v>4.0785295702663482E-2</v>
      </c>
    </row>
    <row r="49" spans="8:37" x14ac:dyDescent="0.25">
      <c r="M49" cm="1">
        <f t="array" ref="M49:N53">LINEST(I4:I19,F4:F19,1,1)</f>
        <v>0.32682787523643514</v>
      </c>
      <c r="N49">
        <v>101.77158105552051</v>
      </c>
    </row>
    <row r="50" spans="8:37" x14ac:dyDescent="0.25">
      <c r="H50" t="s">
        <v>25</v>
      </c>
      <c r="I50" t="s">
        <v>26</v>
      </c>
      <c r="J50" t="s">
        <v>27</v>
      </c>
      <c r="K50" t="s">
        <v>28</v>
      </c>
      <c r="M50">
        <v>3.5367562212300107E-3</v>
      </c>
      <c r="N50">
        <v>0.23568407153831494</v>
      </c>
    </row>
    <row r="51" spans="8:37" x14ac:dyDescent="0.25">
      <c r="H51">
        <v>0.32679999999999998</v>
      </c>
      <c r="I51">
        <v>3.5999999999999999E-3</v>
      </c>
      <c r="J51">
        <v>101.77</v>
      </c>
      <c r="K51">
        <v>0.24</v>
      </c>
      <c r="M51">
        <v>0.99836322613209305</v>
      </c>
      <c r="N51">
        <v>0.32464912958936182</v>
      </c>
    </row>
    <row r="52" spans="8:37" x14ac:dyDescent="0.25">
      <c r="M52">
        <v>8539.411240553578</v>
      </c>
      <c r="N52">
        <v>14</v>
      </c>
    </row>
    <row r="53" spans="8:37" x14ac:dyDescent="0.25">
      <c r="M53">
        <v>900.02881619719642</v>
      </c>
      <c r="N53">
        <v>1.4755588028038236</v>
      </c>
    </row>
    <row r="54" spans="8:37" x14ac:dyDescent="0.25">
      <c r="H54" s="21" t="s">
        <v>24</v>
      </c>
      <c r="I54" t="s">
        <v>29</v>
      </c>
      <c r="AG54" s="27" t="s">
        <v>20</v>
      </c>
      <c r="AH54" s="27"/>
      <c r="AI54" s="27"/>
      <c r="AJ54" s="27"/>
      <c r="AK54" s="27"/>
    </row>
    <row r="55" spans="8:37" x14ac:dyDescent="0.25">
      <c r="H55" s="22">
        <f>H51/J51</f>
        <v>3.2111624250761518E-3</v>
      </c>
      <c r="I55" s="22">
        <f>SQRT((1/J51*I51)^2 +(H51/(J51^2)*K51)^2)</f>
        <v>3.617538005743575E-5</v>
      </c>
      <c r="M55" s="27" t="s">
        <v>20</v>
      </c>
      <c r="N55" s="27"/>
      <c r="O55" s="27"/>
      <c r="P55" s="27"/>
      <c r="Q55" s="27"/>
      <c r="AG55" s="27"/>
      <c r="AH55" s="27"/>
      <c r="AI55" s="27"/>
      <c r="AJ55" s="27"/>
      <c r="AK55" s="27"/>
    </row>
    <row r="56" spans="8:37" x14ac:dyDescent="0.25">
      <c r="M56" s="27"/>
      <c r="N56" s="27"/>
      <c r="O56" s="27"/>
      <c r="P56" s="27"/>
      <c r="Q56" s="27"/>
    </row>
    <row r="68" spans="30:34" x14ac:dyDescent="0.25">
      <c r="AD68" s="27" t="s">
        <v>20</v>
      </c>
      <c r="AE68" s="27"/>
      <c r="AF68" s="27"/>
      <c r="AG68" s="27"/>
      <c r="AH68" s="27"/>
    </row>
    <row r="69" spans="30:34" x14ac:dyDescent="0.25">
      <c r="AD69" s="27"/>
      <c r="AE69" s="27"/>
      <c r="AF69" s="27"/>
      <c r="AG69" s="27"/>
      <c r="AH69" s="27"/>
    </row>
  </sheetData>
  <mergeCells count="20">
    <mergeCell ref="AZ28:AZ43"/>
    <mergeCell ref="AX28:AX43"/>
    <mergeCell ref="AY4:AY19"/>
    <mergeCell ref="AP22:AT23"/>
    <mergeCell ref="AV28:AV43"/>
    <mergeCell ref="AW28:AW43"/>
    <mergeCell ref="AY28:AY43"/>
    <mergeCell ref="AU28:AU43"/>
    <mergeCell ref="AT4:AT19"/>
    <mergeCell ref="AU4:AU19"/>
    <mergeCell ref="AV4:AV19"/>
    <mergeCell ref="AW4:AW19"/>
    <mergeCell ref="AX4:AX19"/>
    <mergeCell ref="AD68:AH69"/>
    <mergeCell ref="A1:D4"/>
    <mergeCell ref="F22:J23"/>
    <mergeCell ref="T22:X23"/>
    <mergeCell ref="AG54:AK55"/>
    <mergeCell ref="M55:Q56"/>
    <mergeCell ref="AB22:AF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Prystupa (275496)</cp:lastModifiedBy>
  <dcterms:created xsi:type="dcterms:W3CDTF">2015-06-05T18:19:34Z</dcterms:created>
  <dcterms:modified xsi:type="dcterms:W3CDTF">2023-10-23T21:35:40Z</dcterms:modified>
</cp:coreProperties>
</file>