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ams\OneDrive\Desktop\Class\Crowfunding Analysis\"/>
    </mc:Choice>
  </mc:AlternateContent>
  <xr:revisionPtr revIDLastSave="0" documentId="13_ncr:1_{640FBD11-68C3-4BF6-B36D-D8AC85E0C6C8}" xr6:coauthVersionLast="47" xr6:coauthVersionMax="47" xr10:uidLastSave="{00000000-0000-0000-0000-000000000000}"/>
  <bookViews>
    <workbookView xWindow="-120" yWindow="-120" windowWidth="38640" windowHeight="21120" tabRatio="886" xr2:uid="{00000000-000D-0000-FFFF-FFFF00000000}"/>
  </bookViews>
  <sheets>
    <sheet name="Kickstarter" sheetId="1" r:id="rId1"/>
    <sheet name="Theater Outcomes by Launch Date" sheetId="10" r:id="rId2"/>
    <sheet name="Outcomes Based on Goals" sheetId="11" r:id="rId3"/>
    <sheet name="Descriptive Statistics" sheetId="7" r:id="rId4"/>
    <sheet name="Edinburgh Research" sheetId="5" r:id="rId5"/>
    <sheet name="Category and Statistics" sheetId="2" r:id="rId6"/>
    <sheet name="Subcategory Statistics" sheetId="3" r:id="rId7"/>
    <sheet name="Outcomes Based on Launch Date" sheetId="4" r:id="rId8"/>
  </sheets>
  <definedNames>
    <definedName name="_xlnm._FilterDatabase" localSheetId="0" hidden="1">Kickstarter!$A$1:$T$4115</definedName>
  </definedNames>
  <calcPr calcId="191029"/>
  <pivotCaches>
    <pivotCache cacheId="0" r:id="rId9"/>
    <pivotCache cacheId="1" r:id="rId10"/>
    <pivotCache cacheId="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4" i="11" l="1"/>
  <c r="D13" i="1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B12" i="11"/>
  <c r="B11" i="11"/>
  <c r="B10" i="11"/>
  <c r="B9" i="11"/>
  <c r="B8" i="11"/>
  <c r="B7" i="11"/>
  <c r="B6" i="11"/>
  <c r="B5" i="11"/>
  <c r="B3" i="11"/>
  <c r="B2" i="11"/>
  <c r="C13" i="7"/>
  <c r="C12" i="7"/>
  <c r="C11" i="7"/>
  <c r="B13" i="7"/>
  <c r="B12" i="7"/>
  <c r="B14" i="7" s="1"/>
  <c r="B11" i="7"/>
  <c r="C6" i="7"/>
  <c r="C5" i="7"/>
  <c r="B6" i="7"/>
  <c r="B5" i="7"/>
  <c r="C4" i="7"/>
  <c r="B4" i="7"/>
  <c r="B2" i="7"/>
  <c r="C2" i="7"/>
  <c r="B3" i="7"/>
  <c r="C3" i="7"/>
  <c r="B9" i="7"/>
  <c r="C9" i="7"/>
  <c r="B10" i="7"/>
  <c r="C10" i="7"/>
  <c r="D3" i="5"/>
  <c r="D4" i="5"/>
  <c r="D5" i="5"/>
  <c r="D6" i="5"/>
  <c r="D2" i="5"/>
  <c r="C2" i="5"/>
  <c r="C3" i="5"/>
  <c r="C4" i="5"/>
  <c r="C5" i="5"/>
  <c r="C6" i="5"/>
  <c r="B3" i="5"/>
  <c r="B4" i="5"/>
  <c r="B5" i="5"/>
  <c r="B6" i="5"/>
  <c r="B2" i="5"/>
  <c r="P53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T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B7" i="7" l="1"/>
  <c r="C7" i="7"/>
  <c r="E7" i="11"/>
  <c r="H7" i="11" s="1"/>
  <c r="E4" i="11"/>
  <c r="H4" i="11" s="1"/>
  <c r="E6" i="11"/>
  <c r="G6" i="11" s="1"/>
  <c r="E5" i="11"/>
  <c r="H5" i="11" s="1"/>
  <c r="E3" i="11"/>
  <c r="H3" i="11" s="1"/>
  <c r="E13" i="11"/>
  <c r="E12" i="11"/>
  <c r="E11" i="11"/>
  <c r="E10" i="11"/>
  <c r="E9" i="11"/>
  <c r="E8" i="11"/>
  <c r="G7" i="11"/>
  <c r="H6" i="11"/>
  <c r="E2" i="11"/>
  <c r="H2" i="11" s="1"/>
  <c r="C14" i="7"/>
  <c r="F7" i="11" l="1"/>
  <c r="F2" i="11"/>
  <c r="G4" i="11"/>
  <c r="F4" i="11"/>
  <c r="F6" i="11"/>
  <c r="F5" i="11"/>
  <c r="G5" i="11"/>
  <c r="F3" i="11"/>
  <c r="G3" i="11"/>
  <c r="H13" i="11"/>
  <c r="G13" i="11"/>
  <c r="F13" i="11"/>
  <c r="H12" i="11"/>
  <c r="G12" i="11"/>
  <c r="F12" i="11"/>
  <c r="H11" i="11"/>
  <c r="G11" i="11"/>
  <c r="F11" i="11"/>
  <c r="H10" i="11"/>
  <c r="G10" i="11"/>
  <c r="F10" i="11"/>
  <c r="H9" i="11"/>
  <c r="G9" i="11"/>
  <c r="F9" i="11"/>
  <c r="H8" i="11"/>
  <c r="G8" i="11"/>
  <c r="F8" i="11"/>
  <c r="G2" i="11"/>
</calcChain>
</file>

<file path=xl/sharedStrings.xml><?xml version="1.0" encoding="utf-8"?>
<sst xmlns="http://schemas.openxmlformats.org/spreadsheetml/2006/main" count="33049" uniqueCount="8417">
  <si>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</si>
  <si>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</si>
  <si>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</si>
  <si>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</si>
  <si>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</si>
  <si>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</si>
  <si>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</si>
  <si>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</si>
  <si>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</si>
  <si>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</si>
  <si>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</si>
  <si>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</si>
  <si>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</si>
  <si>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</si>
  <si>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</si>
  <si>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</si>
  <si>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</si>
  <si>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</si>
  <si>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</si>
  <si>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</si>
  <si>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</si>
  <si>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</si>
  <si>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</si>
  <si>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</si>
  <si>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</si>
  <si>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</si>
  <si>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</si>
  <si>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</si>
  <si>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</si>
  <si>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</si>
  <si>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</si>
  <si>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</si>
  <si>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</si>
  <si>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</si>
  <si>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</si>
  <si>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</si>
  <si>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</si>
  <si>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</si>
  <si>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</si>
  <si>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</si>
  <si>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</si>
  <si>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</si>
  <si>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</si>
  <si>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</si>
  <si>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</si>
  <si>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</si>
  <si>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</si>
  <si>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</si>
  <si>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</si>
  <si>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</si>
  <si>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</si>
  <si>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</si>
  <si>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</si>
  <si>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</si>
  <si>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</si>
  <si>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</si>
  <si>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</si>
  <si>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</si>
  <si>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</si>
  <si>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</si>
  <si>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</si>
  <si>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</si>
  <si>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</si>
  <si>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</si>
  <si>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</si>
  <si>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</si>
  <si>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</si>
  <si>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</si>
  <si>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</si>
  <si>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</si>
  <si>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</si>
  <si>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</si>
  <si>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</si>
  <si>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</si>
  <si>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</si>
  <si>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</si>
  <si>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</si>
  <si>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</si>
  <si>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</si>
  <si>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</si>
  <si>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</si>
  <si>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</si>
  <si>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</si>
  <si>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</si>
  <si>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</si>
  <si>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</si>
  <si>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</si>
  <si>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</si>
  <si>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</si>
  <si>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</si>
  <si>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</si>
  <si>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</si>
  <si>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</si>
  <si>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</si>
  <si>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</si>
  <si>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</si>
  <si>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</si>
  <si>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</si>
  <si>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</si>
  <si>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</si>
  <si>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</si>
  <si>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</si>
  <si>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</si>
  <si>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</si>
  <si>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</si>
  <si>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</si>
  <si>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</si>
  <si>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</si>
  <si>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</si>
  <si>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</si>
  <si>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</si>
  <si>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</si>
  <si>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</si>
  <si>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</si>
  <si>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</si>
  <si>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</si>
  <si>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</si>
  <si>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</si>
  <si>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</si>
  <si>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</si>
  <si>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</si>
  <si>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</si>
  <si>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</si>
  <si>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</si>
  <si>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</si>
  <si>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</si>
  <si>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</si>
  <si>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</si>
  <si>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</si>
  <si>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</si>
  <si>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</si>
  <si>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</si>
  <si>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</si>
  <si>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</si>
  <si>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</si>
  <si>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</si>
  <si>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</si>
  <si>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</si>
  <si>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</si>
  <si>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</si>
  <si>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</si>
  <si>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</si>
  <si>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</si>
  <si>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</si>
  <si>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</si>
  <si>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</si>
  <si>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</si>
  <si>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</si>
  <si>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</si>
  <si>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</si>
  <si>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</si>
  <si>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</si>
  <si>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</si>
  <si>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</si>
  <si>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</si>
  <si>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</si>
  <si>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</si>
  <si>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</si>
  <si>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</si>
  <si>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</si>
  <si>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</si>
  <si>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</si>
  <si>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</si>
  <si>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</si>
  <si>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</si>
  <si>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</si>
  <si>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</si>
  <si>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</si>
  <si>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</si>
  <si>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</si>
  <si>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</si>
  <si>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</si>
  <si>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</si>
  <si>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</si>
  <si>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</si>
  <si>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</si>
  <si>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</si>
  <si>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</si>
  <si>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</si>
  <si>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</si>
  <si>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</si>
  <si>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</si>
  <si>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</si>
  <si>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</si>
  <si>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</si>
  <si>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</si>
  <si>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</si>
  <si>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</si>
  <si>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</si>
  <si>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</si>
  <si>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</si>
  <si>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</si>
  <si>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</si>
  <si>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</si>
  <si>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</si>
  <si>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</si>
  <si>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</si>
  <si>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</si>
  <si>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</si>
  <si>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</si>
  <si>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</si>
  <si>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</si>
  <si>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</si>
  <si>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</si>
  <si>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</si>
  <si>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</si>
  <si>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</si>
  <si>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</si>
  <si>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</si>
  <si>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</si>
  <si>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</si>
  <si>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</si>
  <si>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</si>
  <si>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</si>
  <si>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</si>
  <si>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</si>
  <si>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</si>
  <si>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</si>
  <si>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</si>
  <si>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</si>
  <si>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</si>
  <si>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</si>
  <si>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</si>
  <si>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</si>
  <si>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</si>
  <si>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</si>
  <si>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</si>
  <si>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</si>
  <si>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</si>
  <si>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</si>
  <si>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</si>
  <si>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</si>
  <si>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</si>
  <si>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</si>
  <si>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</si>
  <si>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</si>
  <si>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</si>
  <si>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</si>
  <si>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</si>
  <si>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</si>
  <si>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</si>
  <si>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</si>
  <si>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</si>
  <si>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</si>
  <si>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</si>
  <si>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</si>
  <si>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</si>
  <si>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</si>
  <si>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</si>
  <si>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</si>
  <si>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</si>
  <si>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</si>
  <si>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</si>
  <si>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</si>
  <si>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</si>
  <si>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</si>
  <si>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</si>
  <si>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</si>
  <si>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</si>
  <si>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</si>
  <si>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</si>
  <si>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</si>
  <si>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</si>
  <si>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</si>
  <si>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</si>
  <si>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</si>
  <si>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</si>
  <si>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</si>
  <si>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</si>
  <si>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</si>
  <si>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</si>
  <si>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</si>
  <si>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</si>
  <si>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</si>
  <si>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</si>
  <si>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</si>
  <si>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</si>
  <si>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</si>
  <si>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</si>
  <si>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</si>
  <si>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</si>
  <si>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</si>
  <si>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</si>
  <si>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</si>
  <si>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</si>
  <si>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</si>
  <si>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</si>
  <si>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</si>
  <si>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</si>
  <si>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</si>
  <si>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</si>
  <si>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</si>
  <si>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</si>
  <si>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</si>
  <si>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</si>
  <si>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</si>
  <si>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</si>
  <si>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</si>
  <si>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</si>
  <si>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</si>
  <si>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</si>
  <si>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</si>
  <si>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</si>
  <si>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</si>
  <si>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</si>
  <si>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</si>
  <si>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</si>
  <si>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</si>
  <si>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</si>
  <si>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</si>
  <si>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</si>
  <si>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</si>
  <si>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</si>
  <si>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</si>
  <si>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</si>
  <si>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</si>
  <si>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</si>
  <si>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</si>
  <si>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</si>
  <si>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</si>
  <si>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</si>
  <si>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</si>
  <si>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</si>
  <si>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</si>
  <si>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</si>
  <si>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</si>
  <si>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</si>
  <si>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</si>
  <si>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</si>
  <si>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</si>
  <si>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</si>
  <si>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</si>
  <si>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</si>
  <si>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</si>
  <si>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</si>
  <si>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</si>
  <si>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</si>
  <si>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</si>
  <si>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</si>
  <si>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</si>
  <si>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</si>
  <si>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</si>
  <si>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</si>
  <si>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</si>
  <si>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</si>
  <si>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</si>
  <si>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</si>
  <si>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</si>
  <si>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</si>
  <si>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</si>
  <si>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</si>
  <si>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</si>
  <si>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</si>
  <si>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</si>
  <si>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</si>
  <si>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</si>
  <si>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</si>
  <si>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</si>
  <si>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</si>
  <si>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</si>
  <si>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</si>
  <si>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</si>
  <si>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</si>
  <si>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</si>
  <si>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</si>
  <si>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</si>
  <si>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</si>
  <si>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</si>
  <si>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</si>
  <si>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</si>
  <si>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</si>
  <si>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</si>
  <si>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</si>
  <si>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</si>
  <si>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</si>
  <si>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</si>
  <si>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</si>
  <si>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</si>
  <si>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</si>
  <si>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</si>
  <si>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</si>
  <si>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</si>
  <si>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</si>
  <si>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</si>
  <si>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</si>
  <si>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</si>
  <si>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</si>
  <si>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</si>
  <si>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</si>
  <si>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</si>
  <si>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</si>
  <si>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</si>
  <si>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</si>
  <si>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</si>
  <si>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</si>
  <si>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</si>
  <si>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</si>
  <si>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</si>
  <si>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</si>
  <si>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</si>
  <si>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</si>
  <si>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</si>
  <si>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</si>
  <si>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</si>
  <si>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</si>
  <si>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</si>
  <si>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</si>
  <si>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</si>
  <si>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</si>
  <si>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</si>
  <si>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</si>
  <si>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</si>
  <si>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</si>
  <si>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</si>
  <si>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</si>
  <si>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</si>
  <si>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</si>
  <si>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</si>
  <si>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</si>
  <si>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</si>
  <si>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</si>
  <si>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</si>
  <si>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</si>
  <si>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</si>
  <si>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</si>
  <si>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</si>
  <si>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</si>
  <si>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</si>
  <si>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</si>
  <si>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</si>
  <si>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</si>
  <si>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</si>
  <si>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</si>
  <si>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</si>
  <si>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</si>
  <si>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</si>
  <si>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</si>
  <si>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</si>
  <si>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</si>
  <si>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</si>
  <si>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</si>
  <si>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</si>
  <si>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</si>
  <si>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</si>
  <si>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</si>
  <si>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</si>
  <si>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</si>
  <si>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</si>
  <si>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</si>
  <si>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</si>
  <si>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</si>
  <si>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</si>
  <si>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</si>
  <si>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</si>
  <si>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</si>
  <si>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</si>
  <si>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</si>
  <si>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</si>
  <si>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</si>
  <si>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</si>
  <si>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</si>
  <si>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</si>
  <si>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</si>
  <si>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</si>
  <si>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</si>
  <si>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</si>
  <si>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</si>
  <si>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</si>
  <si>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</si>
  <si>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</si>
  <si>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</si>
  <si>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</si>
  <si>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</si>
  <si>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</si>
  <si>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</si>
  <si>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</si>
  <si>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</si>
  <si>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</si>
  <si>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</si>
  <si>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</si>
  <si>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</si>
  <si>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</si>
  <si>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</si>
  <si>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</si>
  <si>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</si>
  <si>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</si>
  <si>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</si>
  <si>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</si>
  <si>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</si>
  <si>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</si>
  <si>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</si>
  <si>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</si>
  <si>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</si>
  <si>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</si>
  <si>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</si>
  <si>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</si>
  <si>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</si>
  <si>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</si>
  <si>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</si>
  <si>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</si>
  <si>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</si>
  <si>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</si>
  <si>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</si>
  <si>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</si>
  <si>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</si>
  <si>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</si>
  <si>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</si>
  <si>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</si>
  <si>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</si>
  <si>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</si>
  <si>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</si>
  <si>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</si>
  <si>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</si>
  <si>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</si>
  <si>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</si>
  <si>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</si>
  <si>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</si>
  <si>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</si>
  <si>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</si>
  <si>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</si>
  <si>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</si>
  <si>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</si>
  <si>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</si>
  <si>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</si>
  <si>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</si>
  <si>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</si>
  <si>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</si>
  <si>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</si>
  <si>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</si>
  <si>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</si>
  <si>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</si>
  <si>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</si>
  <si>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</si>
  <si>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</si>
  <si>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</si>
  <si>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</si>
  <si>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</si>
  <si>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</si>
  <si>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</si>
  <si>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</si>
  <si>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</si>
  <si>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</si>
  <si>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</si>
  <si>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</si>
  <si>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</si>
  <si>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</si>
  <si>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</si>
  <si>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</si>
  <si>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</si>
  <si>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</si>
  <si>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</si>
  <si>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</si>
  <si>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</si>
  <si>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</si>
  <si>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</si>
  <si>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</si>
  <si>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</si>
  <si>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</si>
  <si>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</si>
  <si>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</si>
  <si>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</si>
  <si>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</si>
  <si>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</si>
  <si>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</si>
  <si>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</si>
  <si>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</si>
  <si>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</si>
  <si>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</si>
  <si>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</si>
  <si>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</si>
  <si>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</si>
  <si>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</si>
  <si>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</si>
  <si>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</si>
  <si>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</si>
  <si>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</si>
  <si>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</si>
  <si>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</si>
  <si>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</si>
  <si>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</si>
  <si>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</si>
  <si>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</si>
  <si>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</si>
  <si>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</si>
  <si>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</si>
  <si>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</si>
  <si>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</si>
  <si>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</si>
  <si>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</si>
  <si>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</si>
  <si>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</si>
  <si>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</si>
  <si>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</si>
  <si>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</si>
  <si>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</si>
  <si>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</si>
  <si>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</si>
  <si>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</si>
  <si>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</si>
  <si>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</si>
  <si>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</si>
  <si>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</si>
  <si>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</si>
  <si>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</si>
  <si>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</si>
  <si>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</si>
  <si>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</si>
  <si>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</si>
  <si>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</si>
  <si>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</si>
  <si>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</si>
  <si>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</si>
  <si>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</si>
  <si>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</si>
  <si>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</si>
  <si>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</si>
  <si>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</si>
  <si>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</si>
  <si>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</si>
  <si>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</si>
  <si>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</si>
  <si>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</si>
  <si>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</si>
  <si>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</si>
  <si>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</si>
  <si>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</si>
  <si>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</si>
  <si>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</si>
  <si>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</si>
  <si>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</si>
  <si>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</si>
  <si>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</si>
  <si>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</si>
  <si>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</si>
  <si>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</si>
  <si>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</si>
  <si>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</si>
  <si>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</si>
  <si>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</si>
  <si>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</si>
  <si>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</si>
  <si>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</si>
  <si>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</si>
  <si>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</si>
  <si>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</si>
  <si>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</si>
  <si>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</si>
  <si>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</si>
  <si>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</si>
  <si>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</si>
  <si>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</si>
  <si>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</si>
  <si>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</si>
  <si>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</si>
  <si>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</si>
  <si>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</si>
  <si>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</si>
  <si>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</si>
  <si>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</si>
  <si>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</si>
  <si>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</si>
  <si>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</si>
  <si>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</si>
  <si>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</si>
  <si>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</si>
  <si>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</si>
  <si>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</si>
  <si>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</si>
  <si>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</si>
  <si>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</si>
  <si>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</si>
  <si>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</si>
  <si>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</si>
  <si>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</si>
  <si>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</si>
  <si>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</si>
  <si>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</si>
  <si>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</si>
  <si>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</si>
  <si>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</si>
  <si>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</si>
  <si>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</si>
  <si>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</si>
  <si>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</si>
  <si>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</si>
  <si>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</si>
  <si>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</si>
  <si>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</si>
  <si>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</si>
  <si>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</si>
  <si>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</si>
  <si>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</si>
  <si>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</si>
  <si>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</si>
  <si>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</si>
  <si>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</si>
  <si>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</si>
  <si>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</si>
  <si>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</si>
  <si>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</si>
  <si>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</si>
  <si>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</si>
  <si>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</si>
  <si>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</si>
  <si>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</si>
  <si>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</si>
  <si>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</si>
  <si>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</si>
  <si>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</si>
  <si>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</si>
  <si>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</si>
  <si>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</si>
  <si>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</si>
  <si>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</si>
  <si>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</si>
  <si>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</si>
  <si>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</si>
  <si>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</si>
  <si>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</si>
  <si>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</si>
  <si>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</si>
  <si>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</si>
  <si>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</si>
  <si>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</si>
  <si>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</si>
  <si>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</si>
  <si>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</si>
  <si>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</si>
  <si>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</si>
  <si>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</si>
  <si>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</si>
  <si>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</si>
  <si>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</si>
  <si>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</si>
  <si>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</si>
  <si>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</si>
  <si>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</si>
  <si>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</si>
  <si>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</si>
  <si>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</si>
  <si>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</si>
  <si>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</si>
  <si>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</si>
  <si>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</si>
  <si>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</si>
  <si>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</si>
  <si>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</si>
  <si>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</si>
  <si>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</si>
  <si>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</si>
  <si>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</si>
  <si>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</si>
  <si>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</si>
  <si>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</si>
  <si>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</si>
  <si>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</si>
  <si>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</si>
  <si>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</si>
  <si>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</si>
  <si>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</si>
  <si>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</si>
  <si>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</si>
  <si>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</si>
  <si>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</si>
  <si>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</si>
  <si>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</si>
  <si>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</si>
  <si>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</si>
  <si>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</si>
  <si>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</si>
  <si>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</si>
  <si>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</si>
  <si>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</si>
  <si>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</si>
  <si>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</si>
  <si>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</si>
  <si>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</si>
  <si>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</si>
  <si>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</si>
  <si>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</si>
  <si>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</si>
  <si>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</si>
  <si>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</si>
  <si>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</si>
  <si>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</si>
  <si>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</si>
  <si>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</si>
  <si>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</si>
  <si>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</si>
  <si>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</si>
  <si>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</si>
  <si>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</si>
  <si>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</si>
  <si>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</si>
  <si>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</si>
  <si>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</si>
  <si>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</si>
  <si>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</si>
  <si>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</si>
  <si>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</si>
  <si>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</si>
  <si>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</si>
  <si>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</si>
  <si>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</si>
  <si>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</si>
  <si>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</si>
  <si>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</si>
  <si>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</si>
  <si>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</si>
  <si>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</si>
  <si>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</si>
  <si>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</si>
  <si>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</si>
  <si>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</si>
  <si>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</si>
  <si>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</si>
  <si>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</si>
  <si>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</si>
  <si>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</si>
  <si>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</si>
  <si>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</si>
  <si>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</si>
  <si>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</si>
  <si>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</si>
  <si>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</si>
  <si>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</si>
  <si>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</si>
  <si>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</si>
  <si>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</si>
  <si>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</si>
  <si>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</si>
  <si>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</si>
  <si>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</si>
  <si>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</si>
  <si>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</si>
  <si>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</si>
  <si>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</si>
  <si>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</si>
  <si>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</si>
  <si>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</si>
  <si>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</si>
  <si>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</si>
  <si>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</si>
  <si>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</si>
  <si>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</si>
  <si>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</si>
  <si>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</si>
  <si>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</si>
  <si>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</si>
  <si>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</si>
  <si>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</si>
  <si>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</si>
  <si>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</si>
  <si>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</si>
  <si>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</si>
  <si>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</si>
  <si>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</si>
  <si>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</si>
  <si>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</si>
  <si>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</si>
  <si>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</si>
  <si>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</si>
  <si>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</si>
  <si>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</si>
  <si>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</si>
  <si>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</si>
  <si>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</si>
  <si>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</si>
  <si>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</si>
  <si>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</si>
  <si>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</si>
  <si>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</si>
  <si>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</si>
  <si>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</si>
  <si>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</si>
  <si>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</si>
  <si>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</si>
  <si>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</si>
  <si>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</si>
  <si>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</si>
  <si>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</si>
  <si>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</si>
  <si>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</si>
  <si>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</si>
  <si>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</si>
  <si>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</si>
  <si>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</si>
  <si>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</si>
  <si>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</si>
  <si>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</si>
  <si>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</si>
  <si>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</si>
  <si>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</si>
  <si>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</si>
  <si>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</si>
  <si>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</si>
  <si>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</si>
  <si>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</si>
  <si>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</si>
  <si>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</si>
  <si>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</si>
  <si>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</si>
  <si>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</si>
  <si>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</si>
  <si>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</si>
  <si>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</si>
  <si>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</si>
  <si>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</si>
  <si>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</si>
  <si>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</si>
  <si>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</si>
  <si>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</si>
  <si>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</si>
  <si>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</si>
  <si>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</si>
  <si>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</si>
  <si>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</si>
  <si>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</si>
  <si>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</si>
  <si>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</si>
  <si>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</si>
  <si>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</si>
  <si>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</si>
  <si>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</si>
  <si>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</si>
  <si>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</si>
  <si>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</si>
  <si>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</si>
  <si>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</si>
  <si>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</si>
  <si>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</si>
  <si>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</si>
  <si>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</si>
  <si>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</si>
  <si>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</si>
  <si>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</si>
  <si>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</si>
  <si>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</si>
  <si>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</si>
  <si>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</si>
  <si>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</si>
  <si>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</si>
  <si>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</si>
  <si>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</si>
  <si>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</si>
  <si>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</si>
  <si>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</si>
  <si>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</si>
  <si>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</si>
  <si>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</si>
  <si>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</si>
  <si>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</si>
  <si>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</si>
  <si>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</si>
  <si>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</si>
  <si>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</si>
  <si>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</si>
  <si>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</si>
  <si>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</si>
  <si>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</si>
  <si>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</si>
  <si>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</si>
  <si>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</si>
  <si>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</si>
  <si>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</si>
  <si>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</si>
  <si>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</si>
  <si>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</si>
  <si>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</si>
  <si>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</si>
  <si>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</si>
  <si>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</si>
  <si>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</si>
  <si>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</si>
  <si>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</si>
  <si>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</si>
  <si>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</si>
  <si>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</si>
  <si>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</si>
  <si>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</si>
  <si>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</si>
  <si>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</si>
  <si>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</si>
  <si>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</si>
  <si>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</si>
  <si>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</si>
  <si>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</si>
  <si>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</si>
  <si>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</si>
  <si>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</si>
  <si>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</si>
  <si>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</si>
  <si>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</si>
  <si>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</si>
  <si>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</si>
  <si>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</si>
  <si>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</si>
  <si>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</si>
  <si>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</si>
  <si>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</si>
  <si>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</si>
  <si>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</si>
  <si>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</si>
  <si>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</si>
  <si>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</si>
  <si>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</si>
  <si>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</si>
  <si>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</si>
  <si>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</si>
  <si>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</si>
  <si>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</si>
  <si>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</si>
  <si>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</si>
  <si>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</si>
  <si>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</si>
  <si>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</si>
  <si>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</si>
  <si>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</si>
  <si>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</si>
  <si>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</si>
  <si>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</si>
  <si>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</si>
  <si>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</si>
  <si>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</si>
  <si>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</si>
  <si>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</si>
  <si>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</si>
  <si>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</si>
  <si>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</si>
  <si>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</si>
  <si>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</si>
  <si>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</si>
  <si>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</si>
  <si>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</si>
  <si>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</si>
  <si>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</si>
  <si>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</si>
  <si>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</si>
  <si>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</si>
  <si>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</si>
  <si>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</si>
  <si>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</si>
  <si>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</si>
  <si>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</si>
  <si>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</si>
  <si>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</si>
  <si>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</si>
  <si>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</si>
  <si>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</si>
  <si>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</si>
  <si>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</si>
  <si>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</si>
  <si>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</si>
  <si>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</si>
  <si>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</si>
  <si>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</si>
  <si>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</si>
  <si>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</si>
  <si>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</si>
  <si>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</si>
  <si>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</si>
  <si>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</si>
  <si>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</si>
  <si>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</si>
  <si>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</si>
  <si>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</si>
  <si>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</si>
  <si>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</si>
  <si>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</si>
  <si>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</si>
  <si>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</si>
  <si>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</si>
  <si>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</si>
  <si>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</si>
  <si>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</si>
  <si>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</si>
  <si>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</si>
  <si>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</si>
  <si>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</si>
  <si>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</si>
  <si>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</si>
  <si>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</si>
  <si>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</si>
  <si>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</si>
  <si>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</si>
  <si>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</si>
  <si>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</si>
  <si>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</si>
  <si>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</si>
  <si>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</si>
  <si>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</si>
  <si>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</si>
  <si>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</si>
  <si>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</si>
  <si>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</si>
  <si>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</si>
  <si>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</si>
  <si>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</si>
  <si>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</si>
  <si>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</si>
  <si>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</si>
  <si>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</si>
  <si>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</si>
  <si>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</si>
  <si>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</si>
  <si>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</si>
  <si>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</si>
  <si>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</si>
  <si>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</si>
  <si>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</si>
  <si>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</si>
  <si>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</si>
  <si>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</si>
  <si>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</si>
  <si>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</si>
  <si>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</si>
  <si>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</si>
  <si>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</si>
  <si>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</si>
  <si>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</si>
  <si>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</si>
  <si>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</si>
  <si>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</si>
  <si>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</si>
  <si>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</si>
  <si>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</si>
  <si>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</si>
  <si>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</si>
  <si>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</si>
  <si>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</si>
  <si>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</si>
  <si>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</si>
  <si>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</si>
  <si>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</si>
  <si>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</si>
  <si>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</si>
  <si>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</si>
  <si>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</si>
  <si>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</si>
  <si>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</si>
  <si>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</si>
  <si>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</si>
  <si>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</si>
  <si>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</si>
  <si>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</si>
  <si>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</si>
  <si>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</si>
  <si>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</si>
  <si>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</si>
  <si>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</si>
  <si>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</si>
  <si>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</si>
  <si>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</si>
  <si>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</si>
  <si>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</si>
  <si>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</si>
  <si>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</si>
  <si>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</si>
  <si>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</si>
  <si>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</si>
  <si>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</si>
  <si>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</si>
  <si>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</si>
  <si>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</si>
  <si>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</si>
  <si>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</si>
  <si>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</si>
  <si>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</si>
  <si>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</si>
  <si>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</si>
  <si>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</si>
  <si>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</si>
  <si>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</si>
  <si>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</si>
  <si>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</si>
  <si>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</si>
  <si>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</si>
  <si>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</si>
  <si>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</si>
  <si>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</si>
  <si>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</si>
  <si>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</si>
  <si>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</si>
  <si>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</si>
  <si>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</si>
  <si>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</si>
  <si>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</si>
  <si>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</si>
  <si>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</si>
  <si>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</si>
  <si>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</si>
  <si>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</si>
  <si>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</si>
  <si>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</si>
  <si>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</si>
  <si>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</si>
  <si>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</si>
  <si>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</si>
  <si>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</si>
  <si>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</si>
  <si>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</si>
  <si>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</si>
  <si>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</si>
  <si>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</si>
  <si>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</si>
  <si>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</si>
  <si>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</si>
  <si>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</si>
  <si>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</si>
  <si>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</si>
  <si>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</si>
  <si>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</si>
  <si>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</si>
  <si>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</si>
  <si>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</si>
  <si>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</si>
  <si>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</si>
  <si>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</si>
  <si>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</si>
  <si>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</si>
  <si>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</si>
  <si>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</si>
  <si>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</si>
  <si>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</si>
  <si>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</si>
  <si>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</si>
  <si>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</si>
  <si>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</si>
  <si>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</si>
  <si>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</si>
  <si>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</si>
  <si>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</si>
  <si>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</si>
  <si>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</si>
  <si>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</si>
  <si>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</si>
  <si>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</si>
  <si>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</si>
  <si>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</si>
  <si>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</si>
  <si>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</si>
  <si>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</si>
  <si>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</si>
  <si>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</si>
  <si>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</si>
  <si>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</si>
  <si>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</si>
  <si>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</si>
  <si>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</si>
  <si>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</si>
  <si>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</si>
  <si>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</si>
  <si>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</si>
  <si>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</si>
  <si>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</si>
  <si>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</si>
  <si>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</si>
  <si>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</si>
  <si>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</si>
  <si>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</si>
  <si>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</si>
  <si>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</si>
  <si>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</si>
  <si>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</si>
  <si>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</si>
  <si>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</si>
  <si>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</si>
  <si>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</si>
  <si>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</si>
  <si>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</si>
  <si>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</si>
  <si>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</si>
  <si>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</si>
  <si>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</si>
  <si>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</si>
  <si>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</si>
  <si>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</si>
  <si>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</si>
  <si>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</si>
  <si>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</si>
  <si>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</si>
  <si>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</si>
  <si>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</si>
  <si>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</si>
  <si>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</si>
  <si>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</si>
  <si>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</si>
  <si>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</si>
  <si>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</si>
  <si>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</si>
  <si>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</si>
  <si>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</si>
  <si>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</si>
  <si>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</si>
  <si>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</si>
  <si>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</si>
  <si>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</si>
  <si>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</si>
  <si>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</si>
  <si>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</si>
  <si>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</si>
  <si>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</si>
  <si>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</si>
  <si>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</si>
  <si>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</si>
  <si>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</si>
  <si>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</si>
  <si>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</si>
  <si>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</si>
  <si>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</si>
  <si>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</si>
  <si>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</si>
  <si>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</si>
  <si>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</si>
  <si>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</si>
  <si>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</si>
  <si>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</si>
  <si>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</si>
  <si>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</si>
  <si>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</si>
  <si>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</si>
  <si>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</si>
  <si>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</si>
  <si>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</si>
  <si>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</si>
  <si>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</si>
  <si>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</si>
  <si>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</si>
  <si>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</si>
  <si>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</si>
  <si>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</si>
  <si>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</si>
  <si>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</si>
  <si>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</si>
  <si>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</si>
  <si>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</si>
  <si>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</si>
  <si>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</si>
  <si>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</si>
  <si>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</si>
  <si>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</si>
  <si>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</si>
  <si>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</si>
  <si>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</si>
  <si>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</si>
  <si>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</si>
  <si>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</si>
  <si>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</si>
  <si>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</si>
  <si>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</si>
  <si>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</si>
  <si>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</si>
  <si>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</si>
  <si>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</si>
  <si>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</si>
  <si>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</si>
  <si>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</si>
  <si>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</si>
  <si>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</si>
  <si>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</si>
  <si>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</si>
  <si>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</si>
  <si>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</si>
  <si>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</si>
  <si>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</si>
  <si>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</si>
  <si>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</si>
  <si>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</si>
  <si>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</si>
  <si>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</si>
  <si>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</si>
  <si>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</si>
  <si>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</si>
  <si>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</si>
  <si>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</si>
  <si>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</si>
  <si>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</si>
  <si>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</si>
  <si>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</si>
  <si>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</si>
  <si>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</si>
  <si>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</si>
  <si>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</si>
  <si>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</si>
  <si>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</si>
  <si>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</si>
  <si>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</si>
  <si>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</si>
  <si>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</si>
  <si>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</si>
  <si>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</si>
  <si>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</si>
  <si>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</si>
  <si>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</si>
  <si>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</si>
  <si>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</si>
  <si>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</si>
  <si>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</si>
  <si>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</si>
  <si>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</si>
  <si>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</si>
  <si>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</si>
  <si>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</si>
  <si>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</si>
  <si>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</si>
  <si>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</si>
  <si>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</si>
  <si>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</si>
  <si>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</si>
  <si>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</si>
  <si>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</si>
  <si>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</si>
  <si>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</si>
  <si>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</si>
  <si>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</si>
  <si>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</si>
  <si>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</si>
  <si>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</si>
  <si>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</si>
  <si>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</si>
  <si>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</si>
  <si>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</si>
  <si>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</si>
  <si>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</si>
  <si>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</si>
  <si>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</si>
  <si>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</si>
  <si>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</si>
  <si>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</si>
  <si>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</si>
  <si>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</si>
  <si>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</si>
  <si>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</si>
  <si>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</si>
  <si>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</si>
  <si>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</si>
  <si>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</si>
  <si>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</si>
  <si>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</si>
  <si>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</si>
  <si>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</si>
  <si>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</si>
  <si>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</si>
  <si>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</si>
  <si>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</si>
  <si>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</si>
  <si>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</si>
  <si>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</si>
  <si>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</si>
  <si>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</si>
  <si>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</si>
  <si>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</si>
  <si>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</si>
  <si>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</si>
  <si>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</si>
  <si>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</si>
  <si>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</si>
  <si>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</si>
  <si>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</si>
  <si>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</si>
  <si>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</si>
  <si>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</si>
  <si>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</si>
  <si>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</si>
  <si>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</si>
  <si>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</si>
  <si>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</si>
  <si>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</si>
  <si>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</si>
  <si>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</si>
  <si>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</si>
  <si>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</si>
  <si>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</si>
  <si>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</si>
  <si>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</si>
  <si>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</si>
  <si>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</si>
  <si>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</si>
  <si>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</si>
  <si>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</si>
  <si>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</si>
  <si>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</si>
  <si>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</si>
  <si>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</si>
  <si>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</si>
  <si>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</si>
  <si>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</si>
  <si>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</si>
  <si>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</si>
  <si>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</si>
  <si>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</si>
  <si>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</si>
  <si>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</si>
  <si>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</si>
  <si>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</si>
  <si>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</si>
  <si>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</si>
  <si>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</si>
  <si>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</si>
  <si>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</si>
  <si>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</si>
  <si>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</si>
  <si>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</si>
  <si>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</si>
  <si>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</si>
  <si>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</si>
  <si>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</si>
  <si>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</si>
  <si>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</si>
  <si>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</si>
  <si>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</si>
  <si>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</si>
  <si>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</si>
  <si>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</si>
  <si>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</si>
  <si>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</si>
  <si>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</si>
  <si>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</si>
  <si>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</si>
  <si>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</si>
  <si>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</si>
  <si>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</si>
  <si>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</si>
  <si>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</si>
  <si>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</si>
  <si>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</si>
  <si>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</si>
  <si>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</si>
  <si>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</si>
  <si>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</si>
  <si>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</si>
  <si>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</si>
  <si>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</si>
  <si>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</si>
  <si>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</si>
  <si>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</si>
  <si>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</si>
  <si>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</si>
  <si>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</si>
  <si>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</si>
  <si>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</si>
  <si>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</si>
  <si>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</si>
  <si>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</si>
  <si>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</si>
  <si>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</si>
  <si>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</si>
  <si>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</si>
  <si>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</si>
  <si>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</si>
  <si>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</si>
  <si>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</si>
  <si>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</si>
  <si>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</si>
  <si>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</si>
  <si>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</si>
  <si>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</si>
  <si>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</si>
  <si>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</si>
  <si>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</si>
  <si>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</si>
  <si>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</si>
  <si>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</si>
  <si>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</si>
  <si>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</si>
  <si>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</si>
  <si>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</si>
  <si>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</si>
  <si>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</si>
  <si>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</si>
  <si>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</si>
  <si>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</si>
  <si>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</si>
  <si>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</si>
  <si>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</si>
  <si>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</si>
  <si>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</si>
  <si>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</si>
  <si>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</si>
  <si>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</si>
  <si>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</si>
  <si>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</si>
  <si>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</si>
  <si>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</si>
  <si>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</si>
  <si>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</si>
  <si>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</si>
  <si>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</si>
  <si>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</si>
  <si>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</si>
  <si>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</si>
  <si>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</si>
  <si>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</si>
  <si>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</si>
  <si>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</si>
  <si>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</si>
  <si>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</si>
  <si>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</si>
  <si>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</si>
  <si>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</si>
  <si>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</si>
  <si>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</si>
  <si>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</si>
  <si>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</si>
  <si>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</si>
  <si>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</si>
  <si>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</si>
  <si>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</si>
  <si>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</si>
  <si>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</si>
  <si>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</si>
  <si>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</si>
  <si>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</si>
  <si>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</si>
  <si>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</si>
  <si>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</si>
  <si>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</si>
  <si>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</si>
  <si>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</si>
  <si>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</si>
  <si>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</si>
  <si>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</si>
  <si>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</si>
  <si>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</si>
  <si>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</si>
  <si>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</si>
  <si>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</si>
  <si>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</si>
  <si>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</si>
  <si>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</si>
  <si>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</si>
  <si>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</si>
  <si>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</si>
  <si>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</si>
  <si>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</si>
  <si>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</si>
  <si>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</si>
  <si>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</si>
  <si>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</si>
  <si>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</si>
  <si>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</si>
  <si>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</si>
  <si>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</si>
  <si>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</si>
  <si>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</si>
  <si>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</si>
  <si>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</si>
  <si>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</si>
  <si>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</si>
  <si>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</si>
  <si>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</si>
  <si>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</si>
  <si>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</si>
  <si>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</si>
  <si>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</si>
  <si>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</si>
  <si>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</si>
  <si>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</si>
  <si>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</si>
  <si>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</si>
  <si>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</si>
  <si>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</si>
  <si>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</si>
  <si>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</si>
  <si>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</si>
  <si>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</si>
  <si>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</si>
  <si>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</si>
  <si>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</si>
  <si>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</si>
  <si>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</si>
  <si>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</si>
  <si>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</si>
  <si>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</si>
  <si>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</si>
  <si>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</si>
  <si>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</si>
  <si>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</si>
  <si>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</si>
  <si>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</si>
  <si>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</si>
  <si>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</si>
  <si>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</si>
  <si>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</si>
  <si>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</si>
  <si>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</si>
  <si>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</si>
  <si>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</si>
  <si>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</si>
  <si>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</si>
  <si>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</si>
  <si>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</si>
  <si>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</si>
  <si>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</si>
  <si>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</si>
  <si>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</si>
  <si>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</si>
  <si>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</si>
  <si>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</si>
  <si>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</si>
  <si>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</si>
  <si>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</si>
  <si>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</si>
  <si>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</si>
  <si>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</si>
  <si>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</si>
  <si>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</si>
  <si>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</si>
  <si>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</si>
  <si>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</si>
  <si>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</si>
  <si>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</si>
  <si>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</si>
  <si>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</si>
  <si>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</si>
  <si>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</si>
  <si>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</si>
  <si>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</si>
  <si>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</si>
  <si>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</si>
  <si>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</si>
  <si>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</si>
  <si>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</si>
  <si>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</si>
  <si>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</si>
  <si>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</si>
  <si>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</si>
  <si>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</si>
  <si>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</si>
  <si>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</si>
  <si>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</si>
  <si>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</si>
  <si>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</si>
  <si>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</si>
  <si>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</si>
  <si>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</si>
  <si>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</si>
  <si>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</si>
  <si>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</si>
  <si>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</si>
  <si>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</si>
  <si>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</si>
  <si>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</si>
  <si>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</si>
  <si>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</si>
  <si>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</si>
  <si>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</si>
  <si>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</si>
  <si>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</si>
  <si>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</si>
  <si>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</si>
  <si>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</si>
  <si>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</si>
  <si>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</si>
  <si>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</si>
  <si>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</si>
  <si>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</si>
  <si>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</si>
  <si>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</si>
  <si>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</si>
  <si>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</si>
  <si>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</si>
  <si>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</si>
  <si>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</si>
  <si>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</si>
  <si>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</si>
  <si>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</si>
  <si>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</si>
  <si>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</si>
  <si>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</si>
  <si>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</si>
  <si>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</si>
  <si>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</si>
  <si>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</si>
  <si>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</si>
  <si>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</si>
  <si>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</si>
  <si>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</si>
  <si>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</si>
  <si>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</si>
  <si>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</si>
  <si>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</si>
  <si>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</si>
  <si>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</si>
  <si>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</si>
  <si>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</si>
  <si>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</si>
  <si>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</si>
  <si>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</si>
  <si>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</si>
  <si>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</si>
  <si>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</si>
  <si>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</si>
  <si>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</si>
  <si>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</si>
  <si>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</si>
  <si>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</si>
  <si>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</si>
  <si>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</si>
  <si>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</si>
  <si>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</si>
  <si>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</si>
  <si>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</si>
  <si>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</si>
  <si>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</si>
  <si>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</si>
  <si>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</si>
  <si>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</si>
  <si>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</si>
  <si>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</si>
  <si>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</si>
  <si>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</si>
  <si>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</si>
  <si>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</si>
  <si>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</si>
  <si>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</si>
  <si>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</si>
  <si>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</si>
  <si>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</si>
  <si>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</si>
  <si>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</si>
  <si>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</si>
  <si>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</si>
  <si>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</si>
  <si>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</si>
  <si>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</si>
  <si>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</si>
  <si>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</si>
  <si>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</si>
  <si>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</si>
  <si>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</si>
  <si>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</si>
  <si>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</si>
  <si>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</si>
  <si>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</si>
  <si>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</si>
  <si>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</si>
  <si>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</si>
  <si>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</si>
  <si>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</si>
  <si>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</si>
  <si>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</si>
  <si>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</si>
  <si>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</si>
  <si>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</si>
  <si>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</si>
  <si>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</si>
  <si>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</si>
  <si>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</si>
  <si>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</si>
  <si>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</si>
  <si>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</si>
  <si>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</si>
  <si>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</si>
  <si>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</si>
  <si>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</si>
  <si>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</si>
  <si>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</si>
  <si>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</si>
  <si>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</si>
  <si>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</si>
  <si>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</si>
  <si>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</si>
  <si>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</si>
  <si>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</si>
  <si>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</si>
  <si>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</si>
  <si>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</si>
  <si>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</si>
  <si>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</si>
  <si>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</si>
  <si>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</si>
  <si>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</si>
  <si>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</si>
  <si>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</si>
  <si>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</si>
  <si>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</si>
  <si>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</si>
  <si>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</si>
  <si>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</si>
  <si>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</si>
  <si>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</si>
  <si>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</si>
  <si>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</si>
  <si>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</si>
  <si>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</si>
  <si>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</si>
  <si>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</si>
  <si>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</si>
  <si>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</si>
  <si>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</si>
  <si>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</si>
  <si>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</si>
  <si>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</si>
  <si>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</si>
  <si>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</si>
  <si>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</si>
  <si>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</si>
  <si>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</si>
  <si>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</si>
  <si>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</si>
  <si>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</si>
  <si>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</si>
  <si>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</si>
  <si>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</si>
  <si>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</si>
  <si>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</si>
  <si>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</si>
  <si>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</si>
  <si>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</si>
  <si>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</si>
  <si>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</si>
  <si>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</si>
  <si>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</si>
  <si>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</si>
  <si>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</si>
  <si>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</si>
  <si>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</si>
  <si>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</si>
  <si>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</si>
  <si>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</si>
  <si>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</si>
  <si>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</si>
  <si>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</si>
  <si>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</si>
  <si>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</si>
  <si>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</si>
  <si>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</si>
  <si>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</si>
  <si>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</si>
  <si>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</si>
  <si>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</si>
  <si>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</si>
  <si>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</si>
  <si>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</si>
  <si>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</si>
  <si>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</si>
  <si>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</si>
  <si>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</si>
  <si>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</si>
  <si>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</si>
  <si>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</si>
  <si>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</si>
  <si>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</si>
  <si>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</si>
  <si>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</si>
  <si>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</si>
  <si>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</si>
  <si>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</si>
  <si>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</si>
  <si>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</si>
  <si>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</si>
  <si>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</si>
  <si>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</si>
  <si>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</si>
  <si>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</si>
  <si>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</si>
  <si>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</si>
  <si>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</si>
  <si>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</si>
  <si>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</si>
  <si>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</si>
  <si>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</si>
  <si>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</si>
  <si>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</si>
  <si>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</si>
  <si>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</si>
  <si>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</si>
  <si>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</si>
  <si>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</si>
  <si>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</si>
  <si>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</si>
  <si>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</si>
  <si>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</si>
  <si>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</si>
  <si>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</si>
  <si>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</si>
  <si>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</si>
  <si>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</si>
  <si>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</si>
  <si>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</si>
  <si>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</si>
  <si>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</si>
  <si>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</si>
  <si>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</si>
  <si>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</si>
  <si>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</si>
  <si>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</si>
  <si>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</si>
  <si>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</si>
  <si>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</si>
  <si>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</si>
  <si>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</si>
  <si>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</si>
  <si>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</si>
  <si>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</si>
  <si>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</si>
  <si>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</si>
  <si>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</si>
  <si>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</si>
  <si>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</si>
  <si>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</si>
  <si>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</si>
  <si>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</si>
  <si>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</si>
  <si>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</si>
  <si>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</si>
  <si>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</si>
  <si>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</si>
  <si>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</si>
  <si>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</si>
  <si>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</si>
  <si>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</si>
  <si>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</si>
  <si>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</si>
  <si>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</si>
  <si>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</si>
  <si>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</si>
  <si>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</si>
  <si>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</si>
  <si>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</si>
  <si>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</si>
  <si>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</si>
  <si>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</si>
  <si>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</si>
  <si>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</si>
  <si>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</si>
  <si>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</si>
  <si>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</si>
  <si>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</si>
  <si>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</si>
  <si>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</si>
  <si>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</si>
  <si>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</si>
  <si>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</si>
  <si>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</si>
  <si>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</si>
  <si>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</si>
  <si>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</si>
  <si>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</si>
  <si>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</si>
  <si>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</si>
  <si>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</si>
  <si>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</si>
  <si>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</si>
  <si>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</si>
  <si>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</si>
  <si>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</si>
  <si>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</si>
  <si>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</si>
  <si>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</si>
  <si>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</si>
  <si>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</si>
  <si>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</si>
  <si>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</si>
  <si>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</si>
  <si>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</si>
  <si>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</si>
  <si>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</si>
  <si>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</si>
  <si>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</si>
  <si>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</si>
  <si>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</si>
  <si>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</si>
  <si>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</si>
  <si>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</si>
  <si>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</si>
  <si>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</si>
  <si>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</si>
  <si>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</si>
  <si>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</si>
  <si>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</si>
  <si>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</si>
  <si>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</si>
  <si>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</si>
  <si>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</si>
  <si>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</si>
  <si>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</si>
  <si>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</si>
  <si>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</si>
  <si>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</si>
  <si>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</si>
  <si>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</si>
  <si>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</si>
  <si>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</si>
  <si>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</si>
  <si>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</si>
  <si>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</si>
  <si>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</si>
  <si>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</si>
  <si>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</si>
  <si>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</si>
  <si>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</si>
  <si>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</si>
  <si>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</si>
  <si>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</si>
  <si>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</si>
  <si>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</si>
  <si>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</si>
  <si>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</si>
  <si>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</si>
  <si>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</si>
  <si>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</si>
  <si>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</si>
  <si>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</si>
  <si>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</si>
  <si>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</si>
  <si>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</si>
  <si>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</si>
  <si>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</si>
  <si>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</si>
  <si>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</si>
  <si>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</si>
  <si>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</si>
  <si>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</si>
  <si>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</si>
  <si>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</si>
  <si>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</si>
  <si>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</si>
  <si>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</si>
  <si>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</si>
  <si>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</si>
  <si>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</si>
  <si>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</si>
  <si>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</si>
  <si>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</si>
  <si>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</si>
  <si>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</si>
  <si>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</si>
  <si>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</si>
  <si>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</si>
  <si>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</si>
  <si>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</si>
  <si>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</si>
  <si>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</si>
  <si>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</si>
  <si>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</si>
  <si>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</si>
  <si>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</si>
  <si>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</si>
  <si>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</si>
  <si>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</si>
  <si>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</si>
  <si>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</si>
  <si>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</si>
  <si>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</si>
  <si>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</si>
  <si>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</si>
  <si>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</si>
  <si>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</si>
  <si>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</si>
  <si>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</si>
  <si>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</si>
  <si>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</si>
  <si>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</si>
  <si>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</si>
  <si>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</si>
  <si>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</si>
  <si>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</si>
  <si>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</si>
  <si>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</si>
  <si>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</si>
  <si>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</si>
  <si>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</si>
  <si>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</si>
  <si>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</si>
  <si>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</si>
  <si>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</si>
  <si>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</si>
  <si>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</si>
  <si>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</si>
  <si>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</si>
  <si>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</si>
  <si>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</si>
  <si>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</si>
  <si>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</si>
  <si>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</si>
  <si>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</si>
  <si>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</si>
  <si>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</si>
  <si>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</si>
  <si>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</si>
  <si>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</si>
  <si>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</si>
  <si>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</si>
  <si>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</si>
  <si>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</si>
  <si>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</si>
  <si>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</si>
  <si>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</si>
  <si>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</si>
  <si>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</si>
  <si>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</si>
  <si>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</si>
  <si>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</si>
  <si>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</si>
  <si>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</si>
  <si>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</si>
  <si>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</si>
  <si>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</si>
  <si>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</si>
  <si>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</si>
  <si>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</si>
  <si>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</si>
  <si>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</si>
  <si>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</si>
  <si>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</si>
  <si>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</si>
  <si>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</si>
  <si>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</si>
  <si>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</si>
  <si>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</si>
  <si>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</si>
  <si>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</si>
  <si>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</si>
  <si>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</si>
  <si>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</si>
  <si>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</si>
  <si>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</si>
  <si>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</si>
  <si>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</si>
  <si>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</si>
  <si>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</si>
  <si>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</si>
  <si>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</si>
  <si>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</si>
  <si>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</si>
  <si>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</si>
  <si>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</si>
  <si>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</si>
  <si>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</si>
  <si>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</si>
  <si>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</si>
  <si>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</si>
  <si>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</si>
  <si>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</si>
  <si>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</si>
  <si>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</si>
  <si>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</si>
  <si>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</si>
  <si>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</si>
  <si>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</si>
  <si>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</si>
  <si>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</si>
  <si>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</si>
  <si>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</si>
  <si>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</si>
  <si>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</si>
  <si>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</si>
  <si>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</si>
  <si>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</si>
  <si>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</si>
  <si>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</si>
  <si>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</si>
  <si>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</si>
  <si>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</si>
  <si>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</si>
  <si>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</si>
  <si>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</si>
  <si>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</si>
  <si>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</si>
  <si>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</si>
  <si>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</si>
  <si>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</si>
  <si>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</si>
  <si>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</si>
  <si>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</si>
  <si>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</si>
  <si>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</si>
  <si>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</si>
  <si>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</si>
  <si>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</si>
  <si>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</si>
  <si>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</si>
  <si>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</si>
  <si>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</si>
  <si>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</si>
  <si>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</si>
  <si>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</si>
  <si>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</si>
  <si>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</si>
  <si>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</si>
  <si>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</si>
  <si>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</si>
  <si>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</si>
  <si>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</si>
  <si>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</si>
  <si>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</si>
  <si>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</si>
  <si>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</si>
  <si>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</si>
  <si>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</si>
  <si>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</si>
  <si>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</si>
  <si>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</si>
  <si>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</si>
  <si>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</si>
  <si>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</si>
  <si>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</si>
  <si>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</si>
  <si>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</si>
  <si>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</si>
  <si>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</si>
  <si>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</si>
  <si>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</si>
  <si>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</si>
  <si>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</si>
  <si>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</si>
  <si>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</si>
  <si>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</si>
  <si>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</si>
  <si>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</si>
  <si>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</si>
  <si>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</si>
  <si>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</si>
  <si>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</si>
  <si>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</si>
  <si>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</si>
  <si>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</si>
  <si>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</si>
  <si>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</si>
  <si>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</si>
  <si>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</si>
  <si>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</si>
  <si>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</si>
  <si>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</si>
  <si>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</si>
  <si>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</si>
  <si>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</si>
  <si>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</si>
  <si>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</si>
  <si>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</si>
  <si>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</si>
  <si>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</si>
  <si>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</si>
  <si>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</si>
  <si>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</si>
  <si>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</si>
  <si>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</si>
  <si>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</si>
  <si>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</si>
  <si>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</si>
  <si>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</si>
  <si>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</si>
  <si>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</si>
  <si>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</si>
  <si>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</si>
  <si>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</si>
  <si>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</si>
  <si>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</si>
  <si>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</si>
  <si>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</si>
  <si>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</si>
  <si>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</si>
  <si>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</si>
  <si>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</si>
  <si>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</si>
  <si>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</si>
  <si>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</si>
  <si>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</si>
  <si>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</si>
  <si>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</si>
  <si>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</si>
  <si>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</si>
  <si>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</si>
  <si>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</si>
  <si>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</si>
  <si>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</si>
  <si>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</si>
  <si>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</si>
  <si>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</si>
  <si>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</si>
  <si>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</si>
  <si>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</si>
  <si>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</si>
  <si>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</si>
  <si>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</si>
  <si>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</si>
  <si>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</si>
  <si>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</si>
  <si>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</si>
  <si>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</si>
  <si>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</si>
  <si>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</si>
  <si>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</si>
  <si>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</si>
  <si>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</si>
  <si>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</si>
  <si>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</si>
  <si>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</si>
  <si>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</si>
  <si>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</si>
  <si>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</si>
  <si>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</si>
  <si>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</si>
  <si>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</si>
  <si>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</si>
  <si>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</si>
  <si>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</si>
  <si>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</si>
  <si>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</si>
  <si>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</si>
  <si>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</si>
  <si>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</si>
  <si>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</si>
  <si>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</si>
  <si>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</si>
  <si>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</si>
  <si>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</si>
  <si>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</si>
  <si>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</si>
  <si>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</si>
  <si>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</si>
  <si>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</si>
  <si>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</si>
  <si>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</si>
  <si>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</si>
  <si>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</si>
  <si>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</si>
  <si>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</si>
  <si>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</si>
  <si>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</si>
  <si>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</si>
  <si>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</si>
  <si>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</si>
  <si>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</si>
  <si>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</si>
  <si>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</si>
  <si>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</si>
  <si>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</si>
  <si>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</si>
  <si>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</si>
  <si>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</si>
  <si>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</si>
  <si>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</si>
  <si>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</si>
  <si>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</si>
  <si>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</si>
  <si>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</si>
  <si>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</si>
  <si>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</si>
  <si>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</si>
  <si>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</si>
  <si>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</si>
  <si>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</si>
  <si>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</si>
  <si>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</si>
  <si>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</si>
  <si>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</si>
  <si>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</si>
  <si>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</si>
  <si>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</si>
  <si>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</si>
  <si>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</si>
  <si>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</si>
  <si>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</si>
  <si>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</si>
  <si>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</si>
  <si>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</si>
  <si>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</si>
  <si>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</si>
  <si>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</si>
  <si>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</si>
  <si>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</si>
  <si>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</si>
  <si>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</si>
  <si>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</si>
  <si>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</si>
  <si>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</si>
  <si>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</si>
  <si>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</si>
  <si>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</si>
  <si>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</si>
  <si>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</si>
  <si>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</si>
  <si>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</si>
  <si>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</si>
  <si>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</si>
  <si>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</si>
  <si>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</si>
  <si>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</si>
  <si>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</si>
  <si>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</si>
  <si>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</si>
  <si>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</si>
  <si>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</si>
  <si>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</si>
  <si>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</si>
  <si>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</si>
  <si>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</si>
  <si>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</si>
  <si>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</si>
  <si>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</si>
  <si>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</si>
  <si>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</si>
  <si>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</si>
  <si>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</si>
  <si>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</si>
  <si>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</si>
  <si>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</si>
  <si>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</si>
  <si>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</si>
  <si>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</si>
  <si>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</si>
  <si>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</si>
  <si>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</si>
  <si>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</si>
  <si>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</si>
  <si>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</si>
  <si>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</si>
  <si>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</si>
  <si>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</si>
  <si>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</si>
  <si>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</si>
  <si>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</si>
  <si>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</si>
  <si>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</si>
  <si>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</si>
  <si>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</si>
  <si>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</si>
  <si>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</si>
  <si>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</si>
  <si>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</si>
  <si>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</si>
  <si>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</si>
  <si>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</si>
  <si>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</si>
  <si>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</si>
  <si>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</si>
  <si>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</si>
  <si>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</si>
  <si>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</si>
  <si>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</si>
  <si>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</si>
  <si>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</si>
  <si>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</si>
  <si>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</si>
  <si>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</si>
  <si>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</si>
  <si>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</si>
  <si>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</si>
  <si>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</si>
  <si>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</si>
  <si>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</si>
  <si>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</si>
  <si>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</si>
  <si>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</si>
  <si>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</si>
  <si>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</si>
  <si>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</si>
  <si>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</si>
  <si>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</si>
  <si>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</si>
  <si>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</si>
  <si>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</si>
  <si>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</si>
  <si>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</si>
  <si>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</si>
  <si>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</si>
  <si>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</si>
  <si>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</si>
  <si>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</si>
  <si>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</si>
  <si>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</si>
  <si>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</si>
  <si>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</si>
  <si>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</si>
  <si>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</si>
  <si>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</si>
  <si>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</si>
  <si>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</si>
  <si>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</si>
  <si>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</si>
  <si>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</si>
  <si>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</si>
  <si>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</si>
  <si>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</si>
  <si>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</si>
  <si>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</si>
  <si>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</si>
  <si>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</si>
  <si>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</si>
  <si>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</si>
  <si>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</si>
  <si>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</si>
  <si>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</si>
  <si>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</si>
  <si>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</si>
  <si>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</si>
  <si>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</si>
  <si>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</si>
  <si>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</si>
  <si>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</si>
  <si>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</si>
  <si>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</si>
  <si>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</si>
  <si>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</si>
  <si>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</si>
  <si>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</si>
  <si>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</si>
  <si>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</si>
  <si>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</si>
  <si>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</si>
  <si>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</si>
  <si>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</si>
  <si>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</si>
  <si>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</si>
  <si>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</si>
  <si>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</si>
  <si>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</si>
  <si>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</si>
  <si>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</si>
  <si>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</si>
  <si>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</si>
  <si>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</si>
  <si>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</si>
  <si>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</si>
  <si>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</si>
  <si>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</si>
  <si>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</si>
  <si>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</si>
  <si>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</si>
  <si>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</si>
  <si>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</si>
  <si>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</si>
  <si>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</si>
  <si>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</si>
  <si>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</si>
  <si>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</si>
  <si>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</si>
  <si>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</si>
  <si>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</si>
  <si>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</si>
  <si>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</si>
  <si>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</si>
  <si>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</si>
  <si>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</si>
  <si>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</si>
  <si>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</si>
  <si>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</si>
  <si>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</si>
  <si>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</si>
  <si>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</si>
  <si>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</si>
  <si>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</si>
  <si>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</si>
  <si>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</si>
  <si>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</si>
  <si>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</si>
  <si>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</si>
  <si>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</si>
  <si>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</si>
  <si>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</si>
  <si>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</si>
  <si>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</si>
  <si>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</si>
  <si>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</si>
  <si>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</si>
  <si>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</si>
  <si>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</si>
  <si>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</si>
  <si>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</si>
  <si>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</si>
  <si>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</si>
  <si>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</si>
  <si>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</si>
  <si>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</si>
  <si>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</si>
  <si>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</si>
  <si>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</si>
  <si>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</si>
  <si>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</si>
  <si>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</si>
  <si>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</si>
  <si>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</si>
  <si>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</si>
  <si>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</si>
  <si>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</si>
  <si>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</si>
  <si>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</si>
  <si>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</si>
  <si>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</si>
  <si>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</si>
  <si>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</si>
  <si>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</si>
  <si>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</si>
  <si>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</si>
  <si>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</si>
  <si>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</si>
  <si>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</si>
  <si>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</si>
  <si>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</si>
  <si>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</si>
  <si>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</si>
  <si>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</si>
  <si>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</si>
  <si>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</si>
  <si>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</si>
  <si>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</si>
  <si>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</si>
  <si>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</si>
  <si>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</si>
  <si>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</si>
  <si>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</si>
  <si>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</si>
  <si>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</si>
  <si>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</si>
  <si>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</si>
  <si>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</si>
  <si>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</si>
  <si>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</si>
  <si>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</si>
  <si>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</si>
  <si>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</si>
  <si>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</si>
  <si>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</si>
  <si>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</si>
  <si>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</si>
  <si>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</si>
  <si>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</si>
  <si>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</si>
  <si>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</si>
  <si>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</si>
  <si>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</si>
  <si>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</si>
  <si>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</si>
  <si>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</si>
  <si>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</si>
  <si>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</si>
  <si>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</si>
  <si>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</si>
  <si>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</si>
  <si>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</si>
  <si>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</si>
  <si>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</si>
  <si>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</si>
  <si>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</si>
  <si>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</si>
  <si>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</si>
  <si>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</si>
  <si>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</si>
  <si>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</si>
  <si>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</si>
  <si>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</si>
  <si>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</si>
  <si>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</si>
  <si>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</si>
  <si>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</si>
  <si>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</si>
  <si>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</si>
  <si>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</si>
  <si>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</si>
  <si>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</si>
  <si>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</si>
  <si>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</si>
  <si>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</si>
  <si>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</si>
  <si>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</si>
  <si>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</si>
  <si>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</si>
  <si>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</si>
  <si>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</si>
  <si>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</si>
  <si>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</si>
  <si>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</si>
  <si>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</si>
  <si>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</si>
  <si>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</si>
  <si>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</si>
  <si>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</si>
  <si>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</si>
  <si>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</si>
  <si>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</si>
  <si>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</si>
  <si>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</si>
  <si>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</si>
  <si>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</si>
  <si>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</si>
  <si>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</si>
  <si>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</si>
  <si>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</si>
  <si>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</si>
  <si>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</si>
  <si>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</si>
  <si>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</si>
  <si>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</si>
  <si>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</si>
  <si>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</si>
  <si>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</si>
  <si>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</si>
  <si>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</si>
  <si>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</si>
  <si>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</si>
  <si>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</si>
  <si>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</si>
  <si>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</si>
  <si>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</si>
  <si>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</si>
  <si>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</si>
  <si>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</si>
  <si>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</si>
  <si>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</si>
  <si>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</si>
  <si>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</si>
  <si>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</si>
  <si>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</si>
  <si>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</si>
  <si>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</si>
  <si>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</si>
  <si>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</si>
  <si>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</si>
  <si>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</si>
  <si>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</si>
  <si>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</si>
  <si>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</si>
  <si>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</si>
  <si>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</si>
  <si>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</si>
  <si>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</si>
  <si>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</si>
  <si>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</si>
  <si>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</si>
  <si>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</si>
  <si>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</si>
  <si>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</si>
  <si>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</si>
  <si>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</si>
  <si>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</si>
  <si>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</si>
  <si>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</si>
  <si>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</si>
  <si>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</si>
  <si>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</si>
  <si>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</si>
  <si>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</si>
  <si>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</si>
  <si>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</si>
  <si>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</si>
  <si>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</si>
  <si>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</si>
  <si>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</si>
  <si>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</si>
  <si>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</si>
  <si>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</si>
  <si>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</si>
  <si>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</si>
  <si>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</si>
  <si>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</si>
  <si>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</si>
  <si>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</si>
  <si>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</si>
  <si>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</si>
  <si>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</si>
  <si>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</si>
  <si>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</si>
  <si>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</si>
  <si>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</si>
  <si>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</si>
  <si>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</si>
  <si>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</si>
  <si>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</si>
  <si>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</si>
  <si>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</si>
  <si>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</si>
  <si>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</si>
  <si>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</si>
  <si>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</si>
  <si>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</si>
  <si>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</si>
  <si>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</si>
  <si>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</si>
  <si>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</si>
  <si>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</si>
  <si>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</si>
  <si>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</si>
  <si>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</si>
  <si>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</si>
  <si>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</si>
  <si>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</si>
  <si>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</si>
  <si>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</si>
  <si>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</si>
  <si>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</si>
  <si>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</si>
  <si>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</si>
  <si>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</si>
  <si>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</si>
  <si>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</si>
  <si>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</si>
  <si>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</si>
  <si>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</si>
  <si>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</si>
  <si>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</si>
  <si>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</si>
  <si>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</si>
  <si>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</si>
  <si>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</si>
  <si>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</si>
  <si>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</si>
  <si>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</si>
  <si>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</si>
  <si>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</si>
  <si>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</si>
  <si>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</si>
  <si>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</si>
  <si>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</si>
  <si>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</si>
  <si>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</si>
  <si>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</si>
  <si>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</si>
  <si>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</si>
  <si>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</si>
  <si>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</si>
  <si>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</si>
  <si>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</si>
  <si>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</si>
  <si>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</si>
  <si>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</si>
  <si>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</si>
  <si>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</si>
  <si>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</si>
  <si>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</si>
  <si>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</si>
  <si>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</si>
  <si>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</si>
  <si>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</si>
  <si>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</si>
  <si>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</si>
  <si>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</si>
  <si>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</si>
  <si>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</si>
  <si>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</si>
  <si>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</si>
  <si>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</si>
  <si>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</si>
  <si>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</si>
  <si>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</si>
  <si>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</si>
  <si>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</si>
  <si>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</si>
  <si>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</si>
  <si>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</si>
  <si>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</si>
  <si>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</si>
  <si>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</si>
  <si>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</si>
  <si>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</si>
  <si>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</si>
  <si>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</si>
  <si>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</si>
  <si>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</si>
  <si>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</si>
  <si>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</si>
  <si>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</si>
  <si>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</si>
  <si>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</si>
  <si>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</si>
  <si>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</si>
  <si>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</si>
  <si>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</si>
  <si>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</si>
  <si>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</si>
  <si>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</si>
  <si>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</si>
  <si>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</si>
  <si>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</si>
  <si>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</si>
  <si>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</si>
  <si>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</si>
  <si>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</si>
  <si>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</si>
  <si>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</si>
  <si>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</si>
  <si>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</si>
  <si>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</si>
  <si>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</si>
  <si>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</si>
  <si>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</si>
  <si>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</si>
  <si>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</si>
  <si>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</si>
  <si>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</si>
  <si>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</si>
  <si>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</si>
  <si>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</si>
  <si>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</si>
  <si>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</si>
  <si>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</si>
  <si>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</si>
  <si>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</si>
  <si>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</si>
  <si>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</si>
  <si>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</si>
  <si>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</si>
  <si>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</si>
  <si>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</si>
  <si>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</si>
  <si>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</si>
  <si>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</si>
  <si>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</si>
  <si>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</si>
  <si>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</si>
  <si>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</si>
  <si>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</si>
  <si>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</si>
  <si>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</si>
  <si>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</si>
  <si>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</si>
  <si>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</si>
  <si>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</si>
  <si>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</si>
  <si>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</si>
  <si>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</si>
  <si>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</si>
  <si>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</si>
  <si>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</si>
  <si>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</si>
  <si>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</si>
  <si>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</si>
  <si>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</si>
  <si>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</si>
  <si>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</si>
  <si>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</si>
  <si>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</si>
  <si>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</si>
  <si>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</si>
  <si>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</si>
  <si>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</si>
  <si>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</si>
  <si>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</si>
  <si>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</si>
  <si>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</si>
  <si>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</si>
  <si>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</si>
  <si>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</si>
  <si>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</si>
  <si>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</si>
  <si>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</si>
  <si>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</si>
  <si>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</si>
  <si>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</si>
  <si>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</si>
  <si>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</si>
  <si>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</si>
  <si>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</si>
  <si>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</si>
  <si>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</si>
  <si>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</si>
  <si>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</si>
  <si>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</si>
  <si>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</si>
  <si>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</si>
  <si>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</si>
  <si>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</si>
  <si>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</si>
  <si>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</si>
  <si>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</si>
  <si>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</si>
  <si>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</si>
  <si>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</si>
  <si>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</si>
  <si>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</si>
  <si>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</si>
  <si>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</si>
  <si>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</si>
  <si>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</si>
  <si>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</si>
  <si>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</si>
  <si>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</si>
  <si>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</si>
  <si>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</si>
  <si>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</si>
  <si>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</si>
  <si>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</si>
  <si>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</si>
  <si>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</si>
  <si>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</si>
  <si>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</si>
  <si>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</si>
  <si>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</si>
  <si>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</si>
  <si>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</si>
  <si>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</si>
  <si>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</si>
  <si>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</si>
  <si>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</si>
  <si>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</si>
  <si>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</si>
  <si>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</si>
  <si>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</si>
  <si>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</si>
  <si>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</si>
  <si>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</si>
  <si>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</si>
  <si>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</si>
  <si>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</si>
  <si>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</si>
  <si>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</si>
  <si>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</si>
  <si>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</si>
  <si>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</si>
  <si>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</si>
  <si>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</si>
  <si>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</si>
  <si>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</si>
  <si>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</si>
  <si>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</si>
  <si>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</si>
  <si>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</si>
  <si>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</si>
  <si>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</si>
  <si>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</si>
  <si>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</si>
  <si>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</si>
  <si>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</si>
  <si>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</si>
  <si>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</si>
  <si>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</si>
  <si>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</si>
  <si>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</si>
  <si>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</si>
  <si>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</si>
  <si>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</si>
  <si>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</si>
  <si>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</si>
  <si>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</si>
  <si>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</si>
  <si>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</si>
  <si>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</si>
  <si>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</si>
  <si>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</si>
  <si>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</si>
  <si>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</si>
  <si>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</si>
  <si>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</si>
  <si>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</si>
  <si>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</si>
  <si>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</si>
  <si>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</si>
  <si>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</si>
  <si>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</si>
  <si>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</si>
  <si>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</si>
  <si>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</si>
  <si>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</si>
  <si>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</si>
  <si>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</si>
  <si>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</si>
  <si>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</si>
  <si>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</si>
  <si>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</si>
  <si>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</si>
  <si>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</si>
  <si>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</si>
  <si>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</si>
  <si>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</si>
  <si>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</si>
  <si>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</si>
  <si>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</si>
  <si>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</si>
  <si>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</si>
  <si>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</si>
  <si>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</si>
  <si>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</si>
  <si>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</si>
  <si>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</si>
  <si>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</si>
  <si>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</si>
  <si>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</si>
  <si>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</si>
  <si>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</si>
  <si>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</si>
  <si>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</si>
  <si>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</si>
  <si>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</si>
  <si>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</si>
  <si>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</si>
  <si>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</si>
  <si>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</si>
  <si>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</si>
  <si>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</si>
  <si>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</si>
  <si>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</si>
  <si>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</si>
  <si>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</si>
  <si>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</si>
  <si>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</si>
  <si>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</si>
  <si>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</si>
  <si>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</si>
  <si>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</si>
  <si>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</si>
  <si>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</si>
  <si>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</si>
  <si>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</si>
  <si>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</si>
  <si>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</si>
  <si>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</si>
  <si>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</si>
  <si>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</si>
  <si>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</si>
  <si>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</si>
  <si>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</si>
  <si>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</si>
  <si>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</si>
  <si>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</si>
  <si>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</si>
  <si>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</si>
  <si>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</si>
  <si>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</si>
  <si>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</si>
  <si>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</si>
  <si>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</si>
  <si>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</si>
  <si>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</si>
  <si>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</si>
  <si>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</si>
  <si>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</si>
  <si>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</si>
  <si>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</si>
  <si>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</si>
  <si>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</si>
  <si>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</si>
  <si>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</si>
  <si>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</si>
  <si>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</si>
  <si>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</si>
  <si>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</si>
  <si>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</si>
  <si>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</si>
  <si>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</si>
  <si>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</si>
  <si>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</si>
  <si>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</si>
  <si>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</si>
  <si>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</si>
  <si>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</si>
  <si>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</si>
  <si>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</si>
  <si>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</si>
  <si>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</si>
  <si>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</si>
  <si>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</si>
  <si>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</si>
  <si>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</si>
  <si>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</si>
  <si>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</si>
  <si>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</si>
  <si>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</si>
  <si>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</si>
  <si>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</si>
  <si>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</si>
  <si>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</si>
  <si>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</si>
  <si>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</si>
  <si>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</si>
  <si>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</si>
  <si>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</si>
  <si>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</si>
  <si>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</si>
  <si>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</si>
  <si>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</si>
  <si>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</si>
  <si>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</si>
  <si>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</si>
  <si>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</si>
  <si>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</si>
  <si>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</si>
  <si>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</si>
  <si>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</si>
  <si>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</si>
  <si>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</si>
  <si>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</si>
  <si>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</si>
  <si>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</si>
  <si>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</si>
  <si>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</si>
  <si>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</si>
  <si>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</si>
  <si>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</si>
  <si>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</si>
  <si>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</si>
  <si>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</si>
  <si>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</si>
  <si>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</si>
  <si>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</si>
  <si>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</si>
  <si>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</si>
  <si>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</si>
  <si>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</si>
  <si>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</si>
  <si>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</si>
  <si>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</si>
  <si>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</si>
  <si>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</si>
  <si>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</si>
  <si>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</si>
  <si>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</si>
  <si>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</si>
  <si>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</si>
  <si>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</si>
  <si>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</si>
  <si>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</si>
  <si>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</si>
  <si>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</si>
  <si>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</si>
  <si>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</si>
  <si>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</si>
  <si>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</si>
  <si>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</si>
  <si>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</si>
  <si>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</si>
  <si>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</si>
  <si>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</si>
  <si>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</si>
  <si>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</si>
  <si>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</si>
  <si>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</si>
  <si>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</si>
  <si>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</si>
  <si>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</si>
  <si>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</si>
  <si>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</si>
  <si>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</si>
  <si>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</si>
  <si>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</si>
  <si>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</si>
  <si>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</si>
  <si>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</si>
  <si>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</si>
  <si>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</si>
  <si>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</si>
  <si>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</si>
  <si>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</si>
  <si>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</si>
  <si>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</si>
  <si>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</si>
  <si>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</si>
  <si>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</si>
  <si>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</si>
  <si>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</si>
  <si>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</si>
  <si>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</si>
  <si>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</si>
  <si>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</si>
  <si>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</si>
  <si>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</si>
  <si>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</si>
  <si>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</si>
  <si>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</si>
  <si>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</si>
  <si>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</si>
  <si>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</si>
  <si>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</si>
  <si>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</si>
  <si>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</si>
  <si>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</si>
  <si>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</si>
  <si>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</si>
  <si>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</si>
  <si>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</si>
  <si>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</si>
  <si>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</si>
  <si>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</si>
  <si>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</si>
  <si>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</si>
  <si>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</si>
  <si>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</si>
  <si>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</si>
  <si>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</si>
  <si>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</si>
  <si>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</si>
  <si>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</si>
  <si>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</si>
  <si>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</si>
  <si>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</si>
  <si>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</si>
  <si>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</si>
  <si>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</si>
  <si>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</si>
  <si>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</si>
  <si>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</si>
  <si>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</si>
  <si>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</si>
  <si>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</si>
  <si>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</si>
  <si>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</si>
  <si>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</si>
  <si>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</si>
  <si>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</si>
  <si>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</si>
  <si>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</si>
  <si>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</si>
  <si>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</si>
  <si>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</si>
  <si>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</si>
  <si>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</si>
  <si>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</si>
  <si>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</si>
  <si>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</si>
  <si>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</si>
  <si>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</si>
  <si>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</si>
  <si>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</si>
  <si>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</si>
  <si>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</si>
  <si>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</si>
  <si>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</si>
  <si>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</si>
  <si>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</si>
  <si>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</si>
  <si>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</si>
  <si>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</si>
  <si>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</si>
  <si>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</si>
  <si>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</si>
  <si>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</si>
  <si>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</si>
  <si>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</si>
  <si>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</si>
  <si>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</si>
  <si>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</si>
  <si>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</si>
  <si>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</si>
  <si>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</si>
  <si>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</si>
  <si>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</si>
  <si>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</si>
  <si>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</si>
  <si>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</si>
  <si>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</si>
  <si>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</si>
  <si>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</si>
  <si>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</si>
  <si>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</si>
  <si>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</si>
  <si>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</si>
  <si>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</si>
  <si>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</si>
  <si>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</si>
  <si>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</si>
  <si>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</si>
  <si>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</si>
  <si>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</si>
  <si>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</si>
  <si>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</si>
  <si>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</si>
  <si>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</si>
  <si>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</si>
  <si>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</si>
  <si>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</si>
  <si>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</si>
  <si>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</si>
  <si>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</si>
  <si>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</si>
  <si>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</si>
  <si>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</si>
  <si>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</si>
  <si>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</si>
  <si>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</si>
  <si>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</si>
  <si>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</si>
  <si>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</si>
  <si>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</si>
  <si>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</si>
  <si>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</si>
  <si>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</si>
  <si>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</si>
  <si>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</si>
  <si>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</si>
  <si>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</si>
  <si>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</si>
  <si>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</si>
  <si>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</si>
  <si>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</si>
  <si>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</si>
  <si>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</si>
  <si>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</si>
  <si>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</si>
  <si>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</si>
  <si>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</si>
  <si>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</si>
  <si>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</si>
  <si>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</si>
  <si>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</si>
  <si>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</si>
  <si>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</si>
  <si>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</si>
  <si>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</si>
  <si>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</si>
  <si>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</si>
  <si>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</si>
  <si>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</si>
  <si>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</si>
  <si>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</si>
  <si>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</si>
  <si>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</si>
  <si>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</si>
  <si>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</si>
  <si>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</si>
  <si>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</si>
  <si>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</si>
  <si>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</si>
  <si>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</si>
  <si>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</si>
  <si>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</si>
  <si>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</si>
  <si>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</si>
  <si>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</si>
  <si>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</si>
  <si>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</si>
  <si>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</si>
  <si>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</si>
  <si>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</si>
  <si>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</si>
  <si>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</si>
  <si>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</si>
  <si>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</si>
  <si>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</si>
  <si>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</si>
  <si>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</si>
  <si>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</si>
  <si>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</si>
  <si>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</si>
  <si>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</si>
  <si>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</si>
  <si>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</si>
  <si>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</si>
  <si>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</si>
  <si>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</si>
  <si>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</si>
  <si>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</si>
  <si>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</si>
  <si>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</si>
  <si>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</si>
  <si>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</si>
  <si>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</si>
  <si>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</si>
  <si>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</si>
  <si>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</si>
  <si>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</si>
  <si>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</si>
  <si>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</si>
  <si>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</si>
  <si>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</si>
  <si>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</si>
  <si>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</si>
  <si>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</si>
  <si>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</si>
  <si>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</si>
  <si>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</si>
  <si>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</si>
  <si>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</si>
  <si>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</si>
  <si>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</si>
  <si>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</si>
  <si>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</si>
  <si>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</si>
  <si>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</si>
  <si>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</si>
  <si>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</si>
  <si>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</si>
  <si>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</si>
  <si>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</si>
  <si>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</si>
  <si>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</si>
  <si>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</si>
  <si>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</si>
  <si>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</si>
  <si>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</si>
  <si>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</si>
  <si>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</si>
  <si>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</si>
  <si>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</si>
  <si>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</si>
  <si>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</si>
  <si>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</si>
  <si>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</si>
  <si>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</si>
  <si>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</si>
  <si>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</si>
  <si>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</si>
  <si>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</si>
  <si>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</si>
  <si>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</si>
  <si>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</si>
  <si>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</si>
  <si>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</si>
  <si>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</si>
  <si>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</si>
  <si>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</si>
  <si>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</si>
  <si>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</si>
  <si>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</si>
  <si>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</si>
  <si>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</si>
  <si>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</si>
  <si>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</si>
  <si>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</si>
  <si>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</si>
  <si>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</si>
  <si>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</si>
  <si>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</si>
  <si>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</si>
  <si>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</si>
  <si>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</si>
  <si>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</si>
  <si>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</si>
  <si>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</si>
  <si>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</si>
  <si>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</si>
  <si>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</si>
  <si>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</si>
  <si>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</si>
  <si>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</si>
  <si>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</si>
  <si>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</si>
  <si>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</si>
  <si>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</si>
  <si>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</si>
  <si>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</si>
  <si>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</si>
  <si>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</si>
  <si>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</si>
  <si>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</si>
  <si>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</si>
  <si>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</si>
  <si>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</si>
  <si>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</si>
  <si>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</si>
  <si>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</si>
  <si>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</si>
  <si>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</si>
  <si>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</si>
  <si>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</si>
  <si>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</si>
  <si>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</si>
  <si>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</si>
  <si>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</si>
  <si>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</si>
  <si>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</si>
  <si>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</si>
  <si>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</si>
  <si>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</si>
  <si>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</si>
  <si>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</si>
  <si>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</si>
  <si>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</si>
  <si>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</si>
  <si>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</si>
  <si>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</si>
  <si>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</si>
  <si>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</si>
  <si>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</si>
  <si>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</si>
  <si>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</si>
  <si>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</si>
  <si>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</si>
  <si>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</si>
  <si>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</si>
  <si>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</si>
  <si>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</si>
  <si>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</si>
  <si>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</si>
  <si>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</si>
  <si>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</si>
  <si>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</si>
  <si>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</si>
  <si>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</si>
  <si>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</si>
  <si>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</si>
  <si>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</si>
  <si>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</si>
  <si>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</si>
  <si>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</si>
  <si>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</si>
  <si>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</si>
  <si>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</si>
  <si>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</si>
  <si>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</si>
  <si>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</si>
  <si>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</si>
  <si>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</si>
  <si>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</si>
  <si>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</si>
  <si>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</si>
  <si>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</si>
  <si>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</si>
  <si>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</si>
  <si>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</si>
  <si>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</si>
  <si>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</si>
  <si>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</si>
  <si>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</si>
  <si>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</si>
  <si>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</si>
  <si>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</si>
  <si>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</si>
  <si>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</si>
  <si>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</si>
  <si>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</si>
  <si>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</si>
  <si>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</si>
  <si>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</si>
  <si>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</si>
  <si>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</si>
  <si>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</si>
  <si>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</si>
  <si>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</si>
  <si>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</si>
  <si>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</si>
  <si>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</si>
  <si>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</si>
  <si>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</si>
  <si>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</si>
  <si>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</si>
  <si>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</si>
  <si>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</si>
  <si>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</si>
  <si>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</si>
  <si>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</si>
  <si>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</si>
  <si>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</si>
  <si>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</si>
  <si>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</si>
  <si>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</si>
  <si>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</si>
  <si>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</si>
  <si>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</si>
  <si>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</si>
  <si>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</si>
  <si>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</si>
  <si>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</si>
  <si>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</si>
  <si>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</si>
  <si>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</si>
  <si>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</si>
  <si>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</si>
  <si>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</si>
  <si>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</si>
  <si>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</si>
  <si>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</si>
  <si>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</si>
  <si>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</si>
  <si>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</si>
  <si>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</si>
  <si>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</si>
  <si>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</si>
  <si>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</si>
  <si>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</si>
  <si>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</si>
  <si>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</si>
  <si>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</si>
  <si>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</si>
  <si>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</si>
  <si>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</si>
  <si>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</si>
  <si>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</si>
  <si>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</si>
  <si>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</si>
  <si>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</si>
  <si>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</si>
  <si>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</si>
  <si>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</si>
  <si>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</si>
  <si>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</si>
  <si>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</si>
  <si>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</si>
  <si>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</si>
  <si>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</si>
  <si>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</si>
  <si>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</si>
  <si>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</si>
  <si>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</si>
  <si>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</si>
  <si>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</si>
  <si>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</si>
  <si>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</si>
  <si>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</si>
  <si>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</si>
  <si>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</si>
  <si>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</si>
  <si>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</si>
  <si>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</si>
  <si>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</si>
  <si>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</si>
  <si>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</si>
  <si>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</si>
  <si>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</si>
  <si>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</si>
  <si>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</si>
  <si>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</si>
  <si>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</si>
  <si>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</si>
  <si>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</si>
  <si>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</si>
  <si>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</si>
  <si>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</si>
  <si>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</si>
  <si>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</si>
  <si>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</si>
  <si>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</si>
  <si>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</si>
  <si>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</si>
  <si>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</si>
  <si>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</si>
  <si>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</si>
  <si>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</si>
  <si>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</si>
  <si>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</si>
  <si>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</si>
  <si>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</si>
  <si>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</si>
  <si>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</si>
  <si>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</si>
  <si>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</si>
  <si>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</si>
  <si>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</si>
  <si>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</si>
  <si>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</si>
  <si>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</si>
  <si>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</si>
  <si>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</si>
  <si>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</si>
  <si>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</si>
  <si>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</si>
  <si>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</si>
  <si>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</si>
  <si>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</si>
  <si>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</si>
  <si>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</si>
  <si>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</si>
  <si>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</si>
  <si>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</si>
  <si>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</si>
  <si>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</si>
  <si>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</si>
  <si>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</si>
  <si>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</si>
  <si>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</si>
  <si>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</si>
  <si>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</si>
  <si>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</si>
  <si>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</si>
  <si>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</si>
  <si>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</si>
  <si>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</si>
  <si>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</si>
  <si>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</si>
  <si>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</si>
  <si>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</si>
  <si>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</si>
  <si>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</si>
  <si>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</si>
  <si>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</si>
  <si>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</si>
  <si>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</si>
  <si>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</si>
  <si>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</si>
  <si>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</si>
  <si>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</si>
  <si>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</si>
  <si>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</si>
  <si>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</si>
  <si>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</si>
  <si>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</si>
  <si>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</si>
  <si>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</si>
  <si>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</si>
  <si>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</si>
  <si>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</si>
  <si>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</si>
  <si>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</si>
  <si>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</si>
  <si>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</si>
  <si>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</si>
  <si>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</si>
  <si>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</si>
  <si>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</si>
  <si>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</si>
  <si>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</si>
  <si>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</si>
  <si>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</si>
  <si>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</si>
  <si>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</si>
  <si>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</si>
  <si>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</si>
  <si>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</si>
  <si>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</si>
  <si>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</si>
  <si>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</si>
  <si>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</si>
  <si>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</si>
  <si>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</si>
  <si>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</si>
  <si>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</si>
  <si>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</si>
  <si>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</si>
  <si>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</si>
  <si>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</si>
  <si>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</si>
  <si>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</si>
  <si>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</si>
  <si>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</si>
  <si>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</si>
  <si>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</si>
  <si>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</si>
  <si>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</si>
  <si>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</si>
  <si>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</si>
  <si>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</si>
  <si>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</si>
  <si>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</si>
  <si>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</si>
  <si>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</si>
  <si>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</si>
  <si>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</si>
  <si>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</si>
  <si>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</si>
  <si>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</si>
  <si>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</si>
  <si>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</si>
  <si>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</si>
  <si>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</si>
  <si>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</si>
  <si>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</si>
  <si>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</si>
  <si>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</si>
  <si>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</si>
  <si>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</si>
  <si>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</si>
  <si>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</si>
  <si>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</si>
  <si>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</si>
  <si>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</si>
  <si>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</si>
  <si>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</si>
  <si>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</si>
  <si>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</si>
  <si>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</si>
  <si>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</si>
  <si>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</si>
  <si>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</si>
  <si>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</si>
  <si>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</si>
  <si>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</si>
  <si>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</si>
  <si>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</si>
  <si>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</si>
  <si>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</si>
  <si>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</si>
  <si>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</si>
  <si>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</si>
  <si>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</si>
  <si>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</si>
  <si>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</si>
  <si>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</si>
  <si>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</si>
  <si>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</si>
  <si>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</si>
  <si>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</si>
  <si>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</si>
  <si>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</si>
  <si>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</si>
  <si>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</si>
  <si>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</si>
  <si>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</si>
  <si>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</si>
  <si>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</si>
  <si>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</si>
  <si>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</si>
  <si>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</si>
  <si>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</si>
  <si>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</si>
  <si>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</si>
  <si>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</si>
  <si>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</si>
  <si>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</si>
  <si>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</si>
  <si>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</si>
  <si>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</si>
  <si>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</si>
  <si>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</si>
  <si>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</si>
  <si>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</si>
  <si>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</si>
  <si>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</si>
  <si>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</si>
  <si>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</si>
  <si>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</si>
  <si>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</si>
  <si>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</si>
  <si>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</si>
  <si>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</si>
  <si>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</si>
  <si>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</si>
  <si>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</si>
  <si>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</si>
  <si>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</si>
  <si>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</si>
  <si>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</si>
  <si>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</si>
  <si>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</si>
  <si>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</si>
  <si>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</si>
  <si>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</si>
  <si>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</si>
  <si>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</si>
  <si>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</si>
  <si>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</si>
  <si>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</si>
  <si>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</si>
  <si>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</si>
  <si>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</si>
  <si>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</si>
  <si>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</si>
  <si>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</si>
  <si>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</si>
  <si>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</si>
  <si>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</si>
  <si>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</si>
  <si>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</si>
  <si>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</si>
  <si>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</si>
  <si>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</si>
  <si>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</si>
  <si>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</si>
  <si>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</si>
  <si>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</si>
  <si>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</si>
  <si>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</si>
  <si>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</si>
  <si>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</si>
  <si>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</si>
  <si>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</si>
  <si>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</si>
  <si>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</si>
  <si>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</si>
  <si>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</si>
  <si>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</si>
  <si>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</si>
  <si>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</si>
  <si>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</si>
  <si>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</si>
  <si>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</si>
  <si>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</si>
  <si>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</si>
  <si>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</si>
  <si>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</si>
  <si>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</si>
  <si>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</si>
  <si>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</si>
  <si>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</si>
  <si>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</si>
  <si>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</si>
  <si>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</si>
  <si>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</si>
  <si>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</si>
  <si>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</si>
  <si>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</si>
  <si>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</si>
  <si>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</si>
  <si>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</si>
  <si>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</si>
  <si>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</si>
  <si>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</si>
  <si>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</si>
  <si>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</si>
  <si>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</si>
  <si>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</si>
  <si>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</si>
  <si>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</si>
  <si>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</si>
  <si>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</si>
  <si>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</si>
  <si>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</si>
  <si>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</si>
  <si>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</si>
  <si>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</si>
  <si>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</si>
  <si>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</si>
  <si>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</si>
  <si>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</si>
  <si>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</si>
  <si>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</si>
  <si>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</si>
  <si>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</si>
  <si>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</si>
  <si>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</si>
  <si>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</si>
  <si>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</si>
  <si>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</si>
  <si>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</si>
  <si>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</si>
  <si>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</si>
  <si>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</si>
  <si>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</si>
  <si>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</si>
  <si>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</si>
  <si>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</si>
  <si>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</si>
  <si>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</si>
  <si>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</si>
  <si>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</si>
  <si>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</si>
  <si>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</si>
  <si>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</si>
  <si>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</si>
  <si>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</si>
  <si>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</si>
  <si>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</si>
  <si>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</si>
  <si>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</si>
  <si>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</si>
  <si>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</si>
  <si>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</si>
  <si>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</si>
  <si>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</si>
  <si>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</si>
  <si>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</si>
  <si>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</si>
  <si>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</si>
  <si>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</si>
  <si>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</si>
  <si>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</si>
  <si>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</si>
  <si>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</si>
  <si>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</si>
  <si>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</si>
  <si>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</si>
  <si>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</si>
  <si>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</si>
  <si>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</si>
  <si>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</si>
  <si>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</si>
  <si>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</si>
  <si>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</si>
  <si>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</si>
  <si>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</si>
  <si>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</si>
  <si>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</si>
  <si>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</si>
  <si>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</si>
  <si>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</si>
  <si>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</si>
  <si>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</si>
  <si>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</si>
  <si>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</si>
  <si>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</si>
  <si>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</si>
  <si>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</si>
  <si>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</si>
  <si>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</si>
  <si>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</si>
  <si>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</si>
  <si>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</si>
  <si>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</si>
  <si>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</si>
  <si>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</si>
  <si>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</si>
  <si>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</si>
  <si>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</si>
  <si>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</si>
  <si>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</si>
  <si>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</si>
  <si>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</si>
  <si>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</si>
  <si>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</si>
  <si>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</si>
  <si>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</si>
  <si>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</si>
  <si>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</si>
  <si>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</si>
  <si>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</si>
  <si>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</si>
  <si>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</si>
  <si>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</si>
  <si>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</si>
  <si>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</si>
  <si>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</si>
  <si>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</si>
  <si>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</si>
  <si>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</si>
  <si>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</si>
  <si>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</si>
  <si>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</si>
  <si>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</si>
  <si>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</si>
  <si>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</si>
  <si>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</si>
  <si>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</si>
  <si>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</si>
  <si>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</si>
  <si>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</si>
  <si>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</si>
  <si>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</si>
  <si>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</si>
  <si>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</si>
  <si>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</si>
  <si>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</si>
  <si>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</si>
  <si>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</si>
  <si>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</si>
  <si>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</si>
  <si>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</si>
  <si>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</si>
  <si>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</si>
  <si>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</si>
  <si>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</si>
  <si>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</si>
  <si>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</si>
  <si>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</si>
  <si>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</si>
  <si>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</si>
  <si>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</si>
  <si>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</si>
  <si>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</si>
  <si>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</si>
  <si>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</si>
  <si>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</si>
  <si>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</si>
  <si>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</si>
  <si>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</si>
  <si>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</si>
  <si>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</si>
  <si>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</si>
  <si>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</si>
  <si>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</si>
  <si>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</si>
  <si>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</si>
  <si>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</si>
  <si>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</si>
  <si>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</si>
  <si>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</si>
  <si>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</si>
  <si>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</si>
  <si>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</si>
  <si>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</si>
  <si>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</si>
  <si>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</si>
  <si>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</si>
  <si>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</si>
  <si>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</si>
  <si>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</si>
  <si>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</si>
  <si>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</si>
  <si>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</si>
  <si>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</si>
  <si>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</si>
  <si>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</si>
  <si>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</si>
  <si>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</si>
  <si>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</si>
  <si>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</si>
  <si>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</si>
  <si>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</si>
  <si>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</si>
  <si>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</si>
  <si>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</si>
  <si>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</si>
  <si>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</si>
  <si>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</si>
  <si>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</si>
  <si>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</si>
  <si>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</si>
  <si>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</si>
  <si>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</si>
  <si>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</si>
  <si>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</si>
  <si>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</si>
  <si>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</si>
  <si>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</si>
  <si>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</si>
  <si>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</si>
  <si>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</si>
  <si>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</si>
  <si>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</si>
  <si>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</si>
  <si>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</si>
  <si>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</si>
  <si>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</si>
  <si>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</si>
  <si>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</si>
  <si>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</si>
  <si>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</si>
  <si>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</si>
  <si>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</si>
  <si>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</si>
  <si>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</si>
  <si>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</si>
  <si>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</si>
  <si>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</si>
  <si>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</si>
  <si>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</si>
  <si>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</si>
  <si>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</si>
  <si>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</si>
  <si>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</si>
  <si>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</si>
  <si>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</si>
  <si>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</si>
  <si>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</si>
  <si>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</si>
  <si>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</si>
  <si>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</si>
  <si>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</si>
  <si>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</si>
  <si>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</si>
  <si>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</si>
  <si>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</si>
  <si>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</si>
  <si>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</si>
  <si>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</si>
  <si>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</si>
  <si>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</si>
  <si>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</si>
  <si>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</si>
  <si>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</si>
  <si>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</si>
  <si>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</si>
  <si>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</si>
  <si>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</si>
  <si>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</si>
  <si>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</si>
  <si>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</si>
  <si>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</si>
  <si>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</si>
  <si>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</si>
  <si>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</si>
  <si>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</si>
  <si>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</si>
  <si>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</si>
  <si>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</si>
  <si>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</si>
  <si>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</si>
  <si>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</si>
  <si>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</si>
  <si>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</si>
  <si>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</si>
  <si>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</si>
  <si>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</si>
  <si>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</si>
  <si>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</si>
  <si>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</si>
  <si>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</si>
  <si>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</si>
  <si>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</si>
  <si>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</si>
  <si>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</si>
  <si>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</si>
  <si>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</si>
  <si>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</si>
  <si>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</si>
  <si>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</si>
  <si>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</si>
  <si>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</si>
  <si>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</si>
  <si>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</si>
  <si>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</si>
  <si>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</si>
  <si>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</si>
  <si>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</si>
  <si>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</si>
  <si>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</si>
  <si>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</si>
  <si>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</si>
  <si>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</si>
  <si>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</si>
  <si>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</si>
  <si>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</si>
  <si>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</si>
  <si>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</si>
  <si>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</si>
  <si>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</si>
  <si>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</si>
  <si>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</si>
  <si>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</si>
  <si>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</si>
  <si>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</si>
  <si>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</si>
  <si>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</si>
  <si>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</si>
  <si>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</si>
  <si>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</si>
  <si>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</si>
  <si>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</si>
  <si>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</si>
  <si>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</si>
  <si>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</si>
  <si>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</si>
  <si>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</si>
  <si>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</si>
  <si>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</si>
  <si>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</si>
  <si>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</si>
  <si>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</si>
  <si>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</si>
  <si>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</si>
  <si>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</si>
  <si>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</si>
  <si>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</si>
  <si>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</si>
  <si>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</si>
  <si>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</si>
  <si>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</si>
  <si>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</si>
  <si>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</si>
  <si>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</si>
  <si>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</si>
  <si>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</si>
  <si>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</si>
  <si>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</si>
  <si>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</si>
  <si>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</si>
  <si>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</si>
  <si>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</si>
  <si>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</si>
  <si>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</si>
  <si>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</si>
  <si>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</si>
  <si>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</si>
  <si>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</si>
  <si>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</si>
  <si>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</si>
  <si>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</si>
  <si>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</si>
  <si>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</si>
  <si>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</si>
  <si>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</si>
  <si>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</si>
  <si>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</si>
  <si>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</si>
  <si>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</si>
  <si>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</si>
  <si>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</si>
  <si>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</si>
  <si>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</si>
  <si>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</si>
  <si>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</si>
  <si>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</si>
  <si>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</si>
  <si>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</si>
  <si>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</si>
  <si>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</si>
  <si>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</si>
  <si>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</si>
  <si>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</si>
  <si>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</si>
  <si>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</si>
  <si>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</si>
  <si>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</si>
  <si>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</si>
  <si>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</si>
  <si>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</si>
  <si>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</si>
  <si>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</si>
  <si>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</si>
  <si>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</si>
  <si>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</si>
  <si>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</si>
  <si>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</si>
  <si>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</si>
  <si>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</si>
  <si>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</si>
  <si>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</si>
  <si>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</si>
  <si>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</si>
  <si>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</si>
  <si>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</si>
  <si>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</si>
  <si>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</si>
  <si>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</si>
  <si>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</si>
  <si>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</si>
  <si>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</si>
  <si>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</si>
  <si>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</si>
  <si>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</si>
  <si>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</si>
  <si>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</si>
  <si>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</si>
  <si>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</si>
  <si>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</si>
  <si>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</si>
  <si>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</si>
  <si>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</si>
  <si>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</si>
  <si>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</si>
  <si>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</si>
  <si>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</si>
  <si>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</si>
  <si>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</si>
  <si>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</si>
  <si>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</si>
  <si>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</si>
  <si>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</si>
  <si>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</si>
  <si>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</si>
  <si>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</si>
  <si>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</si>
  <si>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</si>
  <si>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</si>
  <si>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</si>
  <si>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</si>
  <si>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</si>
  <si>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</si>
  <si>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</si>
  <si>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</si>
  <si>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</si>
  <si>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</si>
  <si>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</si>
  <si>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</si>
  <si>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</si>
  <si>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</si>
  <si>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</si>
  <si>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</si>
  <si>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</si>
  <si>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</si>
  <si>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</si>
  <si>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</si>
  <si>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</si>
  <si>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</si>
  <si>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</si>
  <si>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</si>
  <si>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</si>
  <si>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</si>
  <si>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</si>
  <si>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</si>
  <si>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</si>
  <si>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</si>
  <si>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</si>
  <si>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</si>
  <si>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</si>
  <si>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</si>
  <si>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</si>
  <si>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</si>
  <si>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</si>
  <si>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</si>
  <si>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</si>
  <si>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</si>
  <si>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</si>
  <si>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</si>
  <si>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</si>
  <si>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</si>
  <si>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</si>
  <si>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</si>
  <si>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</si>
  <si>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</si>
  <si>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</si>
  <si>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</si>
  <si>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</si>
  <si>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</si>
  <si>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</si>
  <si>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</si>
  <si>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</si>
  <si>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</si>
  <si>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</si>
  <si>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</si>
  <si>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</si>
  <si>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</si>
  <si>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</si>
  <si>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</si>
  <si>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</si>
  <si>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</si>
  <si>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</si>
  <si>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</si>
  <si>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</si>
  <si>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</si>
  <si>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</si>
  <si>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</si>
  <si>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</si>
  <si>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</si>
  <si>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</si>
  <si>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</si>
  <si>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</si>
  <si>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</si>
  <si>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</si>
  <si>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</si>
  <si>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</si>
  <si>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</si>
  <si>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</si>
  <si>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</si>
  <si>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</si>
  <si>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</si>
  <si>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</si>
  <si>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</si>
  <si>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</si>
  <si>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</si>
  <si>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</si>
  <si>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</si>
  <si>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</si>
  <si>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</si>
  <si>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</si>
  <si>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</si>
  <si>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</si>
  <si>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</si>
  <si>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</si>
  <si>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</si>
  <si>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</si>
  <si>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</si>
  <si>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</si>
  <si>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</si>
  <si>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</si>
  <si>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</si>
  <si>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</si>
  <si>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</si>
  <si>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</si>
  <si>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</si>
  <si>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</si>
  <si>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</si>
  <si>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</si>
  <si>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</si>
  <si>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</si>
  <si>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</si>
  <si>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</si>
  <si>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</si>
  <si>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</si>
  <si>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</si>
  <si>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</si>
  <si>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</si>
  <si>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</si>
  <si>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</si>
  <si>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</si>
  <si>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</si>
  <si>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</si>
  <si>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</si>
  <si>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</si>
  <si>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</si>
  <si>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</si>
  <si>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</si>
  <si>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</si>
  <si>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</si>
  <si>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</si>
  <si>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</si>
  <si>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</si>
  <si>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</si>
  <si>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</si>
  <si>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</si>
  <si>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</si>
  <si>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</si>
  <si>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</si>
  <si>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</si>
  <si>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</si>
  <si>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</si>
  <si>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</si>
  <si>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</si>
  <si>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</si>
  <si>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</si>
  <si>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</si>
  <si>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</si>
  <si>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</si>
  <si>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</si>
  <si>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</si>
  <si>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</si>
  <si>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</si>
  <si>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</si>
  <si>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</si>
  <si>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</si>
  <si>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</si>
  <si>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</si>
  <si>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</si>
  <si>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</si>
  <si>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</si>
  <si>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</si>
  <si>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</si>
  <si>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</si>
  <si>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</si>
  <si>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</si>
  <si>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</si>
  <si>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</si>
  <si>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</si>
  <si>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</si>
  <si>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</si>
  <si>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</si>
  <si>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</si>
  <si>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</si>
  <si>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</si>
  <si>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</si>
  <si>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</si>
  <si>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</si>
  <si>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</si>
  <si>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</si>
  <si>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</si>
  <si>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</si>
  <si>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</si>
  <si>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</si>
  <si>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</si>
  <si>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</si>
  <si>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</si>
  <si>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</si>
  <si>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</si>
  <si>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</si>
  <si>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</si>
  <si>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</si>
  <si>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</si>
  <si>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</si>
  <si>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</si>
  <si>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</si>
  <si>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</si>
  <si>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</si>
  <si>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</si>
  <si>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</si>
  <si>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</si>
  <si>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</si>
  <si>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</si>
  <si>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</si>
  <si>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</si>
  <si>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</si>
  <si>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</si>
  <si>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</si>
  <si>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</si>
  <si>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</si>
  <si>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</si>
  <si>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</si>
  <si>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</si>
  <si>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</si>
  <si>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</si>
  <si>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</si>
  <si>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</si>
  <si>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</si>
  <si>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</si>
  <si>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</si>
  <si>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</si>
  <si>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</si>
  <si>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</si>
  <si>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</si>
  <si>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</si>
  <si>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</si>
  <si>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</si>
  <si>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</si>
  <si>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</si>
  <si>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</si>
  <si>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</si>
  <si>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</si>
  <si>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</si>
  <si>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</si>
  <si>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</si>
  <si>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</si>
  <si>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</si>
  <si>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</si>
  <si>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</si>
  <si>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</si>
  <si>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</si>
  <si>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</si>
  <si>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</si>
  <si>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</si>
  <si>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</si>
  <si>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</si>
  <si>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</si>
  <si>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</si>
  <si>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</si>
  <si>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</si>
  <si>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</si>
  <si>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</si>
  <si>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</si>
  <si>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</si>
  <si>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</si>
  <si>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</si>
  <si>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</si>
  <si>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</si>
  <si>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</si>
  <si>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</si>
  <si>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</si>
  <si>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</si>
  <si>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</si>
  <si>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</si>
  <si>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</si>
  <si>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</si>
  <si>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</si>
  <si>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</si>
  <si>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</si>
  <si>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</si>
  <si>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</si>
  <si>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</si>
  <si>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</si>
  <si>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</si>
  <si>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</si>
  <si>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</si>
  <si>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</si>
  <si>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</si>
  <si>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</si>
  <si>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</si>
  <si>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</si>
  <si>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</si>
  <si>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</si>
  <si>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</si>
  <si>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</si>
  <si>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</si>
  <si>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</si>
  <si>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</si>
  <si>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</si>
  <si>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</si>
  <si>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</si>
  <si>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</si>
  <si>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</si>
  <si>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</si>
  <si>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</si>
  <si>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</si>
  <si>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</si>
  <si>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</si>
  <si>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</si>
  <si>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</si>
  <si>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</si>
  <si>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</si>
  <si>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</si>
  <si>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</si>
  <si>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</si>
  <si>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</si>
  <si>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</si>
  <si>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</si>
  <si>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</si>
  <si>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</si>
  <si>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</si>
  <si>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</si>
  <si>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</si>
  <si>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</si>
  <si>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</si>
  <si>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</si>
  <si>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</si>
  <si>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</si>
  <si>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</si>
  <si>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</si>
  <si>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</si>
  <si>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</si>
  <si>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</si>
  <si>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</si>
  <si>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</si>
  <si>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</si>
  <si>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</si>
  <si>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</si>
  <si>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</si>
  <si>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</si>
  <si>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</si>
  <si>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</si>
  <si>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</si>
  <si>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</si>
  <si>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</si>
  <si>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</si>
  <si>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</si>
  <si>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</si>
  <si>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</si>
  <si>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</si>
  <si>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</si>
  <si>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</si>
  <si>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</si>
  <si>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</si>
  <si>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</si>
  <si>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</si>
  <si>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</si>
  <si>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</si>
  <si>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</si>
  <si>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</si>
  <si>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</si>
  <si>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</si>
  <si>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</si>
  <si>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</si>
  <si>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</si>
  <si>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</si>
  <si>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</si>
  <si>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</si>
  <si>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</si>
  <si>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</si>
  <si>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</si>
  <si>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</si>
  <si>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</si>
  <si>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</si>
  <si>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</si>
  <si>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</si>
  <si>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</si>
  <si>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</si>
  <si>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</si>
  <si>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</si>
  <si>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</si>
  <si>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</si>
  <si>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</si>
  <si>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</si>
  <si>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</si>
  <si>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</si>
  <si>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</si>
  <si>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</si>
  <si>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</si>
  <si>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</si>
  <si>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</si>
  <si>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</si>
  <si>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</si>
  <si>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</si>
  <si>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</si>
  <si>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</si>
  <si>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</si>
  <si>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</si>
  <si>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</si>
  <si>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</si>
  <si>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</si>
  <si>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</si>
  <si>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</si>
  <si>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</si>
  <si>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</si>
  <si>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</si>
  <si>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</si>
  <si>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</si>
  <si>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</si>
  <si>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</si>
  <si>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</si>
  <si>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</si>
  <si>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</si>
  <si>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</si>
  <si>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</si>
  <si>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</si>
  <si>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</si>
  <si>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</si>
  <si>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</si>
  <si>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</si>
  <si>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</si>
  <si>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</si>
  <si>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</si>
  <si>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</si>
  <si>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</si>
  <si>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</si>
  <si>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</si>
  <si>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</si>
  <si>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</si>
  <si>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</si>
  <si>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</si>
  <si>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</si>
  <si>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</si>
  <si>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</si>
  <si>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</si>
  <si>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</si>
  <si>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</si>
  <si>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</si>
  <si>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</si>
  <si>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</si>
  <si>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</si>
  <si>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</si>
  <si>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</si>
  <si>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</si>
  <si>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</si>
  <si>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</si>
  <si>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</si>
  <si>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</si>
  <si>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</si>
  <si>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</si>
  <si>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</si>
  <si>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</si>
  <si>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</si>
  <si>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</si>
  <si>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</si>
  <si>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</si>
  <si>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</si>
  <si>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</si>
  <si>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</si>
  <si>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</si>
  <si>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</si>
  <si>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</si>
  <si>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</si>
  <si>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</si>
  <si>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</si>
  <si>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</si>
  <si>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</si>
  <si>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</si>
  <si>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</si>
  <si>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</si>
  <si>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</si>
  <si>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</si>
  <si>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</si>
  <si>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</si>
  <si>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</si>
  <si>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</si>
  <si>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</si>
  <si>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</si>
  <si>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</si>
  <si>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</si>
  <si>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</si>
  <si>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</si>
  <si>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</si>
  <si>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</si>
  <si>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</si>
  <si>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</si>
  <si>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</si>
  <si>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</si>
  <si>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</si>
  <si>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</si>
  <si>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</si>
  <si>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</si>
  <si>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</si>
  <si>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</si>
  <si>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</si>
  <si>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</si>
  <si>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</si>
  <si>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</si>
  <si>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</si>
  <si>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</si>
  <si>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</si>
  <si>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</si>
  <si>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</si>
  <si>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</si>
  <si>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</si>
  <si>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</si>
  <si>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</si>
  <si>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</si>
  <si>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</si>
  <si>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</si>
  <si>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</si>
  <si>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</si>
  <si>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</si>
  <si>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</si>
  <si>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</si>
  <si>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</si>
  <si>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</si>
  <si>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</si>
  <si>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</si>
  <si>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</si>
  <si>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</si>
  <si>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</si>
  <si>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</si>
  <si>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</si>
  <si>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</si>
  <si>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</si>
  <si>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</si>
  <si>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</si>
  <si>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</si>
  <si>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</si>
  <si>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</si>
  <si>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</si>
  <si>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</si>
  <si>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</si>
  <si>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</si>
  <si>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</si>
  <si>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</si>
  <si>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</si>
  <si>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</si>
  <si>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</si>
  <si>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</si>
  <si>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</si>
  <si>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</si>
  <si>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</si>
  <si>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</si>
  <si>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</si>
  <si>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</si>
  <si>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</si>
  <si>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</si>
  <si>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</si>
  <si>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</si>
  <si>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</si>
  <si>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</si>
  <si>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</si>
  <si>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</si>
  <si>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</si>
  <si>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</si>
  <si>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</si>
  <si>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</si>
  <si>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</si>
  <si>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</si>
  <si>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</si>
  <si>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</si>
  <si>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</si>
  <si>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</si>
  <si>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</si>
  <si>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</si>
  <si>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</si>
  <si>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</si>
  <si>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</si>
  <si>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</si>
  <si>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</si>
  <si>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</si>
  <si>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</si>
  <si>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</si>
  <si>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</si>
  <si>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</si>
  <si>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</si>
  <si>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</si>
  <si>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</si>
  <si>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</si>
  <si>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</si>
  <si>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</si>
  <si>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</si>
  <si>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</si>
  <si>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</si>
  <si>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</si>
  <si>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</si>
  <si>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</si>
  <si>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</si>
  <si>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</si>
  <si>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</si>
  <si>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</si>
  <si>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</si>
  <si>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</si>
  <si>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</si>
  <si>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</si>
  <si>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</si>
  <si>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</si>
  <si>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</si>
  <si>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</si>
  <si>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</si>
  <si>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</si>
  <si>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</si>
  <si>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</si>
  <si>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</si>
  <si>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</si>
  <si>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</si>
  <si>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</si>
  <si>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</si>
  <si>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</si>
  <si>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</si>
  <si>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</si>
  <si>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</si>
  <si>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</si>
  <si>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</si>
  <si>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</si>
  <si>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</si>
  <si>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</si>
  <si>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</si>
  <si>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</si>
  <si>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</si>
  <si>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</si>
  <si>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</si>
  <si>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</si>
  <si>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</si>
  <si>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</si>
  <si>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</si>
  <si>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</si>
  <si>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</si>
  <si>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</si>
  <si>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</si>
  <si>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</si>
  <si>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</si>
  <si>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</si>
  <si>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</si>
  <si>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</si>
  <si>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</si>
  <si>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</si>
  <si>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</si>
  <si>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</si>
  <si>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</si>
  <si>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</si>
  <si>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</si>
  <si>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</si>
  <si>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</si>
  <si>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</si>
  <si>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</si>
  <si>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</si>
  <si>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</si>
  <si>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</si>
  <si>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</si>
  <si>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</si>
  <si>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</si>
  <si>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</si>
  <si>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</si>
  <si>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</si>
  <si>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</si>
  <si>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</si>
  <si>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</si>
  <si>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</si>
  <si>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</si>
  <si>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</si>
  <si>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</si>
  <si>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</si>
  <si>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</si>
  <si>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</si>
  <si>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</si>
  <si>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</si>
  <si>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</si>
  <si>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</si>
  <si>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</si>
  <si>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</si>
  <si>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</si>
  <si>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</si>
  <si>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</si>
  <si>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</si>
  <si>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</si>
  <si>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</si>
  <si>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</si>
  <si>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</si>
  <si>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</si>
  <si>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</si>
  <si>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</si>
  <si>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</si>
  <si>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</si>
  <si>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</si>
  <si>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</si>
  <si>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</si>
  <si>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</si>
  <si>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</si>
  <si>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</si>
  <si>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</si>
  <si>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</si>
  <si>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</si>
  <si>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</si>
  <si>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</si>
  <si>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</si>
  <si>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</si>
  <si>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</si>
  <si>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</si>
  <si>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</si>
  <si>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</si>
  <si>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</si>
  <si>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</si>
  <si>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</si>
  <si>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</si>
  <si>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</si>
  <si>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</si>
  <si>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</si>
  <si>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</si>
  <si>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</si>
  <si>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</si>
  <si>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</si>
  <si>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</si>
  <si>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</si>
  <si>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</si>
  <si>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</si>
  <si>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</si>
  <si>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</si>
  <si>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</si>
  <si>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</si>
  <si>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</si>
  <si>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</si>
  <si>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</si>
  <si>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</si>
  <si>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</si>
  <si>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</si>
  <si>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</si>
  <si>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</si>
  <si>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</si>
  <si>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</si>
  <si>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</si>
  <si>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</si>
  <si>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</si>
  <si>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</si>
  <si>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</si>
  <si>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</si>
  <si>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</si>
  <si>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</si>
  <si>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</si>
  <si>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</si>
  <si>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</si>
  <si>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</si>
  <si>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</si>
  <si>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</si>
  <si>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</si>
  <si>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</si>
  <si>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</si>
  <si>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</si>
  <si>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</si>
  <si>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</si>
  <si>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</si>
  <si>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</si>
  <si>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</si>
  <si>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</si>
  <si>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</si>
  <si>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</si>
  <si>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</si>
  <si>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</si>
  <si>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</si>
  <si>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</si>
  <si>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</si>
  <si>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</si>
  <si>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</si>
  <si>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</si>
  <si>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</si>
  <si>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</si>
  <si>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</si>
  <si>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</si>
  <si>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</si>
  <si>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</si>
  <si>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</si>
  <si>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</si>
  <si>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</si>
  <si>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</si>
  <si>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</si>
  <si>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</si>
  <si>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</si>
  <si>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</si>
  <si>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</si>
  <si>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</si>
  <si>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</si>
  <si>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</si>
  <si>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</si>
  <si>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</si>
  <si>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</si>
  <si>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</si>
  <si>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</si>
  <si>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</si>
  <si>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</si>
  <si>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</si>
  <si>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</si>
  <si>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</si>
  <si>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</si>
  <si>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</si>
  <si>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</si>
  <si>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</si>
  <si>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</si>
  <si>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</si>
  <si>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</si>
  <si>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</si>
  <si>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</si>
  <si>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</si>
  <si>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</si>
  <si>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</si>
  <si>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</si>
  <si>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</si>
  <si>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</si>
  <si>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</si>
  <si>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</si>
  <si>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</si>
  <si>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</si>
  <si>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</si>
  <si>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</si>
  <si>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</si>
  <si>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</si>
  <si>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</si>
  <si>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</si>
  <si>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</si>
  <si>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</si>
  <si>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</si>
  <si>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</si>
  <si>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</si>
  <si>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</si>
  <si>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</si>
  <si>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</si>
  <si>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</si>
  <si>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</si>
  <si>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</si>
  <si>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</si>
  <si>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</si>
  <si>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</si>
  <si>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</si>
  <si>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</si>
  <si>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</si>
  <si>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</si>
  <si>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</si>
  <si>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</si>
  <si>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</si>
  <si>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</si>
  <si>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</si>
  <si>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</si>
  <si>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</si>
  <si>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</si>
  <si>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</si>
  <si>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</si>
  <si>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</si>
  <si>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</si>
  <si>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</si>
  <si>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</si>
  <si>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</si>
  <si>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</si>
  <si>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</si>
  <si>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</si>
  <si>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</si>
  <si>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</si>
  <si>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</si>
  <si>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</si>
  <si>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</si>
  <si>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</si>
  <si>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</si>
  <si>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</si>
  <si>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</si>
  <si>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</si>
  <si>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</si>
  <si>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</si>
  <si>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</si>
  <si>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</si>
  <si>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</si>
  <si>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</si>
  <si>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</si>
  <si>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</si>
  <si>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</si>
  <si>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</si>
  <si>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</si>
  <si>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</si>
  <si>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</si>
  <si>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</si>
  <si>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</si>
  <si>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</si>
  <si>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</si>
  <si>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</si>
  <si>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</si>
  <si>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</si>
  <si>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</si>
  <si>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</si>
  <si>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</si>
  <si>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</si>
  <si>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</si>
  <si>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</si>
  <si>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</si>
  <si>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</si>
  <si>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</si>
  <si>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</si>
  <si>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</si>
  <si>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</si>
  <si>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</si>
  <si>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</si>
  <si>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</si>
  <si>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</si>
  <si>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</si>
  <si>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</si>
  <si>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</si>
  <si>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</si>
  <si>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</si>
  <si>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</si>
  <si>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</si>
  <si>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</si>
  <si>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</si>
  <si>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</si>
  <si>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</si>
  <si>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</si>
  <si>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</si>
  <si>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</si>
  <si>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</si>
  <si>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</si>
  <si>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</si>
  <si>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</si>
  <si>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</si>
  <si>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</si>
  <si>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</si>
  <si>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</si>
  <si>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</si>
  <si>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</si>
  <si>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</si>
  <si>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</si>
  <si>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</si>
  <si>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</si>
  <si>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</si>
  <si>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</si>
  <si>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</si>
  <si>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</si>
  <si>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</si>
  <si>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</si>
  <si>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</si>
  <si>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</si>
  <si>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</si>
  <si>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</si>
  <si>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</si>
  <si>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</si>
  <si>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</si>
  <si>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</si>
  <si>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</si>
  <si>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</si>
  <si>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</si>
  <si>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</si>
  <si>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</si>
  <si>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</si>
  <si>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</si>
  <si>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</si>
  <si>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</si>
  <si>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</si>
  <si>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</si>
  <si>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</si>
  <si>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</si>
  <si>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</si>
  <si>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</si>
  <si>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</si>
  <si>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</si>
  <si>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</si>
  <si>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</si>
  <si>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</si>
  <si>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</si>
  <si>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</si>
  <si>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</si>
  <si>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</si>
  <si>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</si>
  <si>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</si>
  <si>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</si>
  <si>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</si>
  <si>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</si>
  <si>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</si>
  <si>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</si>
  <si>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</si>
  <si>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</si>
  <si>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</si>
  <si>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</si>
  <si>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</si>
  <si>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</si>
  <si>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</si>
  <si>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</si>
  <si>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</si>
  <si>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</si>
  <si>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</si>
  <si>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</si>
  <si>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</si>
  <si>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</si>
  <si>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</si>
  <si>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</si>
  <si>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</si>
  <si>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</si>
  <si>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</si>
  <si>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</si>
  <si>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</si>
  <si>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</si>
  <si>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</si>
  <si>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</si>
  <si>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</si>
  <si>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</si>
  <si>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</si>
  <si>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</si>
  <si>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</si>
  <si>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</si>
  <si>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</si>
  <si>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</si>
  <si>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</si>
  <si>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</si>
  <si>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</si>
  <si>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</si>
  <si>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</si>
  <si>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</si>
  <si>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</si>
  <si>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</si>
  <si>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</si>
  <si>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</si>
  <si>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</si>
  <si>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</si>
  <si>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</si>
  <si>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</si>
  <si>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</si>
  <si>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</si>
  <si>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</si>
  <si>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</si>
  <si>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</si>
  <si>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</si>
  <si>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</si>
  <si>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</si>
  <si>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</si>
  <si>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</si>
  <si>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</si>
  <si>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</si>
  <si>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</si>
  <si>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</si>
  <si>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</si>
  <si>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</si>
  <si>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</si>
  <si>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</si>
  <si>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</si>
  <si>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</si>
  <si>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</si>
  <si>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</si>
  <si>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</si>
  <si>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</si>
  <si>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</si>
  <si>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</si>
  <si>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</si>
  <si>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</si>
  <si>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</si>
  <si>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</si>
  <si>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</si>
  <si>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</si>
  <si>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</si>
  <si>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</si>
  <si>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</si>
  <si>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</si>
  <si>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</si>
  <si>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</si>
  <si>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</si>
  <si>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</si>
  <si>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</si>
  <si>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</si>
  <si>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</si>
  <si>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</si>
  <si>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</si>
  <si>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</si>
  <si>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</si>
  <si>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</si>
  <si>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</si>
  <si>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</si>
  <si>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</si>
  <si>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</si>
  <si>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</si>
  <si>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</si>
  <si>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</si>
  <si>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</si>
  <si>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</si>
  <si>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</si>
  <si>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</si>
  <si>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</si>
  <si>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</si>
  <si>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</si>
  <si>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</si>
  <si>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</si>
  <si>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</si>
  <si>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</si>
  <si>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</si>
  <si>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</si>
  <si>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</si>
  <si>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</si>
  <si>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</si>
  <si>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</si>
  <si>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</si>
  <si>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</si>
  <si>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</si>
  <si>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</si>
  <si>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</si>
  <si>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</si>
  <si>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</si>
  <si>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</si>
  <si>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</si>
  <si>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</si>
  <si>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</si>
  <si>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</si>
  <si>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</si>
  <si>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</si>
  <si>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</si>
  <si>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</si>
  <si>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</si>
  <si>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</si>
  <si>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</si>
  <si>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</si>
  <si>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</si>
  <si>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</si>
  <si>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</si>
  <si>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</si>
  <si>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</si>
  <si>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</si>
  <si>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</si>
  <si>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</si>
  <si>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</si>
  <si>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</si>
  <si>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</si>
  <si>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</si>
  <si>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</si>
  <si>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</si>
  <si>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</si>
  <si>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</si>
  <si>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</si>
  <si>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</si>
  <si>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</si>
  <si>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</si>
  <si>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</si>
  <si>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</si>
  <si>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</si>
  <si>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</si>
  <si>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</si>
  <si>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</si>
  <si>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</si>
  <si>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</si>
  <si>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</si>
  <si>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</si>
  <si>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</si>
  <si>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</si>
  <si>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</si>
  <si>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</si>
  <si>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</si>
  <si>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</si>
  <si>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</si>
  <si>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</si>
  <si>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</si>
  <si>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</si>
  <si>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</si>
  <si>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</si>
  <si>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</si>
  <si>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</si>
  <si>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</si>
  <si>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</si>
  <si>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</si>
  <si>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</si>
  <si>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</si>
  <si>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</si>
  <si>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</si>
  <si>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</si>
  <si>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</si>
  <si>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</si>
  <si>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</si>
  <si>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</si>
  <si>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</si>
  <si>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</si>
  <si>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</si>
  <si>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</si>
  <si>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</si>
  <si>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</si>
  <si>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</si>
  <si>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</si>
  <si>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</si>
  <si>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</si>
  <si>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</si>
  <si>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</si>
  <si>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</si>
  <si>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</si>
  <si>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</si>
  <si>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</si>
  <si>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</si>
  <si>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</si>
  <si>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</si>
  <si>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</si>
  <si>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</si>
  <si>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</si>
  <si>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</si>
  <si>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</si>
  <si>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</si>
  <si>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</si>
  <si>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</si>
  <si>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</si>
  <si>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</si>
  <si>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</si>
  <si>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</si>
  <si>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</si>
  <si>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</si>
  <si>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</si>
  <si>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</si>
  <si>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</si>
  <si>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</si>
  <si>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</si>
  <si>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</si>
  <si>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</si>
  <si>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</si>
  <si>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</si>
  <si>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</si>
  <si>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</si>
  <si>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</si>
  <si>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</si>
  <si>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</si>
  <si>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</si>
  <si>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</si>
  <si>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</si>
  <si>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</si>
  <si>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</si>
  <si>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</si>
  <si>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</si>
  <si>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</si>
  <si>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</si>
  <si>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</si>
  <si>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</si>
  <si>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</si>
  <si>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</si>
  <si>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</si>
  <si>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</si>
  <si>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</si>
  <si>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</si>
  <si>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</si>
  <si>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</si>
  <si>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</si>
  <si>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</si>
  <si>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</si>
  <si>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</si>
  <si>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</si>
  <si>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</si>
  <si>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</si>
  <si>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</si>
  <si>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</si>
  <si>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</si>
  <si>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</si>
  <si>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</si>
  <si>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</si>
  <si>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</si>
  <si>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</si>
  <si>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</si>
  <si>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</si>
  <si>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</si>
  <si>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</si>
  <si>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</si>
  <si>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</si>
  <si>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</si>
  <si>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</si>
  <si>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</si>
  <si>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</si>
  <si>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</si>
  <si>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</si>
  <si>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</si>
  <si>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</si>
  <si>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</si>
  <si>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</si>
  <si>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</si>
  <si>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</si>
  <si>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</si>
  <si>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</si>
  <si>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</si>
  <si>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</si>
  <si>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</si>
  <si>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</si>
  <si>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</si>
  <si>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</si>
  <si>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</si>
  <si>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</si>
  <si>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</si>
  <si>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</si>
  <si>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</si>
  <si>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</si>
  <si>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</si>
  <si>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</si>
  <si>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</si>
  <si>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</si>
  <si>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</si>
  <si>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</si>
  <si>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</si>
  <si>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</si>
  <si>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</si>
  <si>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</si>
  <si>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</si>
  <si>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</si>
  <si>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</si>
  <si>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</si>
  <si>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</si>
  <si>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</si>
  <si>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</si>
  <si>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</si>
  <si>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</si>
  <si>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</si>
  <si>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</si>
  <si>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</si>
  <si>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</si>
  <si>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</si>
  <si>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</si>
  <si>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</si>
  <si>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</si>
  <si>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</si>
  <si>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</si>
  <si>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</si>
  <si>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</si>
  <si>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</si>
  <si>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</si>
  <si>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</si>
  <si>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</si>
  <si>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</si>
  <si>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</si>
  <si>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</si>
  <si>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</si>
  <si>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</si>
  <si>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</si>
  <si>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</si>
  <si>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</si>
  <si>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</si>
  <si>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</si>
  <si>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</si>
  <si>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</si>
  <si>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</si>
  <si>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</si>
  <si>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</si>
  <si>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</si>
  <si>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</si>
  <si>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</si>
  <si>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</si>
  <si>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</si>
  <si>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</si>
  <si>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</si>
  <si>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</si>
  <si>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</si>
  <si>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</si>
  <si>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</si>
  <si>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</si>
  <si>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</si>
  <si>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</si>
  <si>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</si>
  <si>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</si>
  <si>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</si>
  <si>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</si>
  <si>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</si>
  <si>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</si>
  <si>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</si>
  <si>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</si>
  <si>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</si>
  <si>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</si>
  <si>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</si>
  <si>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</si>
  <si>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</si>
  <si>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</si>
  <si>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</si>
  <si>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</si>
  <si>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</si>
  <si>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</si>
  <si>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</si>
  <si>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</si>
  <si>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</si>
  <si>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</si>
  <si>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</si>
  <si>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</si>
  <si>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</si>
  <si>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</si>
  <si>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</si>
  <si>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</si>
  <si>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</si>
  <si>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</si>
  <si>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</si>
  <si>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</si>
  <si>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</si>
  <si>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</si>
  <si>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</si>
  <si>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</si>
  <si>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</si>
  <si>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</si>
  <si>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</si>
  <si>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</si>
  <si>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</si>
  <si>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</si>
  <si>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</si>
  <si>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</si>
  <si>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</si>
  <si>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</si>
  <si>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</si>
  <si>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</si>
  <si>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</si>
  <si>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</si>
  <si>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</si>
  <si>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</si>
  <si>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</si>
  <si>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</si>
  <si>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</si>
  <si>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</si>
  <si>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</si>
  <si>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</si>
  <si>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</si>
  <si>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</si>
  <si>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</si>
  <si>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</si>
  <si>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</si>
  <si>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</si>
  <si>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</si>
  <si>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</si>
  <si>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</si>
  <si>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</si>
  <si>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</si>
  <si>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</si>
  <si>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</si>
  <si>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</si>
  <si>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</si>
  <si>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</si>
  <si>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</si>
  <si>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</si>
  <si>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</si>
  <si>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</si>
  <si>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</si>
  <si>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</si>
  <si>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</si>
  <si>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</si>
  <si>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</si>
  <si>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</si>
  <si>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</si>
  <si>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</si>
  <si>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</si>
  <si>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</si>
  <si>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</si>
  <si>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</si>
  <si>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</si>
  <si>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</si>
  <si>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</si>
  <si>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</si>
  <si>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</si>
  <si>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</si>
  <si>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</si>
  <si>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</si>
  <si>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</si>
  <si>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</si>
  <si>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</si>
  <si>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</si>
  <si>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</si>
  <si>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</si>
  <si>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</si>
  <si>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</si>
  <si>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</si>
  <si>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</si>
  <si>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</si>
  <si>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</si>
  <si>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</si>
  <si>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</si>
  <si>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</si>
  <si>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</si>
  <si>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</si>
  <si>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</si>
  <si>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</si>
  <si>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</si>
  <si>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</si>
  <si>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</si>
  <si>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</si>
  <si>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</si>
  <si>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</si>
  <si>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</si>
  <si>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</si>
  <si>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</si>
  <si>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</si>
  <si>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</si>
  <si>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</si>
  <si>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</si>
  <si>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</si>
  <si>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</si>
  <si>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</si>
  <si>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</si>
  <si>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</si>
  <si>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</si>
  <si>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</si>
  <si>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</si>
  <si>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</si>
  <si>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</si>
  <si>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</si>
  <si>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</si>
  <si>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</si>
  <si>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</si>
  <si>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</si>
  <si>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</si>
  <si>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</si>
  <si>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</si>
  <si>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</si>
  <si>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</si>
  <si>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</si>
  <si>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</si>
  <si>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</si>
  <si>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</si>
  <si>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</si>
  <si>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</si>
  <si>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</si>
  <si>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</si>
  <si>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</si>
  <si>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</si>
  <si>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</si>
  <si>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</si>
  <si>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</si>
  <si>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</si>
  <si>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</si>
  <si>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</si>
  <si>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</si>
  <si>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</si>
  <si>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</si>
  <si>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</si>
  <si>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</si>
  <si>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</si>
  <si>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</si>
  <si>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</si>
  <si>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</si>
  <si>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</si>
  <si>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</si>
  <si>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</si>
  <si>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</si>
  <si>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</si>
  <si>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</si>
  <si>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</si>
  <si>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</si>
  <si>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</si>
  <si>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</si>
  <si>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</si>
  <si>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</si>
  <si>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</si>
  <si>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</si>
  <si>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</si>
  <si>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</si>
  <si>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</si>
  <si>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</si>
  <si>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</si>
  <si>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</si>
  <si>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</si>
  <si>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</si>
  <si>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</si>
  <si>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</si>
  <si>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</si>
  <si>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</si>
  <si>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</si>
  <si>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</si>
  <si>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</si>
  <si>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</si>
  <si>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</si>
  <si>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</si>
  <si>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</si>
  <si>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</si>
  <si>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</si>
  <si>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</si>
  <si>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</si>
  <si>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</si>
  <si>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</si>
  <si>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</si>
  <si>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</si>
  <si>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</si>
  <si>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</si>
  <si>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</si>
  <si>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</si>
  <si>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</si>
  <si>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</si>
  <si>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</si>
  <si>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</si>
  <si>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</si>
  <si>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</si>
  <si>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</si>
  <si>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</si>
  <si>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</si>
  <si>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</si>
  <si>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</si>
  <si>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</si>
  <si>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</si>
  <si>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</si>
  <si>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</si>
  <si>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</si>
  <si>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</si>
  <si>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</si>
  <si>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</si>
  <si>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</si>
  <si>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</si>
  <si>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</si>
  <si>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</si>
  <si>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</si>
  <si>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</si>
  <si>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</si>
  <si>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</si>
  <si>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</si>
  <si>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</si>
  <si>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</si>
  <si>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</si>
  <si>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</si>
  <si>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</si>
  <si>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</si>
  <si>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</si>
  <si>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</si>
  <si>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</si>
  <si>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</si>
  <si>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</si>
  <si>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</si>
  <si>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</si>
  <si>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</si>
  <si>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</si>
  <si>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</si>
  <si>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</si>
  <si>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</si>
  <si>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</si>
  <si>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</si>
  <si>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</si>
  <si>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</si>
  <si>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</si>
  <si>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</si>
  <si>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</si>
  <si>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</si>
  <si>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</si>
  <si>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</si>
  <si>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</si>
  <si>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</si>
  <si>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</si>
  <si>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</si>
  <si>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</si>
  <si>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</si>
  <si>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</si>
  <si>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</si>
  <si>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</si>
  <si>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</si>
  <si>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</si>
  <si>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</si>
  <si>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</si>
  <si>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</si>
  <si>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</si>
  <si>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</si>
  <si>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</si>
  <si>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</si>
  <si>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</si>
  <si>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</si>
  <si>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</si>
  <si>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</si>
  <si>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</si>
  <si>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</si>
  <si>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</si>
  <si>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</si>
  <si>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</si>
  <si>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</si>
  <si>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</si>
  <si>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</si>
  <si>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</si>
  <si>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</si>
  <si>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</si>
  <si>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</si>
  <si>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</si>
  <si>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</si>
  <si>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</si>
  <si>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</si>
  <si>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</si>
  <si>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</si>
  <si>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</si>
  <si>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</si>
  <si>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</si>
  <si>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</si>
  <si>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</si>
  <si>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</si>
  <si>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</si>
  <si>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</si>
  <si>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</si>
  <si>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</si>
  <si>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</si>
  <si>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</si>
  <si>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</si>
  <si>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</si>
  <si>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</si>
  <si>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</si>
  <si>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</si>
  <si>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</si>
  <si>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</si>
  <si>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</si>
  <si>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</si>
  <si>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</si>
  <si>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</si>
  <si>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</si>
  <si>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</si>
  <si>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</si>
  <si>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</si>
  <si>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</si>
  <si>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</si>
  <si>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</si>
  <si>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</si>
  <si>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</si>
  <si>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</si>
  <si>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</si>
  <si>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</si>
  <si>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</si>
  <si>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</si>
  <si>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</si>
  <si>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</si>
  <si>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</si>
  <si>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</si>
  <si>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</si>
  <si>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</si>
  <si>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</si>
  <si>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</si>
  <si>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</si>
  <si>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</si>
  <si>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</si>
  <si>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</si>
  <si>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</si>
  <si>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</si>
  <si>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</si>
  <si>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</si>
  <si>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</si>
  <si>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</si>
  <si>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</si>
  <si>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</si>
  <si>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</si>
  <si>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</si>
  <si>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</si>
  <si>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</si>
  <si>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</si>
  <si>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</si>
  <si>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</si>
  <si>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</si>
  <si>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</si>
  <si>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</si>
  <si>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</si>
  <si>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</si>
  <si>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</si>
  <si>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</si>
  <si>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</si>
  <si>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</si>
  <si>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</si>
  <si>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</si>
  <si>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</si>
  <si>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</si>
  <si>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</si>
  <si>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</si>
  <si>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</si>
  <si>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</si>
  <si>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</si>
  <si>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</si>
  <si>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</si>
  <si>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</si>
  <si>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</si>
  <si>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</si>
  <si>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</si>
  <si>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</si>
  <si>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</si>
  <si>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</si>
  <si>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</si>
  <si>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</si>
  <si>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</si>
  <si>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</si>
  <si>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</si>
  <si>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</si>
  <si>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</si>
  <si>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</si>
  <si>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</si>
  <si>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</si>
  <si>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</si>
  <si>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</si>
  <si>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</si>
  <si>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</si>
  <si>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</si>
  <si>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</si>
  <si>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</si>
  <si>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</si>
  <si>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</si>
  <si>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</si>
  <si>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</si>
  <si>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</si>
  <si>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</si>
  <si>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</si>
  <si>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</si>
  <si>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</si>
  <si>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</si>
  <si>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</si>
  <si>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</si>
  <si>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</si>
  <si>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</si>
  <si>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</si>
  <si>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</si>
  <si>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</si>
  <si>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</si>
  <si>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</si>
  <si>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</si>
  <si>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</si>
  <si>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</si>
  <si>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</si>
  <si>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</si>
  <si>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</si>
  <si>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</si>
  <si>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</si>
  <si>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</si>
  <si>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</si>
  <si>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</si>
  <si>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</si>
  <si>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</si>
  <si>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</si>
  <si>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</si>
  <si>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</si>
  <si>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</si>
  <si>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</si>
  <si>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</si>
  <si>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</si>
  <si>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</si>
  <si>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</si>
  <si>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</si>
  <si>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</si>
  <si>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</si>
  <si>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</si>
  <si>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</si>
  <si>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</si>
  <si>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</si>
  <si>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</si>
  <si>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</si>
  <si>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</si>
  <si>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</si>
  <si>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</si>
  <si>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</si>
  <si>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</si>
  <si>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</si>
  <si>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</si>
  <si>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</si>
  <si>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</si>
  <si>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</si>
  <si>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</si>
  <si>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</si>
  <si>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</si>
  <si>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</si>
  <si>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</si>
  <si>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</si>
  <si>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</si>
  <si>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</si>
  <si>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</si>
  <si>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</si>
  <si>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</si>
  <si>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</si>
  <si>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</si>
  <si>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</si>
  <si>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</si>
  <si>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</si>
  <si>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</si>
  <si>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</si>
  <si>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</si>
  <si>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</si>
  <si>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</si>
  <si>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</si>
  <si>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</si>
  <si>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</si>
  <si>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</si>
  <si>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</si>
  <si>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</si>
  <si>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</si>
  <si>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</si>
  <si>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</si>
  <si>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</si>
  <si>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</si>
  <si>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</si>
  <si>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</si>
  <si>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</si>
  <si>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</si>
  <si>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</si>
  <si>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</si>
  <si>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</si>
  <si>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</si>
  <si>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</si>
  <si>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</si>
  <si>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</si>
  <si>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</si>
  <si>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</si>
  <si>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</si>
  <si>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</si>
  <si>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</si>
  <si>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</si>
  <si>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</si>
  <si>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</si>
  <si>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</si>
  <si>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</si>
  <si>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</si>
  <si>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</si>
  <si>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</si>
  <si>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</si>
  <si>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</si>
  <si>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</si>
  <si>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</si>
  <si>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</si>
  <si>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</si>
  <si>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</si>
  <si>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</si>
  <si>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</si>
  <si>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</si>
  <si>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</si>
  <si>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</si>
  <si>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</si>
  <si>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</si>
  <si>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</si>
  <si>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</si>
  <si>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</si>
  <si>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</si>
  <si>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</si>
  <si>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</si>
  <si>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</si>
  <si>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</si>
  <si>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</si>
  <si>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</si>
  <si>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</si>
  <si>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</si>
  <si>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</si>
  <si>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</si>
  <si>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</si>
  <si>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</si>
  <si>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</si>
  <si>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</si>
  <si>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</si>
  <si>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</si>
  <si>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</si>
  <si>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</si>
  <si>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</si>
  <si>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</si>
  <si>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</si>
  <si>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</si>
  <si>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</si>
  <si>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</si>
  <si>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</si>
  <si>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</si>
  <si>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</si>
  <si>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</si>
  <si>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</si>
  <si>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</si>
  <si>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</si>
  <si>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</si>
  <si>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</si>
  <si>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</si>
  <si>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</si>
  <si>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</si>
  <si>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</si>
  <si>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</si>
  <si>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</si>
  <si>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</si>
  <si>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</si>
  <si>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</si>
  <si>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</si>
  <si>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</si>
  <si>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</si>
  <si>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</si>
  <si>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</si>
  <si>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</si>
  <si>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</si>
  <si>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</si>
  <si>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</si>
  <si>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</si>
  <si>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</si>
  <si>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</si>
  <si>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</si>
  <si>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</si>
  <si>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</si>
  <si>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</si>
  <si>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</si>
  <si>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</si>
  <si>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</si>
  <si>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</si>
  <si>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</si>
  <si>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</si>
  <si>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</si>
  <si>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</si>
  <si>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</si>
  <si>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</si>
  <si>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</si>
  <si>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</si>
  <si>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</si>
  <si>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</si>
  <si>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</si>
  <si>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</si>
  <si>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</si>
  <si>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</si>
  <si>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</si>
  <si>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</si>
  <si>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</si>
  <si>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</si>
  <si>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</si>
  <si>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</si>
  <si>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</si>
  <si>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</si>
  <si>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</si>
  <si>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</si>
  <si>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</si>
  <si>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</si>
  <si>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</si>
  <si>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</si>
  <si>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</si>
  <si>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</si>
  <si>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</si>
  <si>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</si>
  <si>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</si>
  <si>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</si>
  <si>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</si>
  <si>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</si>
  <si>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</si>
  <si>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</si>
  <si>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</si>
  <si>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</si>
  <si>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</si>
  <si>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</si>
  <si>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</si>
  <si>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</si>
  <si>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</si>
  <si>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</si>
  <si>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</si>
  <si>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</si>
  <si>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</si>
  <si>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</si>
  <si>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</si>
  <si>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</si>
  <si>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</si>
  <si>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</si>
  <si>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</si>
  <si>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</si>
  <si>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</si>
  <si>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</si>
  <si>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</si>
  <si>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</si>
  <si>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</si>
  <si>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</si>
  <si>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</si>
  <si>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</si>
  <si>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</si>
  <si>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</si>
  <si>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</si>
  <si>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</si>
  <si>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</si>
  <si>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</si>
  <si>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</si>
  <si>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</si>
  <si>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</si>
  <si>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</si>
  <si>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</si>
  <si>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</si>
  <si>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</si>
  <si>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</si>
  <si>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</si>
  <si>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</si>
  <si>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</si>
  <si>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</si>
  <si>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</si>
  <si>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</si>
  <si>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</si>
  <si>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</si>
  <si>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</si>
  <si>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</si>
  <si>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</si>
  <si>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</si>
  <si>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</si>
  <si>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</si>
  <si>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</si>
  <si>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</si>
  <si>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</si>
  <si>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</si>
  <si>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</si>
  <si>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</si>
  <si>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</si>
  <si>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</si>
  <si>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</si>
  <si>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</si>
  <si>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</si>
  <si>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</si>
  <si>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</si>
  <si>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</si>
  <si>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</si>
  <si>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</si>
  <si>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</si>
  <si>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</si>
  <si>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</si>
  <si>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</si>
  <si>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</si>
  <si>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</si>
  <si>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</si>
  <si>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</si>
  <si>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</si>
  <si>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</si>
  <si>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</si>
  <si>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</si>
  <si>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</si>
  <si>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</si>
  <si>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</si>
  <si>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</si>
  <si>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</si>
  <si>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</si>
  <si>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</si>
  <si>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</si>
  <si>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</si>
  <si>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</si>
  <si>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</si>
  <si>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</si>
  <si>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</si>
  <si>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</si>
  <si>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</si>
  <si>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</si>
  <si>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</si>
  <si>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</si>
  <si>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</si>
  <si>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</si>
  <si>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</si>
  <si>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</si>
  <si>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</si>
  <si>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</si>
  <si>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</si>
  <si>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</si>
  <si>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</si>
  <si>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</si>
  <si>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</si>
  <si>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</si>
  <si>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</si>
  <si>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</si>
  <si>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</si>
  <si>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</si>
  <si>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</si>
  <si>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</si>
  <si>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</si>
  <si>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</si>
  <si>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</si>
  <si>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</si>
  <si>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</si>
  <si>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</si>
  <si>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</si>
  <si>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</si>
  <si>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</si>
  <si>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</si>
  <si>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</si>
  <si>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</si>
  <si>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</si>
  <si>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</si>
  <si>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</si>
  <si>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</si>
  <si>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</si>
  <si>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</si>
  <si>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</si>
  <si>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</si>
  <si>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</si>
  <si>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</si>
  <si>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</si>
  <si>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</si>
  <si>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</si>
  <si>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</si>
  <si>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</si>
  <si>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</si>
  <si>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</si>
  <si>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</si>
  <si>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</si>
  <si>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</si>
  <si>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</si>
  <si>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</si>
  <si>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</si>
  <si>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</si>
  <si>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</si>
  <si>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</si>
  <si>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</si>
  <si>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</si>
  <si>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</si>
  <si>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</si>
  <si>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</si>
  <si>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</si>
  <si>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</si>
  <si>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</si>
  <si>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</si>
  <si>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</si>
  <si>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</si>
  <si>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</si>
  <si>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</si>
  <si>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</si>
  <si>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</si>
  <si>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</si>
  <si>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</si>
  <si>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</si>
  <si>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</si>
  <si>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</si>
  <si>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</si>
  <si>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</si>
  <si>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</si>
  <si>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</si>
  <si>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</si>
  <si>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</si>
  <si>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</si>
  <si>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</si>
  <si>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</si>
  <si>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</si>
  <si>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</si>
  <si>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</si>
  <si>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</si>
  <si>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</si>
  <si>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</si>
  <si>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</si>
  <si>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</si>
  <si>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</si>
  <si>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</si>
  <si>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</si>
  <si>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</si>
  <si>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</si>
  <si>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</si>
  <si>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</si>
  <si>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</si>
  <si>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</si>
  <si>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</si>
  <si>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</si>
  <si>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</si>
  <si>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</si>
  <si>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</si>
  <si>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</si>
  <si>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</si>
  <si>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</si>
  <si>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</si>
  <si>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</si>
  <si>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</si>
  <si>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</si>
  <si>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</si>
  <si>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</si>
  <si>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</si>
  <si>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</si>
  <si>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</si>
  <si>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</si>
  <si>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</si>
  <si>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</si>
  <si>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</si>
  <si>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</si>
  <si>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</si>
  <si>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</si>
  <si>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</si>
  <si>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</si>
  <si>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</si>
  <si>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</si>
  <si>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</si>
  <si>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</si>
  <si>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</si>
  <si>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</si>
  <si>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</si>
  <si>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</si>
  <si>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</si>
  <si>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</si>
  <si>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</si>
  <si>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</si>
  <si>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</si>
  <si>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</si>
  <si>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</si>
  <si>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</si>
  <si>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</si>
  <si>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</si>
  <si>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</si>
  <si>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</si>
  <si>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</si>
  <si>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</si>
  <si>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</si>
  <si>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</si>
  <si>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</si>
  <si>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</si>
  <si>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</si>
  <si>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</si>
  <si>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</si>
  <si>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</si>
  <si>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</si>
  <si>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</si>
  <si>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</si>
  <si>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</si>
  <si>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</si>
  <si>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</si>
  <si>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</si>
  <si>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</si>
  <si>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</si>
  <si>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</si>
  <si>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</si>
  <si>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</si>
  <si>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</si>
  <si>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</si>
  <si>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</si>
  <si>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</si>
  <si>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</si>
  <si>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</si>
  <si>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</si>
  <si>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</si>
  <si>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</si>
  <si>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</si>
  <si>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</si>
  <si>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</si>
  <si>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</si>
  <si>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</si>
  <si>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</si>
  <si>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</si>
  <si>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</si>
  <si>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</si>
  <si>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</si>
  <si>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</si>
  <si>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</si>
  <si>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</si>
  <si>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</si>
  <si>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</si>
  <si>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</si>
  <si>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</si>
  <si>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</si>
  <si>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</si>
  <si>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</si>
  <si>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</si>
  <si>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</si>
  <si>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</si>
  <si>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</si>
  <si>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</si>
  <si>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</si>
  <si>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</si>
  <si>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</si>
  <si>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</si>
  <si>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</si>
  <si>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</si>
  <si>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</si>
  <si>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</si>
  <si>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</si>
  <si>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</si>
  <si>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</si>
  <si>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</si>
  <si>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</si>
  <si>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</si>
  <si>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</si>
  <si>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</si>
  <si>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</si>
  <si>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</si>
  <si>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</si>
  <si>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</si>
  <si>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</si>
  <si>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</si>
  <si>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</si>
  <si>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</si>
  <si>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</si>
  <si>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</si>
  <si>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</si>
  <si>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</si>
  <si>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</si>
  <si>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</si>
  <si>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</si>
  <si>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</si>
  <si>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</si>
  <si>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</si>
  <si>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</si>
  <si>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</si>
  <si>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</si>
  <si>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</si>
  <si>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</si>
  <si>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</si>
  <si>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</si>
  <si>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</si>
  <si>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</si>
  <si>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</si>
  <si>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</si>
  <si>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</si>
  <si>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</si>
  <si>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</si>
  <si>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</si>
  <si>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</si>
  <si>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</si>
  <si>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</si>
  <si>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</si>
  <si>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</si>
  <si>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</si>
  <si>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</si>
  <si>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</si>
  <si>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</si>
  <si>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</si>
  <si>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</si>
  <si>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</si>
  <si>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</si>
  <si>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</si>
  <si>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</si>
  <si>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</si>
  <si>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</si>
  <si>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</si>
  <si>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</si>
  <si>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</si>
  <si>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</si>
  <si>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</si>
  <si>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</si>
  <si>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</si>
  <si>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</si>
  <si>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</si>
  <si>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</si>
  <si>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</si>
  <si>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</si>
  <si>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</si>
  <si>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</si>
  <si>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</si>
  <si>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</si>
  <si>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</si>
  <si>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</si>
  <si>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</si>
  <si>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</si>
  <si>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</si>
  <si>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</si>
  <si>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</si>
  <si>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</si>
  <si>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</si>
  <si>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</si>
  <si>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</si>
  <si>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</si>
  <si>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</si>
  <si>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</si>
  <si>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</si>
  <si>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</si>
  <si>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</si>
  <si>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</si>
  <si>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</si>
  <si>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</si>
  <si>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</si>
  <si>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</si>
  <si>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</si>
  <si>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</si>
  <si>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</si>
  <si>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</si>
  <si>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</si>
  <si>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</si>
  <si>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</si>
  <si>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</si>
  <si>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</si>
  <si>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</si>
  <si>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</si>
  <si>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</si>
  <si>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</si>
  <si>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</si>
  <si>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</si>
  <si>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</si>
  <si>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</si>
  <si>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</si>
  <si>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</si>
  <si>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</si>
  <si>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</si>
  <si>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</si>
  <si>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</si>
  <si>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</si>
  <si>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</si>
  <si>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</si>
  <si>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</si>
  <si>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</si>
  <si>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</si>
  <si>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</si>
  <si>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</si>
  <si>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</si>
  <si>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</si>
  <si>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</si>
  <si>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</si>
  <si>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</si>
  <si>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</si>
  <si>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</si>
  <si>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</si>
  <si>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</si>
  <si>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</si>
  <si>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</si>
  <si>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</si>
  <si>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</si>
  <si>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</si>
  <si>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</si>
  <si>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</si>
  <si>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</si>
  <si>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</si>
  <si>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</si>
  <si>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</si>
  <si>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</si>
  <si>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</si>
  <si>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</si>
  <si>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</si>
  <si>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</si>
  <si>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</si>
  <si>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</si>
  <si>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</si>
  <si>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</si>
  <si>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</si>
  <si>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</si>
  <si>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</si>
  <si>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</si>
  <si>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</si>
  <si>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</si>
  <si>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</si>
  <si>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</si>
  <si>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</si>
  <si>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</si>
  <si>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</si>
  <si>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</si>
  <si>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</si>
  <si>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</si>
  <si>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</si>
  <si>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</si>
  <si>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</si>
  <si>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</si>
  <si>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</si>
  <si>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</si>
  <si>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</si>
  <si>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</si>
  <si>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</si>
  <si>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</si>
  <si>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</si>
  <si>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</si>
  <si>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</si>
  <si>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</si>
  <si>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</si>
  <si>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</si>
  <si>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</si>
  <si>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</si>
  <si>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</si>
  <si>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</si>
  <si>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</si>
  <si>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</si>
  <si>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</si>
  <si>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</si>
  <si>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</si>
  <si>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</si>
  <si>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</si>
  <si>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</si>
  <si>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</si>
  <si>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</si>
  <si>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</si>
  <si>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</si>
  <si>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</si>
  <si>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</si>
  <si>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</si>
  <si>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</si>
  <si>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</si>
  <si>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</si>
  <si>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</si>
  <si>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</si>
  <si>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</si>
  <si>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</si>
  <si>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</si>
  <si>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</si>
  <si>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</si>
  <si>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</si>
  <si>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</si>
  <si>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</si>
  <si>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</si>
  <si>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</si>
  <si>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</si>
  <si>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</si>
  <si>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</si>
  <si>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</si>
  <si>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</si>
  <si>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</si>
  <si>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</si>
  <si>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</si>
  <si>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</si>
  <si>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</si>
  <si>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</si>
  <si>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</si>
  <si>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</si>
  <si>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</si>
  <si>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</si>
  <si>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</si>
  <si>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</si>
  <si>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</si>
  <si>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</si>
  <si>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</si>
  <si>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</si>
  <si>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</si>
  <si>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</si>
  <si>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</si>
  <si>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</si>
  <si>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</si>
  <si>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</si>
  <si>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</si>
  <si>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</si>
  <si>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</si>
  <si>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</si>
  <si>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</si>
  <si>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</si>
  <si>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</si>
  <si>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</si>
  <si>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</si>
  <si>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</si>
  <si>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</si>
  <si>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</si>
  <si>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</si>
  <si>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</si>
  <si>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</si>
  <si>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</si>
  <si>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</si>
  <si>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</si>
  <si>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</si>
  <si>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</si>
  <si>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</si>
  <si>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</si>
  <si>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</si>
  <si>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</si>
  <si>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</si>
  <si>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</si>
  <si>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</si>
  <si>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</si>
  <si>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</si>
  <si>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</si>
  <si>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</si>
  <si>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</si>
  <si>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</si>
  <si>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</si>
  <si>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</si>
  <si>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</si>
  <si>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</si>
  <si>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</si>
  <si>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</si>
  <si>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</si>
  <si>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</si>
  <si>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</si>
  <si>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</si>
  <si>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</si>
  <si>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</si>
  <si>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</si>
  <si>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</si>
  <si>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</si>
  <si>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</si>
  <si>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</si>
  <si>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</si>
  <si>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</si>
  <si>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</si>
  <si>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</si>
  <si>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</si>
  <si>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</si>
  <si>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</si>
  <si>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</si>
  <si>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</si>
  <si>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</si>
  <si>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</si>
  <si>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</si>
  <si>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</si>
  <si>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</si>
  <si>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</si>
  <si>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</si>
  <si>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</si>
  <si>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</si>
  <si>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</si>
  <si>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</si>
  <si>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</si>
  <si>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</si>
  <si>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</si>
  <si>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</si>
  <si>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</si>
  <si>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</si>
  <si>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</si>
  <si>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</si>
  <si>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</si>
  <si>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</si>
  <si>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</si>
  <si>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</si>
  <si>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</si>
  <si>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</si>
  <si>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</si>
  <si>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</si>
  <si>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</si>
  <si>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</si>
  <si>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</si>
  <si>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</si>
  <si>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</si>
  <si>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</si>
  <si>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</si>
  <si>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</si>
  <si>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</si>
  <si>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</si>
  <si>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</si>
  <si>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</si>
  <si>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</si>
  <si>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</si>
  <si>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</si>
  <si>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</si>
  <si>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</si>
  <si>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</si>
  <si>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</si>
  <si>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</si>
  <si>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</si>
  <si>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</si>
  <si>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</si>
  <si>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</si>
  <si>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</si>
  <si>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</si>
  <si>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</si>
  <si>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</si>
  <si>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</si>
  <si>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</si>
  <si>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</si>
  <si>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</si>
  <si>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</si>
  <si>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</si>
  <si>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</si>
  <si>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</si>
  <si>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</si>
  <si>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</si>
  <si>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</si>
  <si>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</si>
  <si>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</si>
  <si>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</si>
  <si>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</si>
  <si>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</si>
  <si>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</si>
  <si>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</si>
  <si>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</si>
  <si>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</si>
  <si>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</si>
  <si>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</si>
  <si>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</si>
  <si>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</si>
  <si>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</si>
  <si>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</si>
  <si>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</si>
  <si>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</si>
  <si>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</si>
  <si>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</si>
  <si>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</si>
  <si>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</si>
  <si>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</si>
  <si>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</si>
  <si>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</si>
  <si>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</si>
  <si>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</si>
  <si>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</si>
  <si>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</si>
  <si>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</si>
  <si>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</si>
  <si>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</si>
  <si>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</si>
  <si>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</si>
  <si>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</si>
  <si>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</si>
  <si>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</si>
  <si>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</si>
  <si>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</si>
  <si>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</si>
  <si>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</si>
  <si>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</si>
  <si>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</si>
  <si>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</si>
  <si>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</si>
  <si>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</si>
  <si>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</si>
  <si>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</si>
  <si>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</si>
  <si>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</si>
  <si>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</si>
  <si>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</si>
  <si>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</si>
  <si>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</si>
  <si>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</si>
  <si>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</si>
  <si>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</si>
  <si>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</si>
  <si>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</si>
  <si>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</si>
  <si>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</si>
  <si>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</si>
  <si>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</si>
  <si>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</si>
  <si>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</si>
  <si>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</si>
  <si>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</si>
  <si>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</si>
  <si>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</si>
  <si>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</si>
  <si>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</si>
  <si>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</si>
  <si>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</si>
  <si>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</si>
  <si>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</si>
  <si>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</si>
  <si>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</si>
  <si>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</si>
  <si>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</si>
  <si>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</si>
  <si>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</si>
  <si>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</si>
  <si>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</si>
  <si>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</si>
  <si>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</si>
  <si>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</si>
  <si>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</si>
  <si>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</si>
  <si>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</si>
  <si>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</si>
  <si>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</si>
  <si>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</si>
  <si>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</si>
  <si>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</si>
  <si>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</si>
  <si>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</si>
  <si>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</si>
  <si>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</si>
  <si>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</si>
  <si>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</si>
  <si>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</si>
  <si>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</si>
  <si>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</si>
  <si>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</si>
  <si>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</si>
  <si>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</si>
  <si>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</si>
  <si>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</si>
  <si>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</si>
  <si>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</si>
  <si>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</si>
  <si>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</si>
  <si>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</si>
  <si>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</si>
  <si>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</si>
  <si>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</si>
  <si>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</si>
  <si>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</si>
  <si>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</si>
  <si>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</si>
  <si>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</si>
  <si>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</si>
  <si>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</si>
  <si>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</si>
  <si>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</si>
  <si>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</si>
  <si>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</si>
  <si>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</si>
  <si>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</si>
  <si>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</si>
  <si>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</si>
  <si>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</si>
  <si>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</si>
  <si>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</si>
  <si>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</si>
  <si>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</si>
  <si>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</si>
  <si>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</si>
  <si>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</si>
  <si>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</si>
  <si>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</si>
  <si>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</si>
  <si>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</si>
  <si>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</si>
  <si>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</si>
  <si>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</si>
  <si>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</si>
  <si>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</si>
  <si>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</si>
  <si>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</si>
  <si>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</si>
  <si>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</si>
  <si>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</si>
  <si>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</si>
  <si>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</si>
  <si>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</si>
  <si>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</si>
  <si>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</si>
  <si>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</si>
  <si>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</si>
  <si>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</si>
  <si>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</si>
  <si>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</si>
  <si>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</si>
  <si>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</si>
  <si>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</si>
  <si>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</si>
  <si>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</si>
  <si>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</si>
  <si>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</si>
  <si>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</si>
  <si>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</si>
  <si>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</si>
  <si>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</si>
  <si>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</si>
  <si>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</si>
  <si>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</si>
  <si>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</si>
  <si>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</si>
  <si>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</si>
  <si>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</si>
  <si>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</si>
  <si>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</si>
  <si>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</si>
  <si>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</si>
  <si>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</si>
  <si>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</si>
  <si>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</si>
  <si>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</si>
  <si>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</si>
  <si>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</si>
  <si>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</si>
  <si>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</si>
  <si>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</si>
  <si>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</si>
  <si>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</si>
  <si>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</si>
  <si>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</si>
  <si>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</si>
  <si>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</si>
  <si>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</si>
  <si>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</si>
  <si>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</si>
  <si>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</si>
  <si>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</si>
  <si>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</si>
  <si>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</si>
  <si>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</si>
  <si>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</si>
  <si>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</si>
  <si>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</si>
  <si>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</si>
  <si>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</si>
  <si>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</si>
  <si>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</si>
  <si>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</si>
  <si>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</si>
  <si>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</si>
  <si>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</si>
  <si>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</si>
  <si>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</si>
  <si>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</si>
  <si>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</si>
  <si>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</si>
  <si>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</si>
  <si>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</si>
  <si>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</si>
  <si>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</si>
  <si>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</si>
  <si>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</si>
  <si>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</si>
  <si>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</si>
  <si>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</si>
  <si>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</si>
  <si>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</si>
  <si>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</si>
  <si>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</si>
  <si>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</si>
  <si>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</si>
  <si>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</si>
  <si>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</si>
  <si>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</si>
  <si>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</si>
  <si>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</si>
  <si>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</si>
  <si>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</si>
  <si>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</si>
  <si>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</si>
  <si>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</si>
  <si>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</si>
  <si>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</si>
  <si>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</si>
  <si>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</si>
  <si>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</si>
  <si>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</si>
  <si>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</si>
  <si>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</si>
  <si>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</si>
  <si>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</si>
  <si>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</si>
  <si>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</si>
  <si>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</si>
  <si>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</si>
  <si>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</si>
  <si>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</si>
  <si>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</si>
  <si>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</si>
  <si>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</si>
  <si>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</si>
  <si>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</si>
  <si>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</si>
  <si>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</si>
  <si>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</si>
  <si>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</si>
  <si>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</si>
  <si>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</si>
  <si>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</si>
  <si>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</si>
  <si>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</si>
  <si>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</si>
  <si>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</si>
  <si>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</si>
  <si>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</si>
  <si>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</si>
  <si>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</si>
  <si>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</si>
  <si>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</si>
  <si>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</si>
  <si>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</si>
  <si>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</si>
  <si>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</si>
  <si>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</si>
  <si>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</si>
  <si>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</si>
  <si>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</si>
  <si>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</si>
  <si>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</si>
  <si>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</si>
  <si>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</si>
  <si>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</si>
  <si>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</si>
  <si>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</si>
  <si>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</si>
  <si>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</si>
  <si>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</si>
  <si>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</si>
  <si>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</si>
  <si>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</si>
  <si>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</si>
  <si>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</si>
  <si>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</si>
  <si>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</si>
  <si>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</si>
  <si>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</si>
  <si>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</si>
  <si>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</si>
  <si>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</si>
  <si>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</si>
  <si>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</si>
  <si>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</si>
  <si>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</si>
  <si>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</si>
  <si>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</si>
  <si>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</si>
  <si>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</si>
  <si>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</si>
  <si>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</si>
  <si>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</si>
  <si>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</si>
  <si>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</si>
  <si>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</si>
  <si>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</si>
  <si>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</si>
  <si>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</si>
  <si>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</si>
  <si>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</si>
  <si>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</si>
  <si>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</si>
  <si>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</si>
  <si>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</si>
  <si>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</si>
  <si>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</si>
  <si>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</si>
  <si>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</si>
  <si>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</si>
  <si>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</si>
  <si>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</si>
  <si>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</si>
  <si>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</si>
  <si>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</si>
  <si>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</si>
  <si>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</si>
  <si>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</si>
  <si>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</si>
  <si>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</si>
  <si>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</si>
  <si>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</si>
  <si>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</si>
  <si>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</si>
  <si>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</si>
  <si>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</si>
  <si>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</si>
  <si>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</si>
  <si>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</si>
  <si>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</si>
  <si>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</si>
  <si>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</si>
  <si>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</si>
  <si>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</si>
  <si>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</si>
  <si>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</si>
  <si>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</si>
  <si>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</si>
  <si>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</si>
  <si>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</si>
  <si>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</si>
  <si>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</si>
  <si>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</si>
  <si>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</si>
  <si>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</si>
  <si>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</si>
  <si>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</si>
  <si>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</si>
  <si>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</si>
  <si>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</si>
  <si>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</si>
  <si>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</si>
  <si>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</si>
  <si>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</si>
  <si>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</si>
  <si>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</si>
  <si>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</si>
  <si>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</si>
  <si>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</si>
  <si>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</si>
  <si>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</si>
  <si>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</si>
  <si>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</si>
  <si>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</si>
  <si>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</si>
  <si>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</si>
  <si>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</si>
  <si>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</si>
  <si>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</si>
  <si>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</si>
  <si>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</si>
  <si>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</si>
  <si>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</si>
  <si>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</si>
  <si>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</si>
  <si>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</si>
  <si>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</si>
  <si>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</si>
  <si>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</si>
  <si>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</si>
  <si>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</si>
  <si>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</si>
  <si>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</si>
  <si>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</si>
  <si>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</si>
  <si>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</si>
  <si>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</si>
  <si>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</si>
  <si>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</si>
  <si>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</si>
  <si>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</si>
  <si>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</si>
  <si>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</si>
  <si>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</si>
  <si>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</si>
  <si>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</si>
  <si>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</si>
  <si>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</si>
  <si>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</si>
  <si>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</si>
  <si>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</si>
  <si>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</si>
  <si>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</si>
  <si>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</si>
  <si>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</si>
  <si>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</si>
  <si>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</si>
  <si>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</si>
  <si>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</si>
  <si>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</si>
  <si>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</si>
  <si>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</si>
  <si>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</si>
  <si>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</si>
  <si>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</si>
  <si>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</si>
  <si>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</si>
  <si>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</si>
  <si>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</si>
  <si>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</si>
  <si>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</si>
  <si>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</si>
  <si>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</si>
  <si>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</si>
  <si>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</si>
  <si>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</si>
  <si>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</si>
  <si>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</si>
  <si>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</si>
  <si>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</si>
  <si>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</si>
  <si>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</si>
  <si>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</si>
  <si>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</si>
  <si>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</si>
  <si>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</si>
  <si>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</si>
  <si>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</si>
  <si>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</si>
  <si>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</si>
  <si>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</si>
  <si>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</si>
  <si>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</si>
  <si>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</si>
  <si>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</si>
  <si>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</si>
  <si>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</si>
  <si>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</si>
  <si>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</si>
  <si>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</si>
  <si>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</si>
  <si>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</si>
  <si>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</si>
  <si>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</si>
  <si>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</si>
  <si>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</si>
  <si>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</si>
  <si>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</si>
  <si>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</si>
  <si>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</si>
  <si>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</si>
  <si>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</si>
  <si>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</si>
  <si>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</si>
  <si>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</si>
  <si>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</si>
  <si>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</si>
  <si>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</si>
  <si>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</si>
  <si>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</si>
  <si>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</si>
  <si>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</si>
  <si>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</si>
  <si>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</si>
  <si>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</si>
  <si>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</si>
  <si>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</si>
  <si>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</si>
  <si>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</si>
  <si>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</si>
  <si>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</si>
  <si>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</si>
  <si>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</si>
  <si>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</si>
  <si>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</si>
  <si>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</si>
  <si>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</si>
  <si>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</si>
  <si>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</si>
  <si>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</si>
  <si>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</si>
  <si>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</si>
  <si>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</si>
  <si>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</si>
  <si>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</si>
  <si>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</si>
  <si>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</si>
  <si>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</si>
  <si>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</si>
  <si>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</si>
  <si>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</si>
  <si>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</si>
  <si>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</si>
  <si>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</si>
  <si>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</si>
  <si>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</si>
  <si>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</si>
  <si>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</si>
  <si>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</si>
  <si>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</si>
  <si>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</si>
  <si>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</si>
  <si>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</si>
  <si>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</si>
  <si>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</si>
  <si>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</si>
  <si>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</si>
  <si>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</si>
  <si>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</si>
  <si>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</si>
  <si>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</si>
  <si>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</si>
  <si>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</si>
  <si>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</si>
  <si>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</si>
  <si>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</si>
  <si>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</si>
  <si>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</si>
  <si>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</si>
  <si>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</si>
  <si>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</si>
  <si>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</si>
  <si>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</si>
  <si>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</si>
  <si>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</si>
  <si>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</si>
  <si>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</si>
  <si>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</si>
  <si>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</si>
  <si>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</si>
  <si>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</si>
  <si>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</si>
  <si>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</si>
  <si>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</si>
  <si>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</si>
  <si>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</si>
  <si>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</si>
  <si>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</si>
  <si>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</si>
  <si>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</si>
  <si>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</si>
  <si>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</si>
  <si>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</si>
  <si>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</si>
  <si>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</si>
  <si>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</si>
  <si>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</si>
  <si>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</si>
  <si>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</si>
  <si>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</si>
  <si>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</si>
  <si>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</si>
  <si>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</si>
  <si>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</si>
  <si>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</si>
  <si>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</si>
  <si>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</si>
  <si>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</si>
  <si>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</si>
  <si>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</si>
  <si>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</si>
  <si>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</si>
  <si>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</si>
  <si>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</si>
  <si>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</si>
  <si>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</si>
  <si>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</si>
  <si>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</si>
  <si>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</si>
  <si>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</si>
  <si>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</si>
  <si>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</si>
  <si>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</si>
  <si>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</si>
  <si>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</si>
  <si>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</si>
  <si>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</si>
  <si>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</si>
  <si>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</si>
  <si>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</si>
  <si>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</si>
  <si>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</si>
  <si>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</si>
  <si>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</si>
  <si>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</si>
  <si>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</si>
  <si>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</si>
  <si>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</si>
  <si>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</si>
  <si>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</si>
  <si>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</si>
  <si>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</si>
  <si>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</si>
  <si>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</si>
  <si>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</si>
  <si>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</si>
  <si>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</si>
  <si>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</si>
  <si>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</si>
  <si>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</si>
  <si>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</si>
  <si>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</si>
  <si>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</si>
  <si>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</si>
  <si>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</si>
  <si>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</si>
  <si>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</si>
  <si>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</si>
  <si>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</si>
  <si>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</si>
  <si>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</si>
  <si>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</si>
  <si>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</si>
  <si>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</si>
  <si>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</si>
  <si>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</si>
  <si>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</si>
  <si>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</si>
  <si>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</si>
  <si>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</si>
  <si>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</si>
  <si>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</si>
  <si>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</si>
  <si>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</si>
  <si>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</si>
  <si>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</si>
  <si>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</si>
  <si>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</si>
  <si>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</si>
  <si>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</si>
  <si>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</si>
  <si>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</si>
  <si>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</si>
  <si>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</si>
  <si>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</si>
  <si>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</si>
  <si>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</si>
  <si>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</si>
  <si>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</si>
  <si>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</si>
  <si>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</si>
  <si>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</si>
  <si>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</si>
  <si>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</si>
  <si>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</si>
  <si>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</si>
  <si>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</si>
  <si>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</si>
  <si>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</si>
  <si>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</si>
  <si>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</si>
  <si>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</si>
  <si>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</si>
  <si>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</si>
  <si>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</si>
  <si>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</si>
  <si>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</si>
  <si>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</si>
  <si>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</si>
  <si>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</si>
  <si>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</si>
  <si>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</si>
  <si>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</si>
  <si>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</si>
  <si>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</si>
  <si>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</si>
  <si>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</si>
  <si>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</si>
  <si>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</si>
  <si>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</si>
  <si>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</si>
  <si>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</si>
  <si>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</si>
  <si>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</si>
  <si>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</si>
  <si>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</si>
  <si>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</si>
  <si>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</si>
  <si>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</si>
  <si>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</si>
  <si>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</si>
  <si>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</si>
  <si>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</si>
  <si>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</si>
  <si>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</si>
  <si>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</si>
  <si>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</si>
  <si>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</si>
  <si>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</si>
  <si>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</si>
  <si>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</si>
  <si>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</si>
  <si>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</si>
  <si>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</si>
  <si>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</si>
  <si>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</si>
  <si>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</si>
  <si>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</si>
  <si>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</si>
  <si>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</si>
  <si>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</si>
  <si>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</si>
  <si>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</si>
  <si>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</si>
  <si>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</si>
  <si>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</si>
  <si>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</si>
  <si>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</si>
  <si>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</si>
  <si>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</si>
  <si>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</si>
  <si>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</si>
  <si>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</si>
  <si>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</si>
  <si>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</si>
  <si>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</si>
  <si>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</si>
  <si>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</si>
  <si>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</si>
  <si>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</si>
  <si>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</si>
  <si>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</si>
  <si>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</si>
  <si>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</si>
  <si>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</si>
  <si>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</si>
  <si>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</si>
  <si>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</si>
  <si>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</si>
  <si>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</si>
  <si>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</si>
  <si>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</si>
  <si>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</si>
  <si>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</si>
  <si>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</si>
  <si>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</si>
  <si>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</si>
  <si>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</si>
  <si>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</si>
  <si>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</si>
  <si>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</si>
  <si>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</si>
  <si>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</si>
  <si>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</si>
  <si>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</si>
  <si>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</si>
  <si>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</si>
  <si>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</si>
  <si>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</si>
  <si>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</si>
  <si>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</si>
  <si>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</si>
  <si>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</si>
  <si>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</si>
  <si>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</si>
  <si>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</si>
  <si>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</si>
  <si>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</si>
  <si>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</si>
  <si>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</si>
  <si>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</si>
  <si>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</si>
  <si>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</si>
  <si>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</si>
  <si>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</si>
  <si>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</si>
  <si>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</si>
  <si>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</si>
  <si>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</si>
  <si>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</si>
  <si>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</si>
  <si>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</si>
  <si>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</si>
  <si>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</si>
  <si>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</si>
  <si>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</si>
  <si>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</si>
  <si>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</si>
  <si>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</si>
  <si>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</si>
  <si>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</si>
  <si>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</si>
  <si>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</si>
  <si>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</si>
  <si>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</si>
  <si>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</si>
  <si>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</si>
  <si>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</si>
  <si>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</si>
  <si>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</si>
  <si>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</si>
  <si>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</si>
  <si>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</si>
  <si>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</si>
  <si>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</si>
  <si>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</si>
  <si>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</si>
  <si>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</si>
  <si>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</si>
  <si>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</si>
  <si>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</si>
  <si>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</si>
  <si>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</si>
  <si>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</si>
  <si>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</si>
  <si>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</si>
  <si>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</si>
  <si>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</si>
  <si>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</si>
  <si>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</si>
  <si>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</si>
  <si>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</si>
  <si>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</si>
  <si>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</si>
  <si>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</si>
  <si>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</si>
  <si>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</si>
  <si>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</si>
  <si>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</si>
  <si>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</si>
  <si>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</si>
  <si>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</si>
  <si>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</si>
  <si>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</si>
  <si>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</si>
  <si>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</si>
  <si>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</si>
  <si>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</si>
  <si>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</si>
  <si>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</si>
  <si>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</si>
  <si>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</si>
  <si>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</si>
  <si>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</si>
  <si>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</si>
  <si>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</si>
  <si>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</si>
  <si>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</si>
  <si>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</si>
  <si>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</si>
  <si>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</si>
  <si>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</si>
  <si>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</si>
  <si>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</si>
  <si>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</si>
  <si>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</si>
  <si>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</si>
  <si>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</si>
  <si>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</si>
  <si>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</si>
  <si>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</si>
  <si>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</si>
  <si>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</si>
  <si>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</si>
  <si>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</si>
  <si>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</si>
  <si>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</si>
  <si>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</si>
  <si>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</si>
  <si>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</si>
  <si>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</si>
  <si>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</si>
  <si>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</si>
  <si>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</si>
  <si>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</si>
  <si>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</si>
  <si>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</si>
  <si>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</si>
  <si>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</si>
  <si>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</si>
  <si>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</si>
  <si>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</si>
  <si>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</si>
  <si>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</si>
  <si>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</si>
  <si>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</si>
  <si>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</si>
  <si>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</si>
  <si>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</si>
  <si>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</si>
  <si>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</si>
  <si>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</si>
  <si>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</si>
  <si>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</si>
  <si>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</si>
  <si>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</si>
  <si>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</si>
  <si>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</si>
  <si>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</si>
  <si>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</si>
  <si>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</si>
  <si>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</si>
  <si>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</si>
  <si>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</si>
  <si>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</si>
  <si>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</si>
  <si>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</si>
  <si>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</si>
  <si>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</si>
  <si>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</si>
  <si>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</si>
  <si>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</si>
  <si>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</si>
  <si>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</si>
  <si>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</si>
  <si>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</si>
  <si>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</si>
  <si>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</si>
  <si>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</si>
  <si>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</si>
  <si>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</si>
  <si>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</si>
  <si>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</si>
  <si>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</si>
  <si>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</si>
  <si>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</si>
  <si>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</si>
  <si>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</si>
  <si>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</si>
  <si>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</si>
  <si>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</si>
  <si>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</si>
  <si>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</si>
  <si>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</si>
  <si>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</si>
  <si>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</si>
  <si>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</si>
  <si>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</si>
  <si>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</si>
  <si>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</si>
  <si>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</si>
  <si>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</si>
  <si>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</si>
  <si>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</si>
  <si>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</si>
  <si>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</si>
  <si>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</si>
  <si>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</si>
  <si>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</si>
  <si>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</si>
  <si>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</si>
  <si>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</si>
  <si>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</si>
  <si>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</si>
  <si>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</si>
  <si>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</si>
  <si>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</si>
  <si>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</si>
  <si>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</si>
  <si>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</si>
  <si>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</si>
  <si>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</si>
  <si>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</si>
  <si>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</si>
  <si>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</si>
  <si>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</si>
  <si>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</si>
  <si>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</si>
  <si>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</si>
  <si>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</si>
  <si>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</si>
  <si>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</si>
  <si>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</si>
  <si>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</si>
  <si>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</si>
  <si>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</si>
  <si>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</si>
  <si>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</si>
  <si>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</si>
  <si>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</si>
  <si>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</si>
  <si>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</si>
  <si>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</si>
  <si>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</si>
  <si>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</si>
  <si>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</si>
  <si>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</si>
  <si>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</si>
  <si>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</si>
  <si>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</si>
  <si>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</si>
  <si>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</si>
  <si>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</si>
  <si>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</si>
  <si>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</si>
  <si>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</si>
  <si>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</si>
  <si>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</si>
  <si>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</si>
  <si>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</si>
  <si>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</si>
  <si>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</si>
  <si>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</si>
  <si>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</si>
  <si>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</si>
  <si>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</si>
  <si>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</si>
  <si>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</si>
  <si>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</si>
  <si>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</si>
  <si>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</si>
  <si>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</si>
  <si>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</si>
  <si>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</si>
  <si>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</si>
  <si>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</si>
  <si>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</si>
  <si>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</si>
  <si>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</si>
  <si>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</si>
  <si>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</si>
  <si>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</si>
  <si>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</si>
  <si>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</si>
  <si>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</si>
  <si>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</si>
  <si>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</si>
  <si>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</si>
  <si>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</si>
  <si>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</si>
  <si>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</si>
  <si>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</si>
  <si>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</si>
  <si>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</si>
  <si>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</si>
  <si>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</si>
  <si>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</si>
  <si>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</si>
  <si>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</si>
  <si>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</si>
  <si>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</si>
  <si>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</si>
  <si>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</si>
  <si>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</si>
  <si>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</si>
  <si>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</si>
  <si>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</si>
  <si>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</si>
  <si>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</si>
  <si>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</si>
  <si>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</si>
  <si>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</si>
  <si>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</si>
  <si>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</si>
  <si>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</si>
  <si>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</si>
  <si>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</si>
  <si>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</si>
  <si>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</si>
  <si>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</si>
  <si>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</si>
  <si>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</si>
  <si>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</si>
  <si>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</si>
  <si>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</si>
  <si>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</si>
  <si>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</si>
  <si>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</si>
  <si>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</si>
  <si>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</si>
  <si>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</si>
  <si>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</si>
  <si>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</si>
  <si>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</si>
  <si>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</si>
  <si>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</si>
  <si>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</si>
  <si>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</si>
  <si>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</si>
  <si>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</si>
  <si>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</si>
  <si>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</si>
  <si>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</si>
  <si>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</si>
  <si>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</si>
  <si>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</si>
  <si>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</si>
  <si>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</si>
  <si>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</si>
  <si>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</si>
  <si>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</si>
  <si>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</si>
  <si>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</si>
  <si>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</si>
  <si>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</si>
  <si>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</si>
  <si>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</si>
  <si>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</si>
  <si>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</si>
  <si>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</si>
  <si>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</si>
  <si>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</si>
  <si>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</si>
  <si>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</si>
  <si>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</si>
  <si>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</si>
  <si>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</si>
  <si>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</si>
  <si>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</si>
  <si>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</si>
  <si>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</si>
  <si>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</si>
  <si>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</si>
  <si>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</si>
  <si>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</si>
  <si>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</si>
  <si>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</si>
  <si>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</si>
  <si>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</si>
  <si>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</si>
  <si>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</si>
  <si>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</si>
  <si>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</si>
  <si>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</si>
  <si>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</si>
  <si>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</si>
  <si>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</si>
  <si>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</si>
  <si>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</si>
  <si>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</si>
  <si>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</si>
  <si>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</si>
  <si>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</si>
  <si>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</si>
  <si>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</si>
  <si>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</si>
  <si>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</si>
  <si>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</si>
  <si>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</si>
  <si>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</si>
  <si>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</si>
  <si>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</si>
  <si>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</si>
  <si>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</si>
  <si>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</si>
  <si>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</si>
  <si>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</si>
  <si>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</si>
  <si>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</si>
  <si>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</si>
  <si>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</si>
  <si>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</si>
  <si>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</si>
  <si>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</si>
  <si>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</si>
  <si>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</si>
  <si>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</si>
  <si>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</si>
  <si>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</si>
  <si>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</si>
  <si>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</si>
  <si>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</si>
  <si>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</si>
  <si>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</si>
  <si>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</si>
  <si>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</si>
  <si>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</si>
  <si>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</si>
  <si>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</si>
  <si>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</si>
  <si>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</t>
  </si>
  <si>
    <t>Failed</t>
  </si>
  <si>
    <t>Mean Goal</t>
  </si>
  <si>
    <t>Median Goal</t>
  </si>
  <si>
    <t>Mean Pledged</t>
  </si>
  <si>
    <t>Median Pledged</t>
  </si>
  <si>
    <t>Successful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</si>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</sst>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0" fontId="0" fillId="0" borderId="0" xfId="0" applyAlignment="1">
      <alignment horizontal="center"/>
    </xf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C1C1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[Kickstart_Challenge.xlsx]Theater Outcomes by Launch Date!PivotTable1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BD-4355-8790-89F9FE6002E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BD-4355-8790-89F9FE6002E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BD-4355-8790-89F9FE6002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4200591"/>
        <c:axId val="1244199759"/>
      </c:lineChart>
      <c:catAx>
        <c:axId val="1244200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4199759"/>
        <c:crosses val="autoZero"/>
        <c:auto val="1"/>
        <c:lblAlgn val="ctr"/>
        <c:lblOffset val="100"/>
        <c:noMultiLvlLbl val="0"/>
      </c:catAx>
      <c:valAx>
        <c:axId val="124419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4200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C09-42CA-A27D-42D611D2F85A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C09-42CA-A27D-42D611D2F85A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C09-42CA-A27D-42D611D2F8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3693567"/>
        <c:axId val="134369398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C09-42CA-A27D-42D611D2F85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C09-42CA-A27D-42D611D2F85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C09-42CA-A27D-42D611D2F85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C09-42CA-A27D-42D611D2F85A}"/>
                  </c:ext>
                </c:extLst>
              </c15:ser>
            </c15:filteredLineSeries>
          </c:ext>
        </c:extLst>
      </c:lineChart>
      <c:catAx>
        <c:axId val="1343693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3693983"/>
        <c:crosses val="autoZero"/>
        <c:auto val="1"/>
        <c:lblAlgn val="ctr"/>
        <c:lblOffset val="100"/>
        <c:noMultiLvlLbl val="0"/>
      </c:catAx>
      <c:valAx>
        <c:axId val="134369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3693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[Kickstart_Challenge.xlsx]Category and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and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and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and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5D-4CE4-BD77-FF7356671829}"/>
            </c:ext>
          </c:extLst>
        </c:ser>
        <c:ser>
          <c:idx val="1"/>
          <c:order val="1"/>
          <c:tx>
            <c:strRef>
              <c:f>'Category and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and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and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5D-4CE4-BD77-FF7356671829}"/>
            </c:ext>
          </c:extLst>
        </c:ser>
        <c:ser>
          <c:idx val="2"/>
          <c:order val="2"/>
          <c:tx>
            <c:strRef>
              <c:f>'Category and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and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and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B5D-4CE4-BD77-FF7356671829}"/>
            </c:ext>
          </c:extLst>
        </c:ser>
        <c:ser>
          <c:idx val="3"/>
          <c:order val="3"/>
          <c:tx>
            <c:strRef>
              <c:f>'Category and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and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and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B5D-4CE4-BD77-FF73566718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19149344"/>
        <c:axId val="1819149760"/>
      </c:barChart>
      <c:catAx>
        <c:axId val="1819149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9149760"/>
        <c:crosses val="autoZero"/>
        <c:auto val="1"/>
        <c:lblAlgn val="ctr"/>
        <c:lblOffset val="100"/>
        <c:noMultiLvlLbl val="0"/>
      </c:catAx>
      <c:valAx>
        <c:axId val="181914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9149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6A-4F3E-9927-FF6426E492B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6A-4F3E-9927-FF6426E492B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6A-4F3E-9927-FF6426E492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6149776"/>
        <c:axId val="1829165072"/>
      </c:barChart>
      <c:catAx>
        <c:axId val="366149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65072"/>
        <c:crosses val="autoZero"/>
        <c:auto val="1"/>
        <c:lblAlgn val="ctr"/>
        <c:lblOffset val="100"/>
        <c:noMultiLvlLbl val="0"/>
      </c:catAx>
      <c:valAx>
        <c:axId val="1829165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149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[Kickstart_Challenge.xlsx]Outcomes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952-4F2E-A4FF-53A66E13EEA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952-4F2E-A4FF-53A66E13EEA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952-4F2E-A4FF-53A66E13EEA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952-4F2E-A4FF-53A66E13EE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133968"/>
        <c:axId val="147136880"/>
      </c:lineChart>
      <c:catAx>
        <c:axId val="147133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136880"/>
        <c:crosses val="autoZero"/>
        <c:auto val="1"/>
        <c:lblAlgn val="ctr"/>
        <c:lblOffset val="100"/>
        <c:noMultiLvlLbl val="0"/>
      </c:catAx>
      <c:valAx>
        <c:axId val="14713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133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114300</xdr:colOff>
      <xdr:row>10</xdr:row>
      <xdr:rowOff>66675</xdr:rowOff>
    </xdr:from>
    <xdr:to>
      <xdr:col>19</xdr:col>
      <xdr:colOff>38100</xdr:colOff>
      <xdr:row>37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2A154B-1E01-82BE-5D5D-A3CE172C1B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14</xdr:row>
      <xdr:rowOff>47624</xdr:rowOff>
    </xdr:from>
    <xdr:to>
      <xdr:col>11</xdr:col>
      <xdr:colOff>142875</xdr:colOff>
      <xdr:row>41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3CBE75-172F-785D-B97F-4F3433FBA8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100011</xdr:rowOff>
    </xdr:from>
    <xdr:to>
      <xdr:col>8</xdr:col>
      <xdr:colOff>252413</xdr:colOff>
      <xdr:row>30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424BA0-3A45-82E7-C1EB-D38E419C70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728662</xdr:colOff>
      <xdr:row>10</xdr:row>
      <xdr:rowOff>90487</xdr:rowOff>
    </xdr:from>
    <xdr:to>
      <xdr:col>13</xdr:col>
      <xdr:colOff>280987</xdr:colOff>
      <xdr:row>24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C3A861-D33E-2240-E0D2-0676CC617D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138112</xdr:rowOff>
    </xdr:from>
    <xdr:to>
      <xdr:col>6</xdr:col>
      <xdr:colOff>257175</xdr:colOff>
      <xdr:row>33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A0B61E-026C-1C90-D634-73D515EF66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m Susey" refreshedDate="44718.19144884259" createdVersion="8" refreshedVersion="8" minRefreshableVersion="3" recordCount="4114" xr:uid="{17029EB1-FA79-410F-AD16-D9539335C00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m Susey" refreshedDate="44718.20613564815" createdVersion="8" refreshedVersion="8" minRefreshableVersion="3" recordCount="4114" xr:uid="{A7BFE0CE-8172-4367-AA3E-E2EC7B5FE6B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m Susey" refreshedDate="44723.210349652778" createdVersion="8" refreshedVersion="8" minRefreshableVersion="3" recordCount="4114" xr:uid="{41F3BCAD-3E8F-4F19-8B78-1F12F3743DED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FC157B-2FCE-4F13-97F1-7F6AD3496E13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B69784-66A1-4300-8BDC-18DA5B346FC7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D2657A-3FF2-4BF3-B8EE-C227172F8F6C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9722ED-3BA4-4024-A30D-A08E4801CB24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Normal="100" workbookViewId="0">
      <pane xSplit="2" ySplit="2" topLeftCell="F3118" activePane="bottomRight" state="frozen"/>
      <selection pane="topRight" activeCell="C1" sqref="C1"/>
      <selection pane="bottomLeft" activeCell="A3" sqref="A3"/>
      <selection pane="bottomRight" activeCell="F3126" sqref="F312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2851562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" bestFit="1" customWidth="1"/>
    <col min="16" max="16" width="17" bestFit="1" customWidth="1"/>
    <col min="17" max="17" width="15.28515625" bestFit="1" customWidth="1"/>
    <col min="18" max="18" width="16.85546875" bestFit="1" customWidth="1"/>
    <col min="19" max="19" width="23.42578125" style="15" bestFit="1" customWidth="1"/>
    <col min="20" max="20" width="22" style="15" bestFit="1" customWidth="1"/>
  </cols>
  <sheetData>
    <row r="1" spans="1:21" ht="14.25" customHeight="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  <c r="U1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0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0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0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0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0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0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0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0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0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0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0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0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0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0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0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0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0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0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0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0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0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0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0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0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0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0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0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0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0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0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0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0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0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0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T4115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9364B-4333-428E-817C-C1C8FF903A62}">
  <dimension ref="A1:E18"/>
  <sheetViews>
    <sheetView workbookViewId="0">
      <selection activeCell="B1" sqref="B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8379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6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6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6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6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6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6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6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6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6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6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6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6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6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32A8F-A52F-4CB5-B807-3C8C1A2263F8}">
  <dimension ref="A1:I13"/>
  <sheetViews>
    <sheetView workbookViewId="0">
      <selection activeCell="B55" sqref="B55"/>
    </sheetView>
  </sheetViews>
  <sheetFormatPr defaultRowHeight="15" x14ac:dyDescent="0.25"/>
  <cols>
    <col min="1" max="1" width="21.5703125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9" x14ac:dyDescent="0.25">
      <c r="A1" s="18" t="s">
        <v>8382</v>
      </c>
      <c r="B1" s="18" t="s">
        <v>8398</v>
      </c>
      <c r="C1" s="18" t="s">
        <v>8399</v>
      </c>
      <c r="D1" s="18" t="s">
        <v>8400</v>
      </c>
      <c r="E1" s="18" t="s">
        <v>8401</v>
      </c>
      <c r="F1" s="18" t="s">
        <v>8402</v>
      </c>
      <c r="G1" s="18" t="s">
        <v>8403</v>
      </c>
      <c r="H1" s="18" t="s">
        <v>8404</v>
      </c>
    </row>
    <row r="2" spans="1:9" x14ac:dyDescent="0.25">
      <c r="A2" t="s">
        <v>8405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  <c r="I2" s="19"/>
    </row>
    <row r="3" spans="1:9" x14ac:dyDescent="0.25">
      <c r="A3" t="s">
        <v>8406</v>
      </c>
      <c r="B3">
        <f>COUNTIFS(Kickstarter!$F:$F,"successful",Kickstarter!$D:$D,"&gt;=1000",Kickstarter!D:D,"&lt;5000",Kickstarter!$R:$R,"plays")</f>
        <v>388</v>
      </c>
      <c r="C3">
        <f>COUNTIFS(Kickstarter!$F:$F,"failed",Kickstarter!$D:$D,"&gt;=1000",Kickstarter!D:D,"&lt;5000",Kickstarter!$R:$R,"plays")</f>
        <v>146</v>
      </c>
      <c r="D3">
        <f>COUNTIFS(Kickstarter!$F:$F,"canceled",Kickstarter!$D:$D,"&gt;=1000",Kickstarter!D:D,"&lt;5000",Kickstarter!$R:$R,"plays")</f>
        <v>0</v>
      </c>
      <c r="E3">
        <f t="shared" ref="E3:E12" si="0">SUM(B3:D3)</f>
        <v>534</v>
      </c>
      <c r="F3" s="19">
        <f>B3/E3</f>
        <v>0.72659176029962547</v>
      </c>
      <c r="G3" s="19">
        <f t="shared" ref="G3:G13" si="1">C3/E3</f>
        <v>0.27340823970037453</v>
      </c>
      <c r="H3" s="19">
        <f t="shared" ref="H3:H13" si="2">D3/E3</f>
        <v>0</v>
      </c>
    </row>
    <row r="4" spans="1:9" x14ac:dyDescent="0.25">
      <c r="A4" t="s">
        <v>8407</v>
      </c>
      <c r="B4">
        <f>COUNTIFS(Kickstarter!$F:$F,"successful",Kickstarter!$D:$D,"&gt;=5000",Kickstarter!D:D,"&lt;10000",Kickstarter!$R:$R,"plays")</f>
        <v>93</v>
      </c>
      <c r="C4">
        <f>COUNTIFS(Kickstarter!$F:$F,"Failed",Kickstarter!$D:$D,"&gt;=5000",Kickstarter!D:D,"&lt;10000",Kickstarter!$R:$R,"plays")</f>
        <v>76</v>
      </c>
      <c r="D4">
        <f>COUNTIFS(Kickstarter!$F:$F,"canceled",Kickstarter!$D:$D,"&gt;=5000",Kickstarter!D:D,"&lt;10000",Kickstarter!$R:$R,"plays")</f>
        <v>0</v>
      </c>
      <c r="E4">
        <f t="shared" si="0"/>
        <v>169</v>
      </c>
      <c r="F4" s="19">
        <f t="shared" ref="F4:F13" si="3">B4/E4</f>
        <v>0.55029585798816572</v>
      </c>
      <c r="G4" s="19">
        <f t="shared" si="1"/>
        <v>0.44970414201183434</v>
      </c>
      <c r="H4" s="19">
        <f t="shared" si="2"/>
        <v>0</v>
      </c>
    </row>
    <row r="5" spans="1:9" x14ac:dyDescent="0.25">
      <c r="A5" t="s">
        <v>8408</v>
      </c>
      <c r="B5">
        <f>COUNTIFS(Kickstarter!$F:$F,"successful",Kickstarter!$D:$D,"&gt;=10000",Kickstarter!D:D,"&lt;15000",Kickstarter!$R:$R,"plays")</f>
        <v>39</v>
      </c>
      <c r="C5">
        <f>COUNTIFS(Kickstarter!$F:$F,"failed",Kickstarter!$D:$D,"&gt;=10000",Kickstarter!D:D,"&lt;15000",Kickstarter!$R:$R,"plays")</f>
        <v>33</v>
      </c>
      <c r="D5">
        <f>COUNTIFS(Kickstarter!$F:$F,"canceled",Kickstarter!$D:$D,"&gt;=10000",Kickstarter!D:D,"&lt;15000",Kickstarter!$R:$R,"plays")</f>
        <v>0</v>
      </c>
      <c r="E5">
        <f t="shared" si="0"/>
        <v>72</v>
      </c>
      <c r="F5" s="19">
        <f t="shared" si="3"/>
        <v>0.54166666666666663</v>
      </c>
      <c r="G5" s="19">
        <f t="shared" si="1"/>
        <v>0.45833333333333331</v>
      </c>
      <c r="H5" s="19">
        <f t="shared" si="2"/>
        <v>0</v>
      </c>
    </row>
    <row r="6" spans="1:9" x14ac:dyDescent="0.25">
      <c r="A6" t="s">
        <v>8409</v>
      </c>
      <c r="B6">
        <f>COUNTIFS(Kickstarter!$F:$F,"successful",Kickstarter!$D:$D,"&gt;=15000",Kickstarter!D:D,"&lt;20000",Kickstarter!$R:$R,"plays")</f>
        <v>12</v>
      </c>
      <c r="C6">
        <f>COUNTIFS(Kickstarter!$F:$F,"failed",Kickstarter!$D:$D,"&gt;=15000",Kickstarter!D:D,"&lt;20000",Kickstarter!$R:$R,"plays")</f>
        <v>12</v>
      </c>
      <c r="D6">
        <f>COUNTIFS(Kickstarter!$F:$F,"canceled",Kickstarter!$D:$D,"&gt;=15000",Kickstarter!D:D,"&lt;20000",Kickstarter!$R:$R,"plays")</f>
        <v>0</v>
      </c>
      <c r="E6">
        <f t="shared" si="0"/>
        <v>24</v>
      </c>
      <c r="F6" s="19">
        <f t="shared" si="3"/>
        <v>0.5</v>
      </c>
      <c r="G6" s="19">
        <f t="shared" si="1"/>
        <v>0.5</v>
      </c>
      <c r="H6" s="19">
        <f t="shared" si="2"/>
        <v>0</v>
      </c>
    </row>
    <row r="7" spans="1:9" x14ac:dyDescent="0.25">
      <c r="A7" t="s">
        <v>8410</v>
      </c>
      <c r="B7">
        <f>COUNTIFS(Kickstarter!$F:$F,"successful",Kickstarter!$D:$D,"&gt;=20000",Kickstarter!D:D,"&lt;25000",Kickstarter!$R:$R,"plays")</f>
        <v>9</v>
      </c>
      <c r="C7">
        <f>COUNTIFS(Kickstarter!$F:$F,"failed",Kickstarter!$D:$D,"&gt;=20000",Kickstarter!D:D,"&lt;25000",Kickstarter!$R:$R,"plays")</f>
        <v>11</v>
      </c>
      <c r="D7">
        <f>COUNTIFS(Kickstarter!$F:$F,"canceled",Kickstarter!$D:$D,"&gt;=20000",Kickstarter!D:D,"&lt;25000",Kickstarter!$R:$R,"plays")</f>
        <v>0</v>
      </c>
      <c r="E7">
        <f t="shared" si="0"/>
        <v>20</v>
      </c>
      <c r="F7" s="19">
        <f t="shared" si="3"/>
        <v>0.45</v>
      </c>
      <c r="G7" s="19">
        <f t="shared" si="1"/>
        <v>0.55000000000000004</v>
      </c>
      <c r="H7" s="19">
        <f t="shared" si="2"/>
        <v>0</v>
      </c>
    </row>
    <row r="8" spans="1:9" x14ac:dyDescent="0.25">
      <c r="A8" t="s">
        <v>8411</v>
      </c>
      <c r="B8">
        <f>COUNTIFS(Kickstarter!$F:$F,"successful",Kickstarter!$D:$D,"&gt;=25000",Kickstarter!D:D,"&lt;30000",Kickstarter!$R:$R,"plays")</f>
        <v>1</v>
      </c>
      <c r="C8">
        <f>COUNTIFS(Kickstarter!$F:$F,"failed",Kickstarter!$D:$D,"&gt;=25000",Kickstarter!D:D,"&lt;30000",Kickstarter!$R:$R,"plays")</f>
        <v>4</v>
      </c>
      <c r="D8">
        <f>COUNTIFS(Kickstarter!$F:$F,"canceled",Kickstarter!$D:$D,"&gt;=25000",Kickstarter!D:D,"&lt;30000",Kickstarter!$R:$R,"plays")</f>
        <v>0</v>
      </c>
      <c r="E8">
        <f>SUM(B8:D8)</f>
        <v>5</v>
      </c>
      <c r="F8" s="19">
        <f t="shared" si="3"/>
        <v>0.2</v>
      </c>
      <c r="G8" s="19">
        <f t="shared" si="1"/>
        <v>0.8</v>
      </c>
      <c r="H8" s="19">
        <f t="shared" si="2"/>
        <v>0</v>
      </c>
    </row>
    <row r="9" spans="1:9" x14ac:dyDescent="0.25">
      <c r="A9" t="s">
        <v>8412</v>
      </c>
      <c r="B9">
        <f>COUNTIFS(Kickstarter!$F:$F,"successful",Kickstarter!$D:$D,"&gt;=30000",Kickstarter!D:D,"&lt;35000",Kickstarter!$R:$R,"plays")</f>
        <v>3</v>
      </c>
      <c r="C9">
        <f>COUNTIFS(Kickstarter!$F:$F,"failed",Kickstarter!$D:$D,"&gt;=30000",Kickstarter!D:D,"&lt;35000",Kickstarter!$R:$R,"plays")</f>
        <v>8</v>
      </c>
      <c r="D9">
        <f>COUNTIFS(Kickstarter!$F:$F,"canceled",Kickstarter!$D:$D,"&gt;=30000",Kickstarter!D:D,"&lt;35000",Kickstarter!$R:$R,"plays")</f>
        <v>0</v>
      </c>
      <c r="E9">
        <f t="shared" si="0"/>
        <v>11</v>
      </c>
      <c r="F9" s="19">
        <f t="shared" si="3"/>
        <v>0.27272727272727271</v>
      </c>
      <c r="G9" s="19">
        <f t="shared" si="1"/>
        <v>0.72727272727272729</v>
      </c>
      <c r="H9" s="19">
        <f t="shared" si="2"/>
        <v>0</v>
      </c>
    </row>
    <row r="10" spans="1:9" x14ac:dyDescent="0.25">
      <c r="A10" t="s">
        <v>8413</v>
      </c>
      <c r="B10">
        <f>COUNTIFS(Kickstarter!$F:$F,"successful",Kickstarter!$D:$D,"&gt;=35000",Kickstarter!D:D,"&lt;40000",Kickstarter!$R:$R,"plays")</f>
        <v>4</v>
      </c>
      <c r="C10">
        <f>COUNTIFS(Kickstarter!$F:$F,"failed",Kickstarter!$D:$D,"&gt;=35000",Kickstarter!D:D,"&lt;40000",Kickstarter!$R:$R,"plays")</f>
        <v>2</v>
      </c>
      <c r="D10">
        <f>COUNTIFS(Kickstarter!$F:$F,"canceled",Kickstarter!$D:$D,"&gt;=35000",Kickstarter!D:D,"&lt;40000",Kickstarter!$R:$R,"plays")</f>
        <v>0</v>
      </c>
      <c r="E10">
        <f t="shared" si="0"/>
        <v>6</v>
      </c>
      <c r="F10" s="19">
        <f t="shared" si="3"/>
        <v>0.66666666666666663</v>
      </c>
      <c r="G10" s="19">
        <f t="shared" si="1"/>
        <v>0.33333333333333331</v>
      </c>
      <c r="H10" s="19">
        <f t="shared" si="2"/>
        <v>0</v>
      </c>
    </row>
    <row r="11" spans="1:9" x14ac:dyDescent="0.25">
      <c r="A11" t="s">
        <v>8414</v>
      </c>
      <c r="B11">
        <f>COUNTIFS(Kickstarter!$F:$F,"successful",Kickstarter!$D:$D,"&gt;=40000",Kickstarter!D:D,"&lt;45000",Kickstarter!$R:$R,"plays")</f>
        <v>2</v>
      </c>
      <c r="C11">
        <f>COUNTIFS(Kickstarter!$F:$F,"failed",Kickstarter!$D:$D,"&gt;=40000",Kickstarter!D:D,"&lt;45000",Kickstarter!$R:$R,"plays")</f>
        <v>1</v>
      </c>
      <c r="D11">
        <f>COUNTIFS(Kickstarter!$F:$F,"canceled",Kickstarter!$D:$D,"&gt;=40000",Kickstarter!D:D,"&lt;45000",Kickstarter!$R:$R,"plays")</f>
        <v>0</v>
      </c>
      <c r="E11">
        <f t="shared" si="0"/>
        <v>3</v>
      </c>
      <c r="F11" s="19">
        <f t="shared" si="3"/>
        <v>0.66666666666666663</v>
      </c>
      <c r="G11" s="19">
        <f t="shared" si="1"/>
        <v>0.33333333333333331</v>
      </c>
      <c r="H11" s="19">
        <f t="shared" si="2"/>
        <v>0</v>
      </c>
    </row>
    <row r="12" spans="1:9" x14ac:dyDescent="0.25">
      <c r="A12" t="s">
        <v>8415</v>
      </c>
      <c r="B12">
        <f>COUNTIFS(Kickstarter!$F:$F,"successful",Kickstarter!$D:$D,"&gt;=45000",Kickstarter!D:D,"&lt;50000",Kickstarter!$R:$R,"plays")</f>
        <v>0</v>
      </c>
      <c r="C12">
        <f>COUNTIFS(Kickstarter!$F:$F,"failed",Kickstarter!$D:$D,"&gt;=45000",Kickstarter!D:D,"&lt;50000",Kickstarter!$R:$R,"plays")</f>
        <v>1</v>
      </c>
      <c r="D12">
        <f>COUNTIFS(Kickstarter!$F:$F,"canceled",Kickstarter!$D:$D,"&gt;=45000",Kickstarter!D:D,"&lt;50000",Kickstarter!$R:$R,"plays")</f>
        <v>0</v>
      </c>
      <c r="E12">
        <f t="shared" si="0"/>
        <v>1</v>
      </c>
      <c r="F12" s="19">
        <f t="shared" si="3"/>
        <v>0</v>
      </c>
      <c r="G12" s="19">
        <f t="shared" si="1"/>
        <v>1</v>
      </c>
      <c r="H12" s="19">
        <f t="shared" si="2"/>
        <v>0</v>
      </c>
    </row>
    <row r="13" spans="1:9" x14ac:dyDescent="0.25">
      <c r="A13" t="s">
        <v>8416</v>
      </c>
      <c r="B13">
        <f>COUNTIFS(Kickstarter!$F:$F,"successful",Kickstarter!$D:$D,"&gt;=50000",Kickstarter!$R:$R,"plays")</f>
        <v>2</v>
      </c>
      <c r="C13">
        <f>COUNTIFS(Kickstarter!$F:$F,"failed",Kickstarter!$D:$D,"&gt;=50000",Kickstarter!$R:$R,"plays")</f>
        <v>14</v>
      </c>
      <c r="D13">
        <f>COUNTIFS(Kickstarter!$F:$F,"canceled",Kickstarter!$D:$D,"&gt;=50000",Kickstarter!$R:$R,"plays")</f>
        <v>0</v>
      </c>
      <c r="E13">
        <f>SUM(B13:D13)</f>
        <v>16</v>
      </c>
      <c r="F13" s="19">
        <f t="shared" si="3"/>
        <v>0.125</v>
      </c>
      <c r="G13" s="19">
        <f t="shared" si="1"/>
        <v>0.875</v>
      </c>
      <c r="H13" s="19">
        <f t="shared" si="2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5B872-7229-4B59-9403-171BB12B0976}">
  <dimension ref="A1:C14"/>
  <sheetViews>
    <sheetView workbookViewId="0">
      <selection activeCell="C14" sqref="C14"/>
    </sheetView>
  </sheetViews>
  <sheetFormatPr defaultRowHeight="15" x14ac:dyDescent="0.25"/>
  <cols>
    <col min="1" max="1" width="28.42578125" bestFit="1" customWidth="1"/>
    <col min="2" max="4" width="12.85546875" customWidth="1"/>
  </cols>
  <sheetData>
    <row r="1" spans="1:3" x14ac:dyDescent="0.25">
      <c r="B1" t="s">
        <v>8389</v>
      </c>
      <c r="C1" t="s">
        <v>8384</v>
      </c>
    </row>
    <row r="2" spans="1:3" x14ac:dyDescent="0.25">
      <c r="A2" t="s">
        <v>8385</v>
      </c>
      <c r="B2" s="17" t="e">
        <f>AVERAGE(#REF!)</f>
        <v>#REF!</v>
      </c>
      <c r="C2" s="17" t="e">
        <f>AVERAGE(#REF!)</f>
        <v>#REF!</v>
      </c>
    </row>
    <row r="3" spans="1:3" x14ac:dyDescent="0.25">
      <c r="A3" t="s">
        <v>8386</v>
      </c>
      <c r="B3" s="17" t="e">
        <f>MEDIAN(#REF!)</f>
        <v>#REF!</v>
      </c>
      <c r="C3" s="17" t="e">
        <f>MEDIAN(#REF!)</f>
        <v>#REF!</v>
      </c>
    </row>
    <row r="4" spans="1:3" x14ac:dyDescent="0.25">
      <c r="A4" t="s">
        <v>8390</v>
      </c>
      <c r="B4" s="17" t="e">
        <f>_xlfn.STDEV.P(#REF!)</f>
        <v>#REF!</v>
      </c>
      <c r="C4" s="17" t="e">
        <f>_xlfn.STDEV.P(#REF!)</f>
        <v>#REF!</v>
      </c>
    </row>
    <row r="5" spans="1:3" x14ac:dyDescent="0.25">
      <c r="A5" t="s">
        <v>8391</v>
      </c>
      <c r="B5" s="17" t="e">
        <f>_xlfn.QUARTILE.EXC(#REF!,3)</f>
        <v>#REF!</v>
      </c>
      <c r="C5" s="17" t="e">
        <f>_xlfn.QUARTILE.EXC(#REF!,3)</f>
        <v>#REF!</v>
      </c>
    </row>
    <row r="6" spans="1:3" x14ac:dyDescent="0.25">
      <c r="A6" t="s">
        <v>8392</v>
      </c>
      <c r="B6" s="17" t="e">
        <f>_xlfn.QUARTILE.EXC(#REF!,1)</f>
        <v>#REF!</v>
      </c>
      <c r="C6" s="17" t="e">
        <f>_xlfn.QUARTILE.EXC(#REF!,1)</f>
        <v>#REF!</v>
      </c>
    </row>
    <row r="7" spans="1:3" x14ac:dyDescent="0.25">
      <c r="A7" t="s">
        <v>8393</v>
      </c>
      <c r="B7" s="17" t="e">
        <f>B5-B6</f>
        <v>#REF!</v>
      </c>
      <c r="C7" s="17" t="e">
        <f>C5-C6</f>
        <v>#REF!</v>
      </c>
    </row>
    <row r="8" spans="1:3" x14ac:dyDescent="0.25">
      <c r="B8" s="17"/>
      <c r="C8" s="17"/>
    </row>
    <row r="9" spans="1:3" x14ac:dyDescent="0.25">
      <c r="A9" t="s">
        <v>8387</v>
      </c>
      <c r="B9" s="17" t="e">
        <f>AVERAGE(#REF!)</f>
        <v>#REF!</v>
      </c>
      <c r="C9" s="17" t="e">
        <f>AVERAGE(#REF!)</f>
        <v>#REF!</v>
      </c>
    </row>
    <row r="10" spans="1:3" x14ac:dyDescent="0.25">
      <c r="A10" t="s">
        <v>8388</v>
      </c>
      <c r="B10" s="17" t="e">
        <f>MEDIAN(#REF!)</f>
        <v>#REF!</v>
      </c>
      <c r="C10" s="17" t="e">
        <f>MEDIAN(#REF!)</f>
        <v>#REF!</v>
      </c>
    </row>
    <row r="11" spans="1:3" x14ac:dyDescent="0.25">
      <c r="A11" t="s">
        <v>8394</v>
      </c>
      <c r="B11" s="17" t="e">
        <f>_xlfn.STDEV.P(#REF!)</f>
        <v>#REF!</v>
      </c>
      <c r="C11" s="17" t="e">
        <f>_xlfn.STDEV.P(#REF!)</f>
        <v>#REF!</v>
      </c>
    </row>
    <row r="12" spans="1:3" x14ac:dyDescent="0.25">
      <c r="A12" t="s">
        <v>8395</v>
      </c>
      <c r="B12" s="17" t="e">
        <f>_xlfn.QUARTILE.EXC(#REF!,3)</f>
        <v>#REF!</v>
      </c>
      <c r="C12" s="17" t="e">
        <f>_xlfn.QUARTILE.EXC(#REF!,3)</f>
        <v>#REF!</v>
      </c>
    </row>
    <row r="13" spans="1:3" x14ac:dyDescent="0.25">
      <c r="A13" t="s">
        <v>8396</v>
      </c>
      <c r="B13" s="17" t="e">
        <f>_xlfn.QUARTILE.EXC(#REF!,1)</f>
        <v>#REF!</v>
      </c>
      <c r="C13" s="17" t="e">
        <f>_xlfn.QUARTILE.EXC(#REF!,1)</f>
        <v>#REF!</v>
      </c>
    </row>
    <row r="14" spans="1:3" x14ac:dyDescent="0.25">
      <c r="A14" t="s">
        <v>8397</v>
      </c>
      <c r="B14" s="17" t="e">
        <f>B12-B13</f>
        <v>#REF!</v>
      </c>
      <c r="C14" s="17" t="e">
        <f>C12-C13</f>
        <v>#REF!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08299-9268-4117-B052-A1C522E57687}">
  <dimension ref="A1:E6"/>
  <sheetViews>
    <sheetView workbookViewId="0">
      <selection activeCell="E8" sqref="E8"/>
    </sheetView>
  </sheetViews>
  <sheetFormatPr defaultRowHeight="15" x14ac:dyDescent="0.25"/>
  <cols>
    <col min="1" max="1" width="33.5703125" bestFit="1" customWidth="1"/>
    <col min="5" max="5" width="17" bestFit="1" customWidth="1"/>
  </cols>
  <sheetData>
    <row r="1" spans="1:5" x14ac:dyDescent="0.25">
      <c r="A1" t="s">
        <v>8380</v>
      </c>
      <c r="B1" t="s">
        <v>8381</v>
      </c>
      <c r="C1" t="s">
        <v>8382</v>
      </c>
      <c r="D1" t="s">
        <v>8383</v>
      </c>
      <c r="E1" t="s">
        <v>8307</v>
      </c>
    </row>
    <row r="2" spans="1:5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</row>
    <row r="3" spans="1:5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</row>
    <row r="4" spans="1:5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</row>
    <row r="5" spans="1:5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</row>
    <row r="6" spans="1:5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F3C249-DD70-4B7E-95D0-0A3C111F0422}">
  <dimension ref="A1:F6"/>
  <sheetViews>
    <sheetView workbookViewId="0">
      <selection activeCell="A32" sqref="A3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FCD34A-8DEC-411C-B782-7728EB7FA8B9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8358</v>
      </c>
      <c r="B1" t="s">
        <v>8364</v>
      </c>
    </row>
    <row r="2" spans="1:5" x14ac:dyDescent="0.25">
      <c r="A2" s="11" t="s">
        <v>8222</v>
      </c>
      <c r="B2" t="s">
        <v>8224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592C3-9457-4B11-9D2C-48A584938D91}">
  <dimension ref="A1:F18"/>
  <sheetViews>
    <sheetView workbookViewId="0">
      <selection activeCell="B11" sqref="B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Descriptive Statistics</vt:lpstr>
      <vt:lpstr>Edinburgh Research</vt:lpstr>
      <vt:lpstr>Category and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Adam Susey</cp:lastModifiedBy>
  <dcterms:created xsi:type="dcterms:W3CDTF">2017-04-20T15:17:24Z</dcterms:created>
  <dcterms:modified xsi:type="dcterms:W3CDTF">2022-06-16T21:57:36Z</dcterms:modified>
</cp:coreProperties>
</file>