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712EC831-5FD6-9A49-9913-A6071A33A309}" xr6:coauthVersionLast="47" xr6:coauthVersionMax="47" xr10:uidLastSave="{00000000-0000-0000-0000-000000000000}"/>
  <bookViews>
    <workbookView xWindow="0" yWindow="0" windowWidth="25600" windowHeight="16000" tabRatio="883" firstSheet="14" activeTab="24"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'[2]Gas Works'!#REF!</definedName>
    <definedName name="åbyrelc" localSheetId="23">'[2]Gas Works'!#REF!</definedName>
    <definedName name="åbyrelc" localSheetId="24">'[2]Gas Works'!#REF!</definedName>
    <definedName name="åbyrelc" localSheetId="17">'[2]Gas Works'!#REF!</definedName>
    <definedName name="åbyrelc">'[2]Gas Works'!#REF!</definedName>
    <definedName name="åfjvbrselc" localSheetId="22">'[2]Heat Production'!#REF!</definedName>
    <definedName name="åfjvbrselc" localSheetId="23">'[2]Heat Production'!#REF!</definedName>
    <definedName name="åfjvbrselc" localSheetId="24">'[2]Heat Production'!#REF!</definedName>
    <definedName name="åfjvbrselc" localSheetId="17">'[2]Heat Production'!#REF!</definedName>
    <definedName name="åfjvbrselc">'[2]Heat Production'!#REF!</definedName>
    <definedName name="åfjvve" localSheetId="22">'[2]Heat Production'!#REF!</definedName>
    <definedName name="åfjvve" localSheetId="23">'[2]Heat Production'!#REF!</definedName>
    <definedName name="åfjvve" localSheetId="24">'[2]Heat Production'!#REF!</definedName>
    <definedName name="åfjvve" localSheetId="17">'[2]Heat Production'!#REF!</definedName>
    <definedName name="åfjvve">'[2]Heat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'[2]Heat Production'!#REF!</definedName>
    <definedName name="åfutbrsfjv" localSheetId="23">'[2]Heat Production'!#REF!</definedName>
    <definedName name="åfutbrsfjv" localSheetId="24">'[2]Heat Production'!#REF!</definedName>
    <definedName name="åfutbrsfjv" localSheetId="17">'[2]Heat Production'!#REF!</definedName>
    <definedName name="åfutbrsfjv">'[2]Heat Production'!#REF!</definedName>
    <definedName name="ågdtbrsfjv" localSheetId="22">'[2]Heat Production'!#REF!</definedName>
    <definedName name="ågdtbrsfjv" localSheetId="23">'[2]Heat Production'!#REF!</definedName>
    <definedName name="ågdtbrsfjv" localSheetId="24">'[2]Heat Production'!#REF!</definedName>
    <definedName name="ågdtbrsfjv" localSheetId="17">'[2]Heat Production'!#REF!</definedName>
    <definedName name="ågdtbrsfjv">'[2]Heat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'[2]Heat Production'!#REF!</definedName>
    <definedName name="åkulbrsfjv" localSheetId="23">'[2]Heat Production'!#REF!</definedName>
    <definedName name="åkulbrsfjv" localSheetId="24">'[2]Heat Production'!#REF!</definedName>
    <definedName name="åkulbrsfjv" localSheetId="17">'[2]Heat Production'!#REF!</definedName>
    <definedName name="åkulbrsfjv">'[2]Heat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ålpgbrsfjv" localSheetId="22">'[2]Heat Production'!#REF!</definedName>
    <definedName name="ålpgbrsfjv" localSheetId="23">'[2]Heat Production'!#REF!</definedName>
    <definedName name="ålpgbrsfjv" localSheetId="24">'[2]Heat Production'!#REF!</definedName>
    <definedName name="ålpgbrsfjv" localSheetId="17">'[2]Heat Production'!#REF!</definedName>
    <definedName name="ålpgbrsfjv">'[2]Heat Production'!#REF!</definedName>
    <definedName name="ålvnbrsfjv" localSheetId="22">'[2]Heat Production'!#REF!</definedName>
    <definedName name="ålvnbrsfjv" localSheetId="23">'[2]Heat Production'!#REF!</definedName>
    <definedName name="ålvnbrsfjv" localSheetId="24">'[2]Heat Production'!#REF!</definedName>
    <definedName name="ålvnbrsfjv" localSheetId="17">'[2]Heat Production'!#REF!</definedName>
    <definedName name="ålvnbrsfjv">'[2]Heat Production'!#REF!</definedName>
    <definedName name="ångabrsfjv" localSheetId="22">'[2]Heat Production'!#REF!</definedName>
    <definedName name="ångabrsfjv" localSheetId="23">'[2]Heat Production'!#REF!</definedName>
    <definedName name="ångabrsfjv" localSheetId="24">'[2]Heat Production'!#REF!</definedName>
    <definedName name="ångabrsfjv" localSheetId="17">'[2]Heat Production'!#REF!</definedName>
    <definedName name="ångabrsfjv">'[2]Heat Production'!#REF!</definedName>
    <definedName name="AnnualProd_1">[3]Plants1!$N$14:$N$1884</definedName>
    <definedName name="åoribrselc" localSheetId="22">'[2]Electricity Production'!#REF!</definedName>
    <definedName name="åoribrselc" localSheetId="23">'[2]Electricity Production'!#REF!</definedName>
    <definedName name="åoribrselc" localSheetId="24">'[2]Electricity Production'!#REF!</definedName>
    <definedName name="åoribrselc" localSheetId="17">'[2]Electricity Production'!#REF!</definedName>
    <definedName name="åoribrselc">'[2]Electricity Production'!#REF!</definedName>
    <definedName name="åpkobrsfjv" localSheetId="22">'[2]Heat Production'!#REF!</definedName>
    <definedName name="åpkobrsfjv" localSheetId="23">'[2]Heat Production'!#REF!</definedName>
    <definedName name="åpkobrsfjv" localSheetId="24">'[2]Heat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spobrselc" localSheetId="22">'[2]Electricity Production'!#REF!</definedName>
    <definedName name="åspobrselc" localSheetId="23">'[2]Electricity Production'!#REF!</definedName>
    <definedName name="åspobrselc" localSheetId="24">'[2]Electricity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'[2]Gross Energy Consumption (obs.)'!#REF!</definedName>
    <definedName name="åudvraf" localSheetId="23">'[2]Gross Energy Consumption (obs.)'!#REF!</definedName>
    <definedName name="åudvraf" localSheetId="24">'[2]Gross Energy Consumption (obs.)'!#REF!</definedName>
    <definedName name="åudvraf" localSheetId="17">'[2]Gross Energy Consumption (obs.)'!#REF!</definedName>
    <definedName name="åudvraf">'[2]Gross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 name="BaseYear">[3]Start!$D$22</definedName>
    <definedName name="BiomassLargeCHP">[4]TechnologyData!$A$14:$M$41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[4]Subsidy!#REF!</definedName>
    <definedName name="ElPriceMix" localSheetId="23">[4]Subsidy!#REF!</definedName>
    <definedName name="ElPriceMix" localSheetId="24">[4]Subsidy!#REF!</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[3]Fuel!$T$12:$U$34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22">[4]General!#REF!</definedName>
    <definedName name="Inflation" localSheetId="23">[4]General!#REF!</definedName>
    <definedName name="Inflation" localSheetId="24">[4]General!#REF!</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22">[4]General!#REF!</definedName>
    <definedName name="nhydro" localSheetId="23">[4]General!#REF!</definedName>
    <definedName name="nhydro" localSheetId="24">[4]General!#REF!</definedName>
    <definedName name="nhydro" localSheetId="17">[4]General!#REF!</definedName>
    <definedName name="nhydro">[4]General!#REF!</definedName>
    <definedName name="NyeNGCC">[4]Plants!$J$5</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OffshoreWindPark">[4]TechnologyData!$O$43:$AA$70</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22">[14]Macro1!#REF!</definedName>
    <definedName name="RetBE" localSheetId="23">[14]Macro1!#REF!</definedName>
    <definedName name="RetBE" localSheetId="24">[14]Macro1!#REF!</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51" i="281" l="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65" i="246" l="1"/>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D64" i="246"/>
  <c r="E64" i="246"/>
  <c r="F64" i="246"/>
  <c r="G64" i="246"/>
  <c r="H64" i="246"/>
  <c r="I64" i="246"/>
  <c r="J64" i="246"/>
  <c r="K64" i="246"/>
  <c r="L64" i="246"/>
  <c r="M64" i="246"/>
  <c r="N64" i="246"/>
  <c r="O64" i="246"/>
  <c r="C64"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C41" i="246"/>
  <c r="D41" i="246"/>
  <c r="E41" i="246"/>
  <c r="F41" i="246"/>
  <c r="G41" i="246"/>
  <c r="H41" i="246"/>
  <c r="I41" i="246"/>
  <c r="J41" i="246"/>
  <c r="K41" i="246"/>
  <c r="L41" i="246"/>
  <c r="M41" i="246"/>
  <c r="N41" i="246"/>
  <c r="O41" i="246"/>
  <c r="C42" i="246"/>
  <c r="D42" i="246"/>
  <c r="E42" i="246"/>
  <c r="F42" i="246"/>
  <c r="G42" i="246"/>
  <c r="H42" i="246"/>
  <c r="I42" i="246"/>
  <c r="J42" i="246"/>
  <c r="K42" i="246"/>
  <c r="L42" i="246"/>
  <c r="M42" i="246"/>
  <c r="N42" i="246"/>
  <c r="O42" i="246"/>
  <c r="D38" i="246"/>
  <c r="E38" i="246"/>
  <c r="F38" i="246"/>
  <c r="G38" i="246"/>
  <c r="H38" i="246"/>
  <c r="I38" i="246"/>
  <c r="J38" i="246"/>
  <c r="K38" i="246"/>
  <c r="L38" i="246"/>
  <c r="M38" i="246"/>
  <c r="N38" i="246"/>
  <c r="O38" i="246"/>
  <c r="C38" i="246"/>
  <c r="C43" i="246"/>
  <c r="D43" i="246"/>
  <c r="E43" i="246"/>
  <c r="F43" i="246"/>
  <c r="G43" i="246"/>
  <c r="H43" i="246"/>
  <c r="I43" i="246"/>
  <c r="J43" i="246"/>
  <c r="K43" i="246"/>
  <c r="L43" i="246"/>
  <c r="M43" i="246"/>
  <c r="N43" i="246"/>
  <c r="O43" i="246"/>
  <c r="C44" i="246"/>
  <c r="D44" i="246"/>
  <c r="E44" i="246"/>
  <c r="F44" i="246"/>
  <c r="G44" i="246"/>
  <c r="H44" i="246"/>
  <c r="I44" i="246"/>
  <c r="J44" i="246"/>
  <c r="K44" i="246"/>
  <c r="L44" i="246"/>
  <c r="M44" i="246"/>
  <c r="N44" i="246"/>
  <c r="O44" i="246"/>
  <c r="R44" i="246"/>
  <c r="C45" i="246"/>
  <c r="D45" i="246"/>
  <c r="E45" i="246"/>
  <c r="F45" i="246"/>
  <c r="G45" i="246"/>
  <c r="H45" i="246"/>
  <c r="I45" i="246"/>
  <c r="J45" i="246"/>
  <c r="K45" i="246"/>
  <c r="L45" i="246"/>
  <c r="M45" i="246"/>
  <c r="N45" i="246"/>
  <c r="O45" i="246"/>
  <c r="C46" i="246"/>
  <c r="D46" i="246"/>
  <c r="E46" i="246"/>
  <c r="F46" i="246"/>
  <c r="G46" i="246"/>
  <c r="H46" i="246"/>
  <c r="I46" i="246"/>
  <c r="J46" i="246"/>
  <c r="K46" i="246"/>
  <c r="L46" i="246"/>
  <c r="M46" i="246"/>
  <c r="N46" i="246"/>
  <c r="O46"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15" i="246"/>
  <c r="C16" i="246"/>
  <c r="C17" i="246"/>
  <c r="C1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1" i="246"/>
  <c r="D61" i="246"/>
  <c r="E61" i="246"/>
  <c r="F61" i="246"/>
  <c r="G61" i="246"/>
  <c r="H61" i="246"/>
  <c r="I61" i="246"/>
  <c r="J61" i="246"/>
  <c r="K61" i="246"/>
  <c r="L61" i="246"/>
  <c r="M61" i="246"/>
  <c r="N61" i="246"/>
  <c r="O61" i="246"/>
  <c r="C62" i="246"/>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8" i="246"/>
  <c r="D68" i="246"/>
  <c r="E68" i="246"/>
  <c r="F68" i="246"/>
  <c r="G68" i="246"/>
  <c r="H68" i="246"/>
  <c r="I68" i="246"/>
  <c r="J68" i="246"/>
  <c r="K68" i="246"/>
  <c r="L68" i="246"/>
  <c r="M68" i="246"/>
  <c r="N68" i="246"/>
  <c r="O68" i="246"/>
  <c r="C69" i="246"/>
  <c r="D69" i="246"/>
  <c r="E69" i="246"/>
  <c r="F69" i="246"/>
  <c r="G69" i="246"/>
  <c r="H69" i="246"/>
  <c r="I69" i="246"/>
  <c r="J69" i="246"/>
  <c r="K69" i="246"/>
  <c r="L69" i="246"/>
  <c r="M69" i="246"/>
  <c r="N69" i="246"/>
  <c r="O69" i="246"/>
  <c r="C70" i="246"/>
  <c r="D70" i="246"/>
  <c r="E70" i="246"/>
  <c r="F70" i="246"/>
  <c r="G70" i="246"/>
  <c r="H70" i="246"/>
  <c r="I70" i="246"/>
  <c r="J70" i="246"/>
  <c r="K70" i="246"/>
  <c r="L70" i="246"/>
  <c r="M70" i="246"/>
  <c r="N70" i="246"/>
  <c r="O70" i="246"/>
  <c r="C71" i="246"/>
  <c r="D71" i="246"/>
  <c r="E71" i="246"/>
  <c r="F71" i="246"/>
  <c r="G71" i="246"/>
  <c r="H71" i="246"/>
  <c r="I71" i="246"/>
  <c r="J71" i="246"/>
  <c r="K71" i="246"/>
  <c r="L71" i="246"/>
  <c r="M71" i="246"/>
  <c r="N71" i="246"/>
  <c r="O71" i="246"/>
  <c r="C72" i="246"/>
  <c r="D72" i="246"/>
  <c r="E72" i="246"/>
  <c r="F72" i="246"/>
  <c r="G72" i="246"/>
  <c r="H72" i="246"/>
  <c r="I72" i="246"/>
  <c r="J72" i="246"/>
  <c r="K72" i="246"/>
  <c r="L72" i="246"/>
  <c r="M72" i="246"/>
  <c r="N72" i="246"/>
  <c r="O72" i="246"/>
  <c r="D55" i="246"/>
  <c r="E55" i="246"/>
  <c r="F55" i="246"/>
  <c r="G55" i="246"/>
  <c r="H55" i="246"/>
  <c r="I55" i="246"/>
  <c r="J55" i="246"/>
  <c r="K55" i="246"/>
  <c r="L55" i="246"/>
  <c r="M55" i="246"/>
  <c r="N55" i="246"/>
  <c r="O55" i="246"/>
  <c r="C55" i="246"/>
  <c r="C34" i="246"/>
  <c r="D34" i="246"/>
  <c r="E34" i="246"/>
  <c r="F34" i="246"/>
  <c r="G34" i="246"/>
  <c r="H34" i="246"/>
  <c r="I34" i="246"/>
  <c r="J34" i="246"/>
  <c r="K34" i="246"/>
  <c r="L34" i="246"/>
  <c r="M34" i="246"/>
  <c r="N34" i="246"/>
  <c r="O34" i="246"/>
  <c r="O10" i="246"/>
  <c r="N10" i="246"/>
  <c r="M10" i="246"/>
  <c r="L10" i="246"/>
  <c r="K10" i="246"/>
  <c r="J10" i="246"/>
  <c r="I10" i="246"/>
  <c r="H10" i="246"/>
  <c r="G10" i="246"/>
  <c r="F10" i="246"/>
  <c r="E10" i="246"/>
  <c r="D10" i="246"/>
  <c r="C10"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D33" i="246"/>
  <c r="E33" i="246"/>
  <c r="F33" i="246"/>
  <c r="G33" i="246"/>
  <c r="H33" i="246"/>
  <c r="I33" i="246"/>
  <c r="J33" i="246"/>
  <c r="K33" i="246"/>
  <c r="L33" i="246"/>
  <c r="M33" i="246"/>
  <c r="N33" i="246"/>
  <c r="O33" i="246"/>
  <c r="D35" i="246"/>
  <c r="E35" i="246"/>
  <c r="F35" i="246"/>
  <c r="G35" i="246"/>
  <c r="H35" i="246"/>
  <c r="I35" i="246"/>
  <c r="J35" i="246"/>
  <c r="K35" i="246"/>
  <c r="L35" i="246"/>
  <c r="M35" i="246"/>
  <c r="N35" i="246"/>
  <c r="O35" i="246"/>
  <c r="D36" i="246"/>
  <c r="E36" i="246"/>
  <c r="F36" i="246"/>
  <c r="G36" i="246"/>
  <c r="H36" i="246"/>
  <c r="I36" i="246"/>
  <c r="J36" i="246"/>
  <c r="K36" i="246"/>
  <c r="L36" i="246"/>
  <c r="M36" i="246"/>
  <c r="N36" i="246"/>
  <c r="O36" i="246"/>
  <c r="D37" i="246"/>
  <c r="E37" i="246"/>
  <c r="F37" i="246"/>
  <c r="G37" i="246"/>
  <c r="H37" i="246"/>
  <c r="I37" i="246"/>
  <c r="J37" i="246"/>
  <c r="K37" i="246"/>
  <c r="L37" i="246"/>
  <c r="M37" i="246"/>
  <c r="N37" i="246"/>
  <c r="O37" i="246"/>
  <c r="I47" i="246"/>
  <c r="C31" i="246"/>
  <c r="C32" i="246"/>
  <c r="C33" i="246"/>
  <c r="C35" i="246"/>
  <c r="C36" i="246"/>
  <c r="C37" i="246"/>
  <c r="C30" i="246"/>
  <c r="L47"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D21" i="246"/>
  <c r="E21" i="246"/>
  <c r="F21" i="246"/>
  <c r="G21" i="246"/>
  <c r="H21" i="246"/>
  <c r="I21" i="246"/>
  <c r="J21" i="246"/>
  <c r="K21" i="246"/>
  <c r="L21" i="246"/>
  <c r="M21" i="246"/>
  <c r="N21" i="246"/>
  <c r="O21" i="246"/>
  <c r="C6" i="246"/>
  <c r="C7" i="246"/>
  <c r="C8" i="246"/>
  <c r="C9" i="246"/>
  <c r="C11" i="246"/>
  <c r="C12" i="246"/>
  <c r="C13" i="246"/>
  <c r="C18" i="246"/>
  <c r="C19" i="246"/>
  <c r="C20" i="246"/>
  <c r="C21" i="246"/>
  <c r="C5" i="246"/>
  <c r="L23"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74" i="246"/>
  <c r="D74" i="246"/>
  <c r="E74" i="246"/>
  <c r="F74" i="246"/>
  <c r="G74" i="246"/>
  <c r="H74" i="246"/>
  <c r="I74" i="246"/>
  <c r="J74" i="246"/>
  <c r="K74" i="246"/>
  <c r="L74" i="246"/>
  <c r="M74" i="246"/>
  <c r="N74" i="246"/>
  <c r="O74" i="246"/>
  <c r="S52" i="281"/>
  <c r="S53" i="281"/>
  <c r="S54" i="281"/>
  <c r="S55" i="280"/>
  <c r="S54" i="280"/>
  <c r="S53" i="280"/>
  <c r="S52" i="280"/>
  <c r="S51" i="280"/>
  <c r="S50" i="280"/>
  <c r="S49" i="280"/>
  <c r="S48" i="280"/>
  <c r="S47" i="280"/>
  <c r="S46" i="280"/>
  <c r="S45" i="280"/>
  <c r="S44" i="280"/>
  <c r="S43" i="280"/>
  <c r="O49" i="246"/>
  <c r="N49" i="246"/>
  <c r="M49" i="246"/>
  <c r="L49" i="246"/>
  <c r="K49" i="246"/>
  <c r="J49" i="246"/>
  <c r="I49" i="246"/>
  <c r="H49" i="246"/>
  <c r="G49" i="246"/>
  <c r="F49" i="246"/>
  <c r="E49" i="246"/>
  <c r="D49" i="246"/>
  <c r="C49"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4" i="246"/>
  <c r="N24" i="246"/>
  <c r="M24" i="246"/>
  <c r="L24" i="246"/>
  <c r="K24" i="246"/>
  <c r="J24" i="246"/>
  <c r="I24" i="246"/>
  <c r="H24" i="246"/>
  <c r="G24" i="246"/>
  <c r="F24" i="246"/>
  <c r="E24" i="246"/>
  <c r="D24" i="246"/>
  <c r="C24"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47" i="246" l="1"/>
  <c r="G47" i="246"/>
  <c r="P66" i="246"/>
  <c r="P67" i="246"/>
  <c r="P65" i="246"/>
  <c r="P64" i="246"/>
  <c r="M47" i="246"/>
  <c r="P17" i="246"/>
  <c r="E47" i="246"/>
  <c r="P30" i="246"/>
  <c r="P42" i="246"/>
  <c r="P31" i="246"/>
  <c r="P38" i="246"/>
  <c r="P16" i="246"/>
  <c r="P39" i="246"/>
  <c r="P15" i="246"/>
  <c r="P40" i="246"/>
  <c r="P14" i="246"/>
  <c r="P41" i="246"/>
  <c r="P44" i="246"/>
  <c r="P45" i="246"/>
  <c r="P46" i="246"/>
  <c r="P43" i="246"/>
  <c r="H47" i="246"/>
  <c r="D47" i="246"/>
  <c r="F23" i="246"/>
  <c r="D73" i="246"/>
  <c r="P33" i="246"/>
  <c r="P36" i="246"/>
  <c r="I23" i="246"/>
  <c r="H23" i="246"/>
  <c r="D23" i="246"/>
  <c r="L48" i="246"/>
  <c r="D48" i="246"/>
  <c r="H48" i="246"/>
  <c r="O47" i="246"/>
  <c r="F73" i="246"/>
  <c r="G48" i="246"/>
  <c r="M73" i="246"/>
  <c r="I73" i="246"/>
  <c r="E73" i="246"/>
  <c r="P74" i="246"/>
  <c r="N47" i="246"/>
  <c r="J47" i="246"/>
  <c r="F47" i="246"/>
  <c r="P35" i="246"/>
  <c r="N48" i="246"/>
  <c r="J48" i="246"/>
  <c r="F48" i="246"/>
  <c r="P68" i="246"/>
  <c r="P60" i="246"/>
  <c r="P58" i="246"/>
  <c r="P56" i="246"/>
  <c r="P71" i="246"/>
  <c r="P63" i="246"/>
  <c r="P70" i="246"/>
  <c r="N73" i="246"/>
  <c r="J73" i="246"/>
  <c r="P62" i="246"/>
  <c r="P37" i="246"/>
  <c r="P32" i="246"/>
  <c r="O48" i="246"/>
  <c r="K48" i="246"/>
  <c r="P55" i="246"/>
  <c r="H73" i="246"/>
  <c r="P69" i="246"/>
  <c r="P61" i="246"/>
  <c r="P57" i="246"/>
  <c r="L73" i="246"/>
  <c r="G73" i="246"/>
  <c r="C73" i="246"/>
  <c r="O73" i="246"/>
  <c r="K73" i="246"/>
  <c r="E23" i="246"/>
  <c r="C22" i="246"/>
  <c r="C47" i="246"/>
  <c r="J23" i="246"/>
  <c r="P10" i="246"/>
  <c r="N22" i="246"/>
  <c r="J22" i="246"/>
  <c r="F22" i="246"/>
  <c r="M22" i="246"/>
  <c r="I22" i="246"/>
  <c r="E22" i="246"/>
  <c r="L22" i="246"/>
  <c r="H22" i="246"/>
  <c r="D22" i="246"/>
  <c r="O22" i="246"/>
  <c r="K22" i="246"/>
  <c r="G22" i="246"/>
  <c r="P24" i="246"/>
  <c r="K23" i="246"/>
  <c r="G23" i="246"/>
  <c r="P49" i="246"/>
  <c r="E48" i="246"/>
  <c r="M48" i="246"/>
  <c r="I48" i="246"/>
  <c r="C48" i="246"/>
  <c r="C23" i="246"/>
  <c r="U24" i="281"/>
  <c r="U22" i="281"/>
  <c r="U25" i="281"/>
  <c r="P11" i="246"/>
  <c r="P72" i="246" l="1"/>
  <c r="P73" i="246"/>
  <c r="P47" i="246"/>
  <c r="P48"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68" i="246"/>
  <c r="R19"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23" i="246"/>
  <c r="N23"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23" i="246"/>
  <c r="P12" i="246"/>
  <c r="P13" i="246"/>
  <c r="P6" i="246"/>
  <c r="P7" i="246"/>
  <c r="P9" i="246"/>
  <c r="P8" i="246"/>
  <c r="P20" i="246"/>
  <c r="P21"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8"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85" i="249"/>
  <c r="G57"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8" i="249"/>
  <c r="G22" i="249"/>
  <c r="G92" i="249"/>
  <c r="G71" i="249"/>
  <c r="G36" i="249"/>
  <c r="G78" i="249"/>
  <c r="G64" i="249"/>
  <c r="E118" i="249"/>
  <c r="G43" i="249"/>
  <c r="G15"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F118" i="249"/>
  <c r="G153" i="249"/>
  <c r="G160" i="249"/>
  <c r="G11" i="249"/>
  <c r="G80" i="249"/>
  <c r="G87" i="249"/>
  <c r="G139" i="249"/>
  <c r="G10" i="249"/>
  <c r="F133" i="249"/>
  <c r="G60" i="249"/>
  <c r="G247" i="249"/>
  <c r="F125" i="249"/>
  <c r="G54" i="249"/>
  <c r="G125" i="249"/>
  <c r="F119" i="249"/>
  <c r="G118"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F19" i="249"/>
  <c r="G187" i="249"/>
  <c r="G19" i="249"/>
  <c r="G132" i="249"/>
  <c r="G161" i="249"/>
  <c r="G40" i="249"/>
  <c r="E33" i="249"/>
  <c r="G194" i="249"/>
  <c r="G116" i="249"/>
  <c r="F241" i="249"/>
  <c r="F13" i="249"/>
  <c r="G123" i="249"/>
  <c r="F212" i="249"/>
  <c r="G68" i="249"/>
  <c r="G59" i="249"/>
  <c r="G181" i="249"/>
  <c r="G276" i="249"/>
  <c r="F219" i="249"/>
  <c r="E226" i="249"/>
  <c r="G33" i="249"/>
  <c r="G111" i="249"/>
  <c r="E113" i="249"/>
  <c r="G32" i="249"/>
  <c r="F112" i="249"/>
  <c r="G122" i="249"/>
  <c r="F10" i="249"/>
  <c r="G113" i="249"/>
  <c r="G74" i="249"/>
  <c r="E111" i="249"/>
  <c r="G241" i="249"/>
  <c r="G248" i="249"/>
  <c r="G31" i="249"/>
  <c r="F132" i="249"/>
  <c r="G117" i="249"/>
  <c r="E227" i="249"/>
  <c r="E134" i="249"/>
  <c r="G193" i="249"/>
  <c r="G124" i="249"/>
  <c r="G73" i="249"/>
  <c r="G158" i="249"/>
  <c r="E19" i="249"/>
  <c r="E32" i="249"/>
  <c r="G26" i="249"/>
  <c r="G186" i="249"/>
  <c r="E219" i="249"/>
  <c r="E10" i="249"/>
  <c r="G268" i="249"/>
  <c r="G47" i="249"/>
  <c r="E139" i="249"/>
  <c r="G144" i="249"/>
  <c r="E233" i="249"/>
  <c r="F226" i="249"/>
  <c r="G220" i="249"/>
  <c r="G219" i="249"/>
  <c r="G227" i="249"/>
  <c r="G234" i="249"/>
  <c r="G133" i="249"/>
  <c r="E20" i="249"/>
  <c r="G262" i="249"/>
  <c r="E40" i="249"/>
  <c r="E12" i="249"/>
  <c r="G129" i="249"/>
  <c r="G233" i="249"/>
  <c r="G226" i="249"/>
  <c r="G261" i="249"/>
  <c r="E234" i="249"/>
  <c r="E120" i="249"/>
  <c r="G213" i="249"/>
  <c r="G12" i="249"/>
  <c r="G195" i="249"/>
  <c r="G131" i="249"/>
  <c r="G75" i="249"/>
  <c r="E240" i="249"/>
  <c r="E133" i="249"/>
  <c r="G145" i="249"/>
  <c r="G269" i="249"/>
  <c r="F220" i="249"/>
  <c r="E119" i="249"/>
  <c r="G173" i="249"/>
  <c r="G212" i="249"/>
  <c r="G159" i="249"/>
  <c r="G182" i="249"/>
  <c r="F12" i="249"/>
  <c r="E26" i="249"/>
  <c r="G154" i="249"/>
  <c r="G240" i="249"/>
  <c r="G168" i="249"/>
  <c r="G112" i="249"/>
  <c r="E212" i="249"/>
  <c r="G167" i="249"/>
  <c r="F126" i="249"/>
  <c r="G140" i="249"/>
  <c r="E126" i="249"/>
  <c r="G152" i="249"/>
  <c r="G172" i="249"/>
  <c r="E140" i="249"/>
  <c r="E220" i="249"/>
  <c r="G115" i="249"/>
  <c r="G275" i="249"/>
  <c r="G151" i="249"/>
  <c r="G96" i="249"/>
  <c r="G88" i="249"/>
  <c r="G189" i="249"/>
  <c r="F120" i="249"/>
  <c r="F26" i="249"/>
  <c r="F113" i="249"/>
  <c r="E241" i="249"/>
  <c r="E213" i="249"/>
  <c r="G81" i="249"/>
  <c r="E141" i="249"/>
  <c r="G126" i="249"/>
  <c r="G175" i="249"/>
  <c r="G188" i="249"/>
  <c r="F139" i="249"/>
  <c r="F140" i="249"/>
  <c r="E132" i="249"/>
  <c r="E125" i="249"/>
  <c r="E112" i="249"/>
  <c r="E13" i="249"/>
  <c r="G196" i="249"/>
  <c r="G130" i="249"/>
  <c r="F233" i="249"/>
  <c r="G147" i="249"/>
  <c r="F227" i="249"/>
  <c r="F111" i="249"/>
  <c r="G61" i="249"/>
  <c r="G146" i="249"/>
  <c r="F234" i="249"/>
  <c r="E127" i="249"/>
  <c r="G119"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F138" i="249"/>
  <c r="G69" i="249"/>
  <c r="F247" i="249"/>
  <c r="E135" i="249"/>
  <c r="F32" i="249"/>
  <c r="G249" i="249"/>
  <c r="G138" i="249"/>
  <c r="G242" i="249"/>
  <c r="F248" i="249"/>
  <c r="G67" i="249"/>
  <c r="E148" i="249"/>
  <c r="G176" i="249"/>
  <c r="F121" i="249"/>
  <c r="G197" i="249"/>
  <c r="E31" i="249"/>
  <c r="F147" i="249"/>
  <c r="G66" i="249"/>
  <c r="E222" i="249"/>
  <c r="E239" i="249"/>
  <c r="F33" i="249"/>
  <c r="G76" i="249"/>
  <c r="F240" i="249"/>
  <c r="G137" i="249"/>
  <c r="G109" i="249"/>
  <c r="F225" i="249"/>
  <c r="F214" i="249"/>
  <c r="G232" i="249"/>
  <c r="G165" i="249"/>
  <c r="G62" i="249"/>
  <c r="E247" i="249"/>
  <c r="G27" i="249"/>
  <c r="G13" i="249"/>
  <c r="G83" i="249"/>
  <c r="G235" i="249"/>
  <c r="G141" i="249"/>
  <c r="G229" i="249"/>
  <c r="F127" i="249"/>
  <c r="G222" i="249"/>
  <c r="G30" i="249"/>
  <c r="G148" i="249"/>
  <c r="G97" i="249"/>
  <c r="G263" i="249"/>
  <c r="E229" i="249"/>
  <c r="G217" i="249"/>
  <c r="E248" i="249"/>
  <c r="G218" i="249"/>
  <c r="G179" i="249"/>
  <c r="G41" i="249"/>
  <c r="F146" i="249"/>
  <c r="F114" i="249"/>
  <c r="G223" i="249"/>
  <c r="E147" i="249"/>
  <c r="G239" i="249"/>
  <c r="G134" i="249"/>
  <c r="G274" i="249"/>
  <c r="F20" i="249"/>
  <c r="G108" i="249"/>
  <c r="E142" i="249"/>
  <c r="G238" i="249"/>
  <c r="G28" i="249"/>
  <c r="G216" i="249"/>
  <c r="G34" i="249"/>
  <c r="E146" i="249"/>
  <c r="E108" i="249"/>
  <c r="G55" i="249"/>
  <c r="G237" i="249"/>
  <c r="E228" i="249"/>
  <c r="G20" i="249"/>
  <c r="G82" i="249"/>
  <c r="F31" i="249"/>
  <c r="G190" i="249"/>
  <c r="G127" i="249"/>
  <c r="G136" i="249"/>
  <c r="G110" i="249"/>
  <c r="G277" i="249"/>
  <c r="G291" i="249"/>
  <c r="F221" i="249"/>
  <c r="G231" i="249"/>
  <c r="G183" i="249"/>
  <c r="E221" i="249"/>
  <c r="G166" i="249"/>
  <c r="E235" i="249"/>
  <c r="E138" i="249"/>
  <c r="G273" i="249"/>
  <c r="G230" i="249"/>
  <c r="G228" i="249"/>
  <c r="G90" i="249"/>
  <c r="G79" i="249"/>
  <c r="E149" i="249"/>
  <c r="E225" i="249"/>
  <c r="G48" i="249"/>
  <c r="E128" i="249"/>
  <c r="G155" i="249"/>
  <c r="E114" i="249"/>
  <c r="G162" i="249"/>
  <c r="G180" i="249"/>
  <c r="G225" i="249"/>
  <c r="E27" i="249"/>
  <c r="E121" i="249"/>
  <c r="F213" i="249"/>
  <c r="G214" i="249"/>
  <c r="G169" i="249"/>
  <c r="G143" i="249"/>
  <c r="F239" i="249"/>
  <c r="G224" i="249"/>
  <c r="G270" i="249"/>
  <c r="G120"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E30" i="249"/>
  <c r="E131" i="249"/>
  <c r="F144" i="249"/>
  <c r="G86" i="249"/>
  <c r="G45" i="249"/>
  <c r="F216" i="249"/>
  <c r="AF10" i="232"/>
  <c r="AF8" i="232"/>
  <c r="AF17" i="232"/>
  <c r="E242" i="249"/>
  <c r="E11" i="249"/>
  <c r="F131" i="249"/>
  <c r="E223" i="249"/>
  <c r="G282" i="249"/>
  <c r="AF13" i="232"/>
  <c r="E232" i="249"/>
  <c r="G264" i="249"/>
  <c r="G44" i="249"/>
  <c r="F130" i="249"/>
  <c r="G287" i="249"/>
  <c r="E237" i="249"/>
  <c r="G177" i="249"/>
  <c r="G142" i="249"/>
  <c r="F215" i="249"/>
  <c r="G245" i="249"/>
  <c r="G18" i="249"/>
  <c r="F224" i="249"/>
  <c r="G236" i="249"/>
  <c r="G128" i="249"/>
  <c r="G157" i="249"/>
  <c r="G280" i="249"/>
  <c r="AF7" i="232"/>
  <c r="F222" i="249"/>
  <c r="E217" i="249"/>
  <c r="S9" i="232"/>
  <c r="G271" i="249"/>
  <c r="S10" i="232"/>
  <c r="G278" i="249"/>
  <c r="F60" i="249"/>
  <c r="AF16" i="232"/>
  <c r="E34" i="249"/>
  <c r="G209" i="249"/>
  <c r="G72" i="249"/>
  <c r="G46" i="249"/>
  <c r="AF6" i="232"/>
  <c r="F43" i="249"/>
  <c r="G39" i="249"/>
  <c r="E230" i="249"/>
  <c r="G246" i="249"/>
  <c r="E15" i="249"/>
  <c r="G184" i="249"/>
  <c r="G135" i="249"/>
  <c r="F232" i="249"/>
  <c r="AF9" i="232"/>
  <c r="G250" i="249"/>
  <c r="G259" i="249"/>
  <c r="S13" i="232"/>
  <c r="F210" i="249"/>
  <c r="F223" i="249"/>
  <c r="G65" i="249"/>
  <c r="E156" i="249"/>
  <c r="G89" i="249"/>
  <c r="F137" i="249"/>
  <c r="G156" i="249"/>
  <c r="E215" i="249"/>
  <c r="E238" i="249"/>
  <c r="G163" i="249"/>
  <c r="F238" i="249"/>
  <c r="G121" i="249"/>
  <c r="F29" i="249"/>
  <c r="G221" i="249"/>
  <c r="E211" i="249"/>
  <c r="E60" i="249"/>
  <c r="G17" i="249"/>
  <c r="G298" i="249"/>
  <c r="F11" i="249"/>
  <c r="F27" i="249"/>
  <c r="E218" i="249"/>
  <c r="F231" i="249"/>
  <c r="E153" i="249"/>
  <c r="G170" i="249"/>
  <c r="E210" i="249"/>
  <c r="F217" i="249"/>
  <c r="F230" i="249"/>
  <c r="G284" i="249"/>
  <c r="E214" i="249"/>
  <c r="G198" i="249"/>
  <c r="E236" i="249"/>
  <c r="S14" i="232"/>
  <c r="G260" i="249"/>
  <c r="F228" i="249"/>
  <c r="AF14" i="232"/>
  <c r="S7" i="232"/>
  <c r="E59" i="249"/>
  <c r="G299" i="249"/>
  <c r="AF15" i="232"/>
  <c r="G243" i="249"/>
  <c r="G258" i="249"/>
  <c r="E216" i="249"/>
  <c r="F136" i="249"/>
  <c r="E155" i="249"/>
  <c r="F246" i="249"/>
  <c r="G285" i="249"/>
  <c r="F153" i="249"/>
  <c r="E224" i="249"/>
  <c r="G283" i="249"/>
  <c r="G292" i="249"/>
  <c r="G290" i="249"/>
  <c r="F237" i="249"/>
  <c r="F211" i="249"/>
  <c r="G149" i="249"/>
  <c r="S16" i="232"/>
  <c r="E246" i="249"/>
  <c r="S17" i="232"/>
  <c r="S11" i="232"/>
  <c r="AF11" i="232"/>
  <c r="E154" i="249"/>
  <c r="S6" i="232"/>
  <c r="F218" i="249"/>
  <c r="AF12" i="232"/>
  <c r="S12" i="232"/>
  <c r="F128" i="249"/>
  <c r="F245" i="249"/>
  <c r="F59" i="249"/>
  <c r="F30" i="249"/>
  <c r="F40" i="249"/>
  <c r="G16" i="249"/>
  <c r="G38" i="249"/>
  <c r="E43" i="249"/>
  <c r="G256" i="249"/>
  <c r="G267" i="249"/>
  <c r="E231" i="249"/>
  <c r="G266" i="249"/>
  <c r="S8" i="232"/>
  <c r="F134" i="249"/>
  <c r="F154" i="249"/>
  <c r="G191" i="249"/>
  <c r="G244" i="249"/>
  <c r="G114" i="249"/>
  <c r="S15" i="232"/>
  <c r="G289" i="249"/>
  <c r="G257" i="249"/>
  <c r="G211" i="249"/>
  <c r="G210" i="249"/>
  <c r="E245"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E161" i="249"/>
  <c r="F67" i="249"/>
  <c r="X6" i="232"/>
  <c r="F157" i="249"/>
  <c r="AB8" i="232"/>
  <c r="F141" i="249"/>
  <c r="AC15" i="232"/>
  <c r="O10" i="232"/>
  <c r="AG8" i="232"/>
  <c r="O7" i="232"/>
  <c r="AC17" i="232"/>
  <c r="AI9" i="232"/>
  <c r="V16" i="232"/>
  <c r="AG15" i="232"/>
  <c r="G14" i="249"/>
  <c r="E18" i="249"/>
  <c r="AK8" i="232"/>
  <c r="AI16" i="232"/>
  <c r="AK14" i="232"/>
  <c r="F45" i="249"/>
  <c r="AK6" i="232"/>
  <c r="P16" i="232"/>
  <c r="V10" i="232"/>
  <c r="F129" i="249"/>
  <c r="F229" i="249"/>
  <c r="F262" i="249"/>
  <c r="T8" i="232"/>
  <c r="AB11" i="232"/>
  <c r="X7" i="232"/>
  <c r="AI13" i="232"/>
  <c r="T12" i="232"/>
  <c r="F34" i="249"/>
  <c r="F258" i="249"/>
  <c r="X14" i="232"/>
  <c r="T16" i="232"/>
  <c r="E162" i="249"/>
  <c r="P10" i="232"/>
  <c r="X12" i="232"/>
  <c r="F36" i="249"/>
  <c r="F160" i="249"/>
  <c r="AI6" i="232"/>
  <c r="P8" i="232"/>
  <c r="E136" i="249"/>
  <c r="AI17" i="232"/>
  <c r="AK12" i="232"/>
  <c r="F158" i="249"/>
  <c r="AI15" i="232"/>
  <c r="E47" i="249"/>
  <c r="F46" i="249"/>
  <c r="X16" i="232"/>
  <c r="G24" i="249"/>
  <c r="F39" i="249"/>
  <c r="F260" i="249"/>
  <c r="F16" i="249"/>
  <c r="G164" i="249"/>
  <c r="AG13" i="232"/>
  <c r="G63" i="249"/>
  <c r="F259" i="249"/>
  <c r="O6" i="232"/>
  <c r="T6" i="232"/>
  <c r="E157" i="249"/>
  <c r="E44" i="249"/>
  <c r="AK11" i="232"/>
  <c r="AK7" i="232"/>
  <c r="E129" i="249"/>
  <c r="E39" i="249"/>
  <c r="G215" i="249"/>
  <c r="E262" i="249"/>
  <c r="E46" i="249"/>
  <c r="AK16" i="232"/>
  <c r="V9" i="232"/>
  <c r="F135" i="249"/>
  <c r="O12" i="232"/>
  <c r="O11" i="232"/>
  <c r="T17" i="232"/>
  <c r="O13" i="232"/>
  <c r="G37" i="249"/>
  <c r="AG6" i="232"/>
  <c r="AI11" i="232"/>
  <c r="V12" i="232"/>
  <c r="V6" i="232"/>
  <c r="AI8" i="232"/>
  <c r="P13" i="232"/>
  <c r="P11" i="232"/>
  <c r="E158" i="249"/>
  <c r="T15" i="232"/>
  <c r="AI10" i="232"/>
  <c r="O17" i="232"/>
  <c r="AB13" i="232"/>
  <c r="E16" i="249"/>
  <c r="E64" i="249"/>
  <c r="F261" i="249"/>
  <c r="AI7" i="232"/>
  <c r="AG11" i="232"/>
  <c r="E17" i="249"/>
  <c r="F17" i="249"/>
  <c r="AG7" i="232"/>
  <c r="E160" i="249"/>
  <c r="E244" i="249"/>
  <c r="AC9" i="232"/>
  <c r="AB12" i="232"/>
  <c r="X15" i="232"/>
  <c r="P9" i="232"/>
  <c r="F15" i="249"/>
  <c r="F18" i="249"/>
  <c r="O14" i="232"/>
  <c r="E130" i="249"/>
  <c r="P17" i="232"/>
  <c r="E260" i="249"/>
  <c r="E38" i="249"/>
  <c r="T10" i="232"/>
  <c r="AG12" i="232"/>
  <c r="AK17" i="232"/>
  <c r="AG17" i="232"/>
  <c r="AK13" i="232"/>
  <c r="V15" i="232"/>
  <c r="AB9" i="232"/>
  <c r="F209" i="249"/>
  <c r="F117" i="249"/>
  <c r="E137" i="249"/>
  <c r="G23" i="249"/>
  <c r="X13" i="232"/>
  <c r="E29" i="249"/>
  <c r="F44" i="249"/>
  <c r="P6" i="232"/>
  <c r="V17" i="232"/>
  <c r="AC11" i="232"/>
  <c r="E249" i="249"/>
  <c r="AC13" i="232"/>
  <c r="E163" i="249"/>
  <c r="X17" i="232"/>
  <c r="AI14" i="232"/>
  <c r="F145" i="249"/>
  <c r="AC6" i="232"/>
  <c r="F65" i="249"/>
  <c r="E259" i="249"/>
  <c r="AB16" i="232"/>
  <c r="E261" i="249"/>
  <c r="P216" i="249"/>
  <c r="G281" i="249"/>
  <c r="AG10" i="232"/>
  <c r="O8" i="232"/>
  <c r="AB14" i="232"/>
  <c r="X8" i="232"/>
  <c r="E243" i="249"/>
  <c r="T9" i="232"/>
  <c r="X10" i="232"/>
  <c r="F244" i="249"/>
  <c r="V8" i="232"/>
  <c r="AG14" i="232"/>
  <c r="T14" i="232"/>
  <c r="O9" i="232"/>
  <c r="P15" i="232"/>
  <c r="E54" i="249"/>
  <c r="AK15" i="232"/>
  <c r="E65" i="249"/>
  <c r="AC10" i="232"/>
  <c r="E66" i="249"/>
  <c r="AK10" i="232"/>
  <c r="G25" i="249"/>
  <c r="AC12" i="232"/>
  <c r="V11" i="232"/>
  <c r="E159" i="249"/>
  <c r="F64" i="249"/>
  <c r="X9" i="232"/>
  <c r="AB6" i="232"/>
  <c r="X11" i="232"/>
  <c r="AC16" i="232"/>
  <c r="E144" i="249"/>
  <c r="G42" i="249"/>
  <c r="O15" i="232"/>
  <c r="T13" i="232"/>
  <c r="AB15" i="232"/>
  <c r="AK9" i="232"/>
  <c r="E36" i="249"/>
  <c r="F47" i="249"/>
  <c r="F116" i="249"/>
  <c r="E258" i="249"/>
  <c r="AC7" i="232"/>
  <c r="G265" i="249"/>
  <c r="T7" i="232"/>
  <c r="O16" i="232"/>
  <c r="V7" i="232"/>
  <c r="AC8" i="232"/>
  <c r="AI12" i="232"/>
  <c r="F66" i="249"/>
  <c r="AB7" i="232"/>
  <c r="F28" i="249"/>
  <c r="F161" i="249"/>
  <c r="P7" i="232"/>
  <c r="AB17" i="232"/>
  <c r="AG9" i="232"/>
  <c r="P14" i="232"/>
  <c r="F38" i="249"/>
  <c r="F235" i="249"/>
  <c r="V13" i="232"/>
  <c r="E67" i="249"/>
  <c r="AG16" i="232"/>
  <c r="V14" i="232"/>
  <c r="F159" i="249"/>
  <c r="P12" i="232"/>
  <c r="AC14" i="232"/>
  <c r="AB10" i="232"/>
  <c r="T11" i="232"/>
  <c r="E45" i="249"/>
  <c r="G288" i="249"/>
  <c r="E209"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AH15" i="232"/>
  <c r="AJ7" i="232"/>
  <c r="F123" i="249"/>
  <c r="W8" i="232"/>
  <c r="E28" i="249"/>
  <c r="F165" i="249"/>
  <c r="E265" i="249"/>
  <c r="E63" i="249"/>
  <c r="U15" i="232"/>
  <c r="W9" i="232"/>
  <c r="W14" i="232"/>
  <c r="E61" i="249"/>
  <c r="F242" i="249"/>
  <c r="E74" i="249"/>
  <c r="F166" i="249"/>
  <c r="AH14" i="232"/>
  <c r="W16" i="232"/>
  <c r="U7" i="232"/>
  <c r="F148" i="249"/>
  <c r="G294" i="249"/>
  <c r="AH10" i="232"/>
  <c r="AJ13" i="232"/>
  <c r="AH16" i="232"/>
  <c r="E267" i="249"/>
  <c r="AJ14" i="232"/>
  <c r="F167" i="249"/>
  <c r="E164" i="249"/>
  <c r="G296" i="249"/>
  <c r="P129" i="249"/>
  <c r="U17" i="232"/>
  <c r="G21" i="249"/>
  <c r="E117" i="249"/>
  <c r="AH7" i="232"/>
  <c r="G35" i="249"/>
  <c r="W13" i="232"/>
  <c r="E255" i="249"/>
  <c r="AH13" i="232"/>
  <c r="F266" i="249"/>
  <c r="W12" i="232"/>
  <c r="F70" i="249"/>
  <c r="AJ11" i="232"/>
  <c r="AJ6" i="232"/>
  <c r="AH11" i="232"/>
  <c r="AH8" i="232"/>
  <c r="F255" i="249"/>
  <c r="F142" i="249"/>
  <c r="F71" i="249"/>
  <c r="E167" i="249"/>
  <c r="F164" i="249"/>
  <c r="AJ15" i="232"/>
  <c r="W7" i="232"/>
  <c r="F73" i="249"/>
  <c r="E166" i="249"/>
  <c r="E73" i="249"/>
  <c r="E145" i="249"/>
  <c r="G171" i="249"/>
  <c r="AJ10" i="232"/>
  <c r="U9" i="232"/>
  <c r="E41" i="249"/>
  <c r="U10" i="232"/>
  <c r="AH17" i="232"/>
  <c r="E256" i="249"/>
  <c r="E169" i="249"/>
  <c r="W10" i="232"/>
  <c r="E22" i="249"/>
  <c r="F24" i="249"/>
  <c r="F37" i="249"/>
  <c r="F265" i="249"/>
  <c r="E37" i="249"/>
  <c r="E70" i="249"/>
  <c r="F268" i="249"/>
  <c r="P209" i="249"/>
  <c r="AJ8" i="232"/>
  <c r="F22" i="249"/>
  <c r="F63" i="249"/>
  <c r="W17" i="232"/>
  <c r="AJ17" i="232"/>
  <c r="E254" i="249"/>
  <c r="U11" i="232"/>
  <c r="G297" i="249"/>
  <c r="E168" i="249"/>
  <c r="E165" i="249"/>
  <c r="E250" i="249"/>
  <c r="E25" i="249"/>
  <c r="G252" i="249"/>
  <c r="E252" i="249"/>
  <c r="U16" i="232"/>
  <c r="AJ12" i="232"/>
  <c r="E268" i="249"/>
  <c r="E116" i="249"/>
  <c r="U13" i="232"/>
  <c r="U12" i="232"/>
  <c r="G272" i="249"/>
  <c r="F168" i="249"/>
  <c r="AJ9" i="232"/>
  <c r="W11" i="232"/>
  <c r="F72" i="249"/>
  <c r="E48" i="249"/>
  <c r="W6" i="232"/>
  <c r="E269" i="249"/>
  <c r="E266" i="249"/>
  <c r="G70" i="249"/>
  <c r="W15" i="232"/>
  <c r="U14" i="232"/>
  <c r="AJ16" i="232"/>
  <c r="AH6" i="232"/>
  <c r="E24" i="249"/>
  <c r="F252" i="249"/>
  <c r="F25" i="249"/>
  <c r="U8" i="232"/>
  <c r="U6" i="232"/>
  <c r="P223" i="249"/>
  <c r="AH12" i="232"/>
  <c r="G254" i="249"/>
  <c r="AH9" i="232"/>
  <c r="E170" i="249"/>
  <c r="F267" i="249"/>
  <c r="F236" i="249"/>
  <c r="G255" i="249"/>
  <c r="E71" i="249"/>
  <c r="F254" i="249"/>
  <c r="F74" i="249"/>
  <c r="F269" i="249"/>
  <c r="E72"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M7" i="232"/>
  <c r="M14" i="232"/>
  <c r="M9" i="232"/>
  <c r="F276" i="249"/>
  <c r="F173" i="249"/>
  <c r="Z14" i="232"/>
  <c r="AD8" i="232"/>
  <c r="M13" i="232"/>
  <c r="Q7" i="232"/>
  <c r="G95" i="249"/>
  <c r="AD11" i="232"/>
  <c r="Z6" i="232"/>
  <c r="M11" i="232"/>
  <c r="Z17" i="232"/>
  <c r="F149" i="249"/>
  <c r="F115" i="249"/>
  <c r="F274" i="249"/>
  <c r="F249" i="249"/>
  <c r="Z10" i="232"/>
  <c r="F77" i="249"/>
  <c r="Q13" i="232"/>
  <c r="P136" i="249"/>
  <c r="F273" i="249"/>
  <c r="P28" i="249"/>
  <c r="Z15" i="232"/>
  <c r="E176" i="249"/>
  <c r="Z7" i="232"/>
  <c r="Z12" i="232"/>
  <c r="E173" i="249"/>
  <c r="M6" i="232"/>
  <c r="E274" i="249"/>
  <c r="Z16" i="232"/>
  <c r="E77" i="249"/>
  <c r="E81" i="249"/>
  <c r="E172" i="249"/>
  <c r="E55" i="249"/>
  <c r="E257" i="249"/>
  <c r="G251" i="249"/>
  <c r="AD7" i="232"/>
  <c r="Z8" i="232"/>
  <c r="G253" i="249"/>
  <c r="F81" i="249"/>
  <c r="Z13" i="232"/>
  <c r="E253" i="249"/>
  <c r="Q9" i="232"/>
  <c r="AD17" i="232"/>
  <c r="AD9" i="232"/>
  <c r="E23" i="249"/>
  <c r="Q10" i="232"/>
  <c r="E175" i="249"/>
  <c r="AD10" i="232"/>
  <c r="Q15" i="232"/>
  <c r="Q8" i="232"/>
  <c r="F253" i="249"/>
  <c r="E263" i="249"/>
  <c r="E171" i="249"/>
  <c r="Z9" i="232"/>
  <c r="F171" i="249"/>
  <c r="M12" i="232"/>
  <c r="F79" i="249"/>
  <c r="F14" i="249"/>
  <c r="AD14" i="232"/>
  <c r="M16" i="232"/>
  <c r="AD15" i="232"/>
  <c r="P230" i="249"/>
  <c r="F124" i="249"/>
  <c r="M15" i="232"/>
  <c r="Z11" i="232"/>
  <c r="G178" i="249"/>
  <c r="Q16" i="232"/>
  <c r="F78" i="249"/>
  <c r="E79" i="249"/>
  <c r="F155" i="249"/>
  <c r="E177" i="249"/>
  <c r="F143" i="249"/>
  <c r="M10" i="232"/>
  <c r="F61" i="249"/>
  <c r="G295" i="249"/>
  <c r="M8" i="232"/>
  <c r="F175" i="249"/>
  <c r="G94" i="249"/>
  <c r="F174" i="249"/>
  <c r="F54" i="249"/>
  <c r="E272" i="249"/>
  <c r="F275" i="249"/>
  <c r="Q14" i="232"/>
  <c r="E35" i="249"/>
  <c r="Q11" i="232"/>
  <c r="F172" i="249"/>
  <c r="E42" i="249"/>
  <c r="F243" i="249"/>
  <c r="F80" i="249"/>
  <c r="E123" i="249"/>
  <c r="F272" i="249"/>
  <c r="AD16" i="232"/>
  <c r="G279" i="249"/>
  <c r="F41" i="249"/>
  <c r="Q17" i="232"/>
  <c r="Q12" i="232"/>
  <c r="E276" i="249"/>
  <c r="E68" i="249"/>
  <c r="E174" i="249"/>
  <c r="E78" i="249"/>
  <c r="AD6" i="232"/>
  <c r="E80" i="249"/>
  <c r="F35" i="249"/>
  <c r="AD13" i="232"/>
  <c r="E275" i="249"/>
  <c r="F42" i="249"/>
  <c r="E14" i="249"/>
  <c r="M17" i="232"/>
  <c r="E273" i="249"/>
  <c r="F23" i="249"/>
  <c r="AD12" i="232"/>
  <c r="F48" i="249"/>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N15" i="232"/>
  <c r="N10" i="232"/>
  <c r="E115" i="249"/>
  <c r="AA16" i="232"/>
  <c r="E178" i="249"/>
  <c r="F279" i="249"/>
  <c r="AA8" i="232"/>
  <c r="AA13" i="232"/>
  <c r="E270" i="249"/>
  <c r="N11" i="232"/>
  <c r="AA15" i="232"/>
  <c r="F179" i="249"/>
  <c r="E279" i="249"/>
  <c r="E21" i="249"/>
  <c r="F55" i="249"/>
  <c r="N8" i="232"/>
  <c r="E282" i="249"/>
  <c r="F182" i="249"/>
  <c r="N12" i="232"/>
  <c r="AA17" i="232"/>
  <c r="P35" i="249"/>
  <c r="E88" i="249"/>
  <c r="G84" i="249"/>
  <c r="F283" i="249"/>
  <c r="E143" i="249"/>
  <c r="G52" i="249"/>
  <c r="P237" i="249"/>
  <c r="E124" i="249"/>
  <c r="F88" i="249"/>
  <c r="E180" i="249"/>
  <c r="F180" i="249"/>
  <c r="E184" i="249"/>
  <c r="E283" i="249"/>
  <c r="E281" i="249"/>
  <c r="F281" i="249"/>
  <c r="G185" i="249"/>
  <c r="AA10" i="232"/>
  <c r="N16" i="232"/>
  <c r="N14" i="232"/>
  <c r="E86" i="249"/>
  <c r="E181" i="249"/>
  <c r="F86" i="249"/>
  <c r="AA12" i="232"/>
  <c r="G192" i="249"/>
  <c r="N9" i="232"/>
  <c r="AA11" i="232"/>
  <c r="E85" i="249"/>
  <c r="E182" i="249"/>
  <c r="E251" i="249"/>
  <c r="F21" i="249"/>
  <c r="N13" i="232"/>
  <c r="N7" i="232"/>
  <c r="F282" i="249"/>
  <c r="AA6" i="232"/>
  <c r="AA9" i="232"/>
  <c r="F85" i="249"/>
  <c r="E280" i="249"/>
  <c r="F87" i="249"/>
  <c r="P42" i="249"/>
  <c r="E84" i="249"/>
  <c r="F84" i="249"/>
  <c r="G293" i="249"/>
  <c r="G93" i="249"/>
  <c r="G286" i="249"/>
  <c r="F122" i="249"/>
  <c r="AA14" i="232"/>
  <c r="E87" i="249"/>
  <c r="F178" i="249"/>
  <c r="N17" i="232"/>
  <c r="P14" i="249"/>
  <c r="F162" i="249"/>
  <c r="E179" i="249"/>
  <c r="AA7" i="232"/>
  <c r="E264" i="249"/>
  <c r="F280" i="249"/>
  <c r="F256" i="249"/>
  <c r="N6" i="232"/>
  <c r="G51" i="249"/>
  <c r="E183" i="249"/>
  <c r="G53" i="249"/>
  <c r="F181"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E186" i="249"/>
  <c r="E190" i="249"/>
  <c r="E271" i="249"/>
  <c r="E122" i="249"/>
  <c r="E82" i="249"/>
  <c r="P143" i="249"/>
  <c r="E69" i="249"/>
  <c r="F287" i="249"/>
  <c r="F156" i="249"/>
  <c r="F188" i="249"/>
  <c r="E189" i="249"/>
  <c r="F187" i="249"/>
  <c r="E62" i="249"/>
  <c r="F92" i="249"/>
  <c r="F151" i="249"/>
  <c r="F288" i="249"/>
  <c r="E287" i="249"/>
  <c r="F257" i="249"/>
  <c r="E191" i="249"/>
  <c r="E75" i="249"/>
  <c r="E93" i="249"/>
  <c r="E187" i="249"/>
  <c r="G91" i="249"/>
  <c r="F50" i="249"/>
  <c r="E185" i="249"/>
  <c r="F185" i="249"/>
  <c r="F189" i="249"/>
  <c r="E94" i="249"/>
  <c r="F53" i="249"/>
  <c r="E288" i="249"/>
  <c r="F289" i="249"/>
  <c r="P115" i="249"/>
  <c r="F186" i="249"/>
  <c r="F169" i="249"/>
  <c r="E290" i="249"/>
  <c r="E92" i="249"/>
  <c r="E51" i="249"/>
  <c r="E188" i="249"/>
  <c r="E289" i="249"/>
  <c r="F286" i="249"/>
  <c r="F68" i="249"/>
  <c r="F95" i="249"/>
  <c r="F52" i="249"/>
  <c r="P21" i="249"/>
  <c r="E95" i="249"/>
  <c r="G49" i="249"/>
  <c r="F163" i="249"/>
  <c r="F250" i="249"/>
  <c r="F251" i="249"/>
  <c r="F94" i="249"/>
  <c r="E53" i="249"/>
  <c r="E286" i="249"/>
  <c r="F290"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F192" i="249"/>
  <c r="E197" i="249"/>
  <c r="P244" i="249"/>
  <c r="F294" i="249"/>
  <c r="E294" i="249"/>
  <c r="F194" i="249"/>
  <c r="E296" i="249"/>
  <c r="E295" i="249"/>
  <c r="F195" i="249"/>
  <c r="F93" i="249"/>
  <c r="E91" i="249"/>
  <c r="F75" i="249"/>
  <c r="E50" i="249"/>
  <c r="E293" i="249"/>
  <c r="E195" i="249"/>
  <c r="E297" i="249"/>
  <c r="P122" i="249"/>
  <c r="F152" i="249"/>
  <c r="F51" i="249"/>
  <c r="E278" i="249"/>
  <c r="E196" i="249"/>
  <c r="E192" i="249"/>
  <c r="P251" i="249"/>
  <c r="E96" i="249"/>
  <c r="E198" i="249"/>
  <c r="F297" i="249"/>
  <c r="E194" i="249"/>
  <c r="E193" i="249"/>
  <c r="F263" i="249"/>
  <c r="F293" i="249"/>
  <c r="F296" i="249"/>
  <c r="E52" i="249"/>
  <c r="F196" i="249"/>
  <c r="F62" i="249"/>
  <c r="E152" i="249"/>
  <c r="P157" i="249"/>
  <c r="E277" i="249"/>
  <c r="F82" i="249"/>
  <c r="E151" i="249"/>
  <c r="F295" i="249"/>
  <c r="F193"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F76" i="249"/>
  <c r="R17" i="232"/>
  <c r="R10" i="232"/>
  <c r="R7" i="232"/>
  <c r="R6" i="232"/>
  <c r="F270" i="249"/>
  <c r="AE17" i="232"/>
  <c r="R14" i="232"/>
  <c r="AE14" i="232"/>
  <c r="R15" i="232"/>
  <c r="AE10" i="232"/>
  <c r="F277" i="249"/>
  <c r="E298" i="249"/>
  <c r="AE7" i="232"/>
  <c r="R12" i="232"/>
  <c r="E49" i="249"/>
  <c r="F69" i="249"/>
  <c r="F177" i="249"/>
  <c r="E285" i="249"/>
  <c r="R11" i="232"/>
  <c r="F49" i="249"/>
  <c r="R13" i="232"/>
  <c r="R9" i="232"/>
  <c r="E89" i="249"/>
  <c r="AE12" i="232"/>
  <c r="AE8" i="232"/>
  <c r="AE15" i="232"/>
  <c r="R16" i="232"/>
  <c r="F183" i="249"/>
  <c r="R8" i="232"/>
  <c r="E83" i="249"/>
  <c r="F264" i="249"/>
  <c r="F96" i="249"/>
  <c r="AE16" i="232"/>
  <c r="AE13" i="232"/>
  <c r="F170" i="249"/>
  <c r="AE6" i="232"/>
  <c r="E284" i="249"/>
  <c r="F271" i="249"/>
  <c r="F150" i="249"/>
  <c r="F176" i="249"/>
  <c r="E291" i="249"/>
  <c r="F89" i="249"/>
  <c r="AE11" i="232"/>
  <c r="AE9" i="232"/>
  <c r="E76" i="249"/>
  <c r="F91"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P49" i="249"/>
  <c r="F284" i="249"/>
  <c r="E97" i="249"/>
  <c r="E150" i="249"/>
  <c r="F197" i="249"/>
  <c r="E299" i="249"/>
  <c r="F184" i="249"/>
  <c r="P164" i="249"/>
  <c r="P70" i="249"/>
  <c r="P171" i="249"/>
  <c r="P63" i="249"/>
  <c r="E90" i="249"/>
  <c r="E292" i="249"/>
  <c r="P258" i="249"/>
  <c r="P265" i="249"/>
  <c r="F278" i="249"/>
  <c r="F83" i="249"/>
  <c r="F190"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298" i="249"/>
  <c r="F291" i="249"/>
  <c r="F97" i="249"/>
  <c r="F191" i="249"/>
  <c r="P150" i="249"/>
  <c r="F90" i="249"/>
  <c r="F285" i="249"/>
  <c r="P178" i="249"/>
  <c r="F198" i="249"/>
  <c r="P77" i="249"/>
  <c r="P272"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85" i="249"/>
  <c r="P279" i="249"/>
  <c r="P192" i="249"/>
  <c r="P91" i="249"/>
  <c r="F292" i="249"/>
  <c r="P84"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9" i="246"/>
  <c r="P22" i="246" s="1"/>
  <c r="V86" i="235"/>
  <c r="X86" i="235" s="1"/>
  <c r="P23" i="246"/>
  <c r="L78" i="235" l="1"/>
  <c r="AM45" i="235" s="1"/>
  <c r="AN45" i="235" s="1"/>
  <c r="G45" i="235" s="1"/>
  <c r="AQ45" i="235" s="1"/>
  <c r="L81" i="235"/>
  <c r="L77" i="235"/>
  <c r="AM34" i="235" s="1"/>
  <c r="V90" i="235"/>
  <c r="L79" i="235"/>
  <c r="L80" i="235"/>
  <c r="L82" i="235"/>
  <c r="AM5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7" i="249"/>
  <c r="G9" i="249"/>
  <c r="G58" i="249"/>
  <c r="E58" i="249"/>
  <c r="G56" i="249"/>
  <c r="AV34" i="235" l="1"/>
  <c r="AV55" i="235"/>
  <c r="AG45" i="235"/>
  <c r="AT45" i="235"/>
  <c r="F56" i="249"/>
  <c r="F109" i="249"/>
  <c r="F8" i="249"/>
  <c r="F57" i="249"/>
  <c r="E109" i="249"/>
  <c r="F7" i="249"/>
  <c r="AU45" i="235" l="1"/>
  <c r="AG55" i="235"/>
  <c r="AT55" i="235"/>
  <c r="AU34" i="235"/>
  <c r="F108" i="249"/>
  <c r="E56" i="249"/>
  <c r="F110" i="249"/>
  <c r="F9" i="249"/>
  <c r="E7" i="249"/>
  <c r="E110" i="249"/>
  <c r="F58" i="249"/>
  <c r="AU55" i="235" l="1"/>
  <c r="AG34" i="235"/>
  <c r="L14" i="232"/>
  <c r="Y7" i="232"/>
  <c r="Y6" i="232"/>
  <c r="P56" i="249"/>
  <c r="Y17" i="232"/>
  <c r="L15" i="232"/>
  <c r="P7" i="249"/>
  <c r="L11" i="232"/>
  <c r="L16" i="232"/>
  <c r="Y13" i="232"/>
  <c r="L21" i="232"/>
  <c r="Y14" i="232"/>
  <c r="L12" i="232"/>
  <c r="Y8" i="232"/>
  <c r="L17" i="232"/>
  <c r="L13" i="232"/>
  <c r="L6" i="232"/>
  <c r="L10" i="232"/>
  <c r="Y12" i="232"/>
  <c r="Y16" i="232"/>
  <c r="Y15" i="232"/>
  <c r="L9" i="232"/>
  <c r="L8" i="232"/>
  <c r="Y11" i="232"/>
  <c r="L7" i="232"/>
  <c r="Y10" i="232"/>
  <c r="Y9"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<sst xmlns="http://schemas.openxmlformats.org/spreadsheetml/2006/main" count="6319" uniqueCount="591">
  <si>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</si>
  <si>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</si>
  <si>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</si>
  <si>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</si>
  <si>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</si>
  <si>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</si>
  <si>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</si>
  <si>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</si>
  <si>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</si>
  <si>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</si>
  <si>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</si>
  <si>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</si>
  <si>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</si>
  <si>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</si>
  <si>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</si>
  <si>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</si>
  <si>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</si>
  <si>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</si>
  <si>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</si>
  <si>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</si>
  <si>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</si>
  <si>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</si>
  <si>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</si>
  <si>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</si>
  <si>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</si>
  <si>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</si>
  <si>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</si>
  <si>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</si>
  <si>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</si>
  <si>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</si>
  <si>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</si>
  <si>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</si>
  <si>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</si>
  <si>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</si>
  <si>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</si>
  <si>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</si>
  <si>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</si>
  <si>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</si>
  <si>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</si>
  <si>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</si>
  <si>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</si>
  <si>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</si>
  <si>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</si>
  <si>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</si>
  <si>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</si>
  <si>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</si>
  <si>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</si>
  <si>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</si>
  <si>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</si>
  <si>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</si>
  <si>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</si>
  <si>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</si>
  <si>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</si>
  <si>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</si>
  <si>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</si>
  <si>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</si>
  <si>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</si>
  <si>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</si>
  <si>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</si>
  <si>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</si>
  <si>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</si>
  <si>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</si>
  <si>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</si>
  <si>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</si>
  <si>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</si>
  <si>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</si>
  <si>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</si>
  <si>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</si>
  <si>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</si>
  <si>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</si>
  <si>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</si>
  <si>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</si>
  <si>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</si>
  <si>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</si>
  <si>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</si>
  <si>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</si>
  <si>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</si>
  <si>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</si>
  <si>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</si>
  <si>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</si>
  <si>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</si>
  <si>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</si>
  <si>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</si>
  <si>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</si>
  <si>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</si>
  <si>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</si>
  <si>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</si>
  <si>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</si>
  <si>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</si>
  <si>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</si>
  <si>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</si>
  <si>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</si>
  <si>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</si>
  <si>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</si>
  <si>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</si>
  <si>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</si>
  <si>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</si>
  <si>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</si>
  <si>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</si>
  <si>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</si>
  <si>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</si>
  <si>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</si>
  <si>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</si>
  <si>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</si>
  <si>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</si>
  <si>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</si>
  <si>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</si>
  <si>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</si>
  <si>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</si>
  <si>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</si>
  <si>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</si>
  <si>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</si>
  <si>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</si>
  <si>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</si>
  <si>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</si>
  <si>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</si>
  <si>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</si>
  <si>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</si>
  <si>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</si>
  <si>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</si>
  <si>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</si>
  <si>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</si>
  <si>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</si>
  <si>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</si>
  <si>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</si>
  <si>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</si>
  <si>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</si>
  <si>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</si>
  <si>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</si>
  <si>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</si>
  <si>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</si>
  <si>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</si>
  <si>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</si>
  <si>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</si>
  <si>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</si>
  <si>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</si>
  <si>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</si>
  <si>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</si>
  <si>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</si>
  <si>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</si>
  <si>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</si>
  <si>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</si>
  <si>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</si>
  <si>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</si>
  <si>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</si>
  <si>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</si>
  <si>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</si>
  <si>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</si>
  <si>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</si>
  <si>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</si>
  <si>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</si>
  <si>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</si>
  <si>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</si>
  <si>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</si>
  <si>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</si>
  <si>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</si>
  <si>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</si>
  <si>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</si>
  <si>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</si>
  <si>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</si>
  <si>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</si>
  <si>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</si>
  <si>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</si>
  <si>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</si>
  <si>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</si>
  <si>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</si>
  <si>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</si>
  <si>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</si>
  <si>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</si>
  <si>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</si>
  <si>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</si>
  <si>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</si>
  <si>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</si>
  <si>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</si>
  <si>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</si>
  <si>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</si>
  <si>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</si>
  <si>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</si>
  <si>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</si>
  <si>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</si>
  <si>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</si>
  <si>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</si>
  <si>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</si>
  <si>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</si>
  <si>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</si>
  <si>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</si>
  <si>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</si>
  <si>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</si>
  <si>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</si>
  <si>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</si>
  <si>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</si>
  <si>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</si>
  <si>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</si>
  <si>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</si>
  <si>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</si>
  <si>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</si>
  <si>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</si>
  <si>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</si>
  <si>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</si>
  <si>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</si>
  <si>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</si>
  <si>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</si>
  <si>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</si>
  <si>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</si>
  <si>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</si>
  <si>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</si>
  <si>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</si>
  <si>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</si>
  <si>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</si>
  <si>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</si>
  <si>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</si>
  <si>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</si>
  <si>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</si>
  <si>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</si>
  <si>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</si>
  <si>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</si>
  <si>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</si>
  <si>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</si>
  <si>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</si>
  <si>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</si>
  <si>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</si>
  <si>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</si>
  <si>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</si>
  <si>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</si>
  <si>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</si>
  <si>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</si>
  <si>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</si>
  <si>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</si>
  <si>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</si>
  <si>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</si>
  <si>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</si>
  <si>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</si>
  <si>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</si>
  <si>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</si>
  <si>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</si>
  <si>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</si>
  <si>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</si>
  <si>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</si>
  <si>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</si>
  <si>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</si>
  <si>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</si>
  <si>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</si>
  <si>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</si>
  <si>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</si>
  <si>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</si>
  <si>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</si>
  <si>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</si>
  <si>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</si>
  <si>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</si>
  <si>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</si>
  <si>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</si>
  <si>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</si>
  <si>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</si>
  <si>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</si>
  <si>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</si>
  <si>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</si>
  <si>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</si>
  <si>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</si>
  <si>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</si>
  <si>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</si>
  <si>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</si>
  <si>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</si>
  <si>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</si>
  <si>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</si>
  <si>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</si>
  <si>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</si>
  <si>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</si>
  <si>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</si>
  <si>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</si>
  <si>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</si>
  <si>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</si>
  <si>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</si>
  <si>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</si>
  <si>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</si>
  <si>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</si>
  <si>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</si>
  <si>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</si>
  <si>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</si>
  <si>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</si>
  <si>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</si>
  <si>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</si>
  <si>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</si>
  <si>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</si>
  <si>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</si>
  <si>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</si>
  <si>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</si>
  <si>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</si>
  <si>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</si>
  <si>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</si>
  <si>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</si>
  <si>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</si>
  <si>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</si>
  <si>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</si>
  <si>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</si>
  <si>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</si>
  <si>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</si>
  <si>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</si>
  <si>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</si>
  <si>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</si>
  <si>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</si>
  <si>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</si>
  <si>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</si>
  <si>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</si>
  <si>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</si>
  <si>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</si>
  <si>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</si>
  <si>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</si>
  <si>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</si>
  <si>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</si>
  <si>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</si>
  <si>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</si>
  <si>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</si>
  <si>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</si>
  <si>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</si>
  <si>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</si>
  <si>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</si>
  <si>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</si>
  <si>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</si>
  <si>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</si>
  <si>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</si>
  <si>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</si>
  <si>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</si>
  <si>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</si>
  <si>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</si>
  <si>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</si>
  <si>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</si>
  <si>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</si>
  <si>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</si>
  <si>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</si>
  <si>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</si>
  <si>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</si>
  <si>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</si>
  <si>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</si>
  <si>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</si>
  <si>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</si>
  <si>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</si>
  <si>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</si>
  <si>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</si>
  <si>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</si>
  <si>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</si>
  <si>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</si>
  <si>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</si>
  <si>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</si>
  <si>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</si>
  <si>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</si>
  <si>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</si>
  <si>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</si>
  <si>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</si>
  <si>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</si>
  <si>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</si>
  <si>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</si>
  <si>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</si>
  <si>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</si>
  <si>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</si>
  <si>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</si>
  <si>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</si>
  <si>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</si>
  <si>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</si>
  <si>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</si>
  <si>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</si>
  <si>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</si>
  <si>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</si>
  <si>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</si>
  <si>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</si>
  <si>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</si>
  <si>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</si>
  <si>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</si>
  <si>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</si>
  <si>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</si>
  <si>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</si>
  <si>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</si>
  <si>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</si>
  <si>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</si>
  <si>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</si>
  <si>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</si>
  <si>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</si>
  <si>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</si>
  <si>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</si>
  <si>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</si>
  <si>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</si>
  <si>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</si>
  <si>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</si>
  <si>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</si>
  <si>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</si>
  <si>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</si>
  <si>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</si>
  <si>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</si>
  <si>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</si>
  <si>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</si>
  <si>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</si>
  <si>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</si>
  <si>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</si>
  <si>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</si>
  <si>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</si>
  <si>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</si>
  <si>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</si>
  <si>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</si>
  <si>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</si>
  <si>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</si>
  <si>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</si>
  <si>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</si>
  <si>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</si>
  <si>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</si>
  <si>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</si>
  <si>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</si>
  <si>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</si>
  <si>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</si>
  <si>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</si>
  <si>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</si>
  <si>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</si>
  <si>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</si>
  <si>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</si>
  <si>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</si>
  <si>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</si>
  <si>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</si>
  <si>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</si>
  <si>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</si>
  <si>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</si>
  <si>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</si>
  <si>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</si>
  <si>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</si>
  <si>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</si>
  <si>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</si>
  <si>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</si>
  <si>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</si>
  <si>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</si>
  <si>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</si>
  <si>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</si>
  <si>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</si>
  <si>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</si>
  <si>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</si>
  <si>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</si>
  <si>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</si>
  <si>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</si>
  <si>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</si>
  <si>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</si>
  <si>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</si>
  <si>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</si>
  <si>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</si>
  <si>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</si>
  <si>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</si>
  <si>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</si>
  <si>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</si>
  <si>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</si>
  <si>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</si>
  <si>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</si>
  <si>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</si>
  <si>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</si>
  <si>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</si>
  <si>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</si>
  <si>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</si>
  <si>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</si>
  <si>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</si>
  <si>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</si>
  <si>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</si>
  <si>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</si>
  <si>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</si>
  <si>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</si>
  <si>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</si>
  <si>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</si>
  <si>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</si>
  <si>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</si>
  <si>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</si>
  <si>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</si>
  <si>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</si>
  <si>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</si>
  <si>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</si>
  <si>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</si>
  <si>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</si>
  <si>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</si>
  <si>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</si>
  <si>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</si>
  <si>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</si>
  <si>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</si>
  <si>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</si>
  <si>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</si>
  <si>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</si>
  <si>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</si>
  <si>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</si>
  <si>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</si>
  <si>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</si>
  <si>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</si>
  <si>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</si>
  <si>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</si>
  <si>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</si>
  <si>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</si>
  <si>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</si>
  <si>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</si>
  <si>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</si>
  <si>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</si>
  <si>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</si>
  <si>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</si>
  <si>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</si>
  <si>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</si>
  <si>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</si>
  <si>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</si>
  <si>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</si>
  <si>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</si>
  <si>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</si>
  <si>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</si>
  <si>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</si>
  <si>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</si>
  <si>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</si>
  <si>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</si>
  <si>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</si>
  <si>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</si>
  <si>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</si>
  <si>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</si>
  <si>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</si>
  <si>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</si>
  <si>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</si>
  <si>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</si>
  <si>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</si>
  <si>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</si>
  <si>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</si>
  <si>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</si>
  <si>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</si>
  <si>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</si>
  <si>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</si>
  <si>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</si>
  <si>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</si>
  <si>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</si>
  <si>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</si>
  <si>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</si>
  <si>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</si>
  <si>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</si>
  <si>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</si>
  <si>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</si>
  <si>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</si>
  <si>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</si>
  <si>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</si>
  <si>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</si>
  <si>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</si>
  <si>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</si>
  <si>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</si>
  <si>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</si>
  <si>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</si>
  <si>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</si>
  <si>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</si>
  <si>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</si>
  <si>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</si>
  <si>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</si>
  <si>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</si>
  <si>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</si>
  <si>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</si>
  <si>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</si>
  <si>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</si>
  <si>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</si>
  <si>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</si>
  <si>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</si>
  <si>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</si>
  <si>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</si>
  <si>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</si>
  <si>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</si>
  <si>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</si>
  <si>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</si>
  <si>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</si>
  <si>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</si>
  <si>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</si>
  <si>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</si>
  <si>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</si>
  <si>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</si>
  <si>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</si>
  <si>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</si>
  <si>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</si>
  <si>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</si>
  <si>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</si>
  <si>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</si>
  <si>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</si>
  <si>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</si>
  <si>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</si>
  <si>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</si>
  <si>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</si>
  <si>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</si>
  <si>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</si>
  <si>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</si>
  <si>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</si>
  <si>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</si>
  <si>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</si>
  <si>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</si>
  <si>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</si>
  <si>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Biogasoline</t>
  </si>
  <si>
    <t>Biodiesel</t>
  </si>
  <si>
    <t>Other Liquid Biofuels</t>
  </si>
  <si>
    <t>Manufatured Gases</t>
  </si>
  <si>
    <t>Manufactured gas</t>
  </si>
  <si>
    <t>Refinery gas</t>
  </si>
  <si>
    <t>Manufactured gases</t>
  </si>
  <si>
    <t>Den summerer ikke ens op, fordi der i nedenstående tabel er udeladt "Other petroleum Products"</t>
  </si>
  <si>
    <t>Biokerosene</t>
  </si>
  <si>
    <t>Refinery Gas (not in 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</si>
</sst>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70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1" fillId="0" borderId="0" xfId="6370" applyFont="1" applyAlignment="1">
      <alignment horizontal="left"/>
    </xf>
    <xf numFmtId="0" fontId="154" fillId="0" borderId="20" xfId="6370" applyFont="1" applyBorder="1" applyAlignment="1">
      <alignment horizontal="left"/>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478</v>
      </c>
      <c r="C17" s="243" t="s">
        <v>279</v>
      </c>
    </row>
    <row r="18" spans="2:3">
      <c r="B18" s="246" t="s">
        <v>342</v>
      </c>
      <c r="C18" s="243" t="s">
        <v>280</v>
      </c>
    </row>
    <row r="19" spans="2:3">
      <c r="B19" s="246" t="s">
        <v>359</v>
      </c>
      <c r="C19" s="243" t="s">
        <v>281</v>
      </c>
    </row>
    <row r="20" spans="2:3">
      <c r="B20" s="246" t="s">
        <v>238</v>
      </c>
      <c r="C20" s="243" t="s">
        <v>282</v>
      </c>
    </row>
    <row r="21" spans="2:3">
      <c r="B21" s="246" t="s">
        <v>536</v>
      </c>
      <c r="C21" s="243" t="s">
        <v>283</v>
      </c>
    </row>
    <row r="22" spans="2:3">
      <c r="B22" s="246" t="s">
        <v>355</v>
      </c>
      <c r="C22" s="243" t="s">
        <v>284</v>
      </c>
    </row>
    <row r="23" spans="2:3">
      <c r="B23" s="246" t="s">
        <v>537</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365" zoomScale="85" zoomScaleNormal="85" workbookViewId="0">
      <selection activeCell="E382" sqref="E38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520</v>
      </c>
      <c r="R17" s="106" t="s">
        <v>189</v>
      </c>
      <c r="S17" s="106" t="str">
        <f t="shared" si="2"/>
        <v>Heat Medium Temp. Boiler</v>
      </c>
      <c r="T17" s="108" t="s">
        <v>192</v>
      </c>
      <c r="U17" s="106" t="s">
        <v>572</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572</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576</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568</v>
      </c>
      <c r="E510" s="150" t="str">
        <f>"FT-IND"&amp;RIGHT(Commodities!E119,3)</f>
        <v>FT-INDIND</v>
      </c>
      <c r="F510" s="151" t="s">
        <v>44</v>
      </c>
      <c r="G510" s="151" t="s">
        <v>110</v>
      </c>
    </row>
    <row r="511" spans="2:10" ht="15" thickBot="1">
      <c r="D511" s="150" t="s">
        <v>566</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9" zoomScaleNormal="100" workbookViewId="0">
      <selection activeCell="E22" sqref="E22"/>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519</v>
      </c>
      <c r="W6" s="101" t="s">
        <v>344</v>
      </c>
      <c r="X6" s="104" t="s">
        <v>345</v>
      </c>
      <c r="Y6" s="102" t="str">
        <f>"0"&amp;T6&amp;" "&amp;AC6</f>
        <v>01 Iron and steel</v>
      </c>
      <c r="Z6" s="101"/>
      <c r="AA6" s="104"/>
      <c r="AB6" s="102"/>
      <c r="AC6" s="401" t="s">
        <v>467</v>
      </c>
      <c r="AD6" s="401" t="str">
        <f>AC6</f>
        <v>Iron and steel</v>
      </c>
      <c r="AE6" s="401" t="s">
        <v>346</v>
      </c>
      <c r="AF6" s="401"/>
      <c r="AG6" s="287"/>
      <c r="AH6" s="287"/>
      <c r="AI6" s="287"/>
      <c r="AJ6" s="101">
        <v>1</v>
      </c>
      <c r="AK6" s="102" t="s">
        <v>160</v>
      </c>
      <c r="AL6" s="102" t="s">
        <v>520</v>
      </c>
      <c r="AM6" s="102" t="s">
        <v>521</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468</v>
      </c>
      <c r="AD7" s="401" t="str">
        <f t="shared" ref="AD7:AD18" si="4">AC7</f>
        <v>Chemical and petrochemical</v>
      </c>
      <c r="AE7" s="400" t="s">
        <v>239</v>
      </c>
      <c r="AF7" s="591"/>
      <c r="AJ7" s="101">
        <v>2</v>
      </c>
      <c r="AK7" s="102" t="s">
        <v>160</v>
      </c>
      <c r="AL7" s="102" t="s">
        <v>525</v>
      </c>
      <c r="AM7" s="102" t="s">
        <v>522</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469</v>
      </c>
      <c r="AD8" s="401" t="str">
        <f t="shared" si="4"/>
        <v>Non-ferrous metal</v>
      </c>
      <c r="AE8" s="400" t="s">
        <v>357</v>
      </c>
      <c r="AF8" s="591"/>
      <c r="AJ8" s="101">
        <v>3</v>
      </c>
      <c r="AK8" s="102" t="s">
        <v>160</v>
      </c>
      <c r="AL8" s="102" t="s">
        <v>523</v>
      </c>
      <c r="AM8" s="102" t="s">
        <v>524</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470</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533</v>
      </c>
      <c r="Y10" s="102" t="str">
        <f t="shared" si="3"/>
        <v>05 Transport equipment</v>
      </c>
      <c r="Z10" s="588"/>
      <c r="AA10" s="589"/>
      <c r="AB10" s="590"/>
      <c r="AC10" s="600" t="s">
        <v>471</v>
      </c>
      <c r="AD10" s="401" t="str">
        <f t="shared" si="4"/>
        <v>Transport equipment</v>
      </c>
      <c r="AE10" s="400" t="s">
        <v>478</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472</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473</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474</v>
      </c>
      <c r="AD14" s="401" t="str">
        <f t="shared" si="4"/>
        <v>Paper, pulp and printing</v>
      </c>
      <c r="AE14" s="400" t="s">
        <v>536</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475</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534</v>
      </c>
      <c r="W16" s="101" t="s">
        <v>578</v>
      </c>
      <c r="X16" s="104" t="s">
        <v>535</v>
      </c>
      <c r="Y16" s="102" t="str">
        <f t="shared" si="3"/>
        <v>011 Textile and leather</v>
      </c>
      <c r="Z16" s="588"/>
      <c r="AA16" s="589"/>
      <c r="AB16" s="590"/>
      <c r="AC16" s="600" t="s">
        <v>476</v>
      </c>
      <c r="AD16" s="401" t="str">
        <f t="shared" si="4"/>
        <v>Textile and leather</v>
      </c>
      <c r="AE16" s="400" t="s">
        <v>537</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477</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574</v>
      </c>
      <c r="E107" s="137" t="s">
        <v>575</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564</v>
      </c>
      <c r="E120" s="250" t="s">
        <v>565</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526</v>
      </c>
      <c r="G6" s="51" t="s">
        <v>551</v>
      </c>
      <c r="I6" s="214" t="s">
        <v>241</v>
      </c>
      <c r="J6" s="215" t="s">
        <v>419</v>
      </c>
      <c r="K6" s="215" t="s">
        <v>501</v>
      </c>
      <c r="L6" s="215" t="s">
        <v>509</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284.41453412571428</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97.974437965714287</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35.711857870129876</v>
      </c>
      <c r="F91" s="253">
        <f t="shared" ca="1" si="81"/>
        <v>1.9840743656343665</v>
      </c>
      <c r="G91" s="253">
        <f t="shared" ca="1" si="82"/>
        <v>1.9840743656343665</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552</v>
      </c>
      <c r="F107" s="51" t="s">
        <v>560</v>
      </c>
      <c r="G107" s="51" t="s">
        <v>561</v>
      </c>
      <c r="I107" s="214" t="s">
        <v>241</v>
      </c>
      <c r="J107" s="215" t="s">
        <v>419</v>
      </c>
      <c r="K107" s="215" t="s">
        <v>501</v>
      </c>
      <c r="L107" s="215" t="s">
        <v>501</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289.94028230495047</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116.96959996039604</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37.147159889108913</v>
      </c>
      <c r="F192" s="255">
        <f t="shared" ca="1" si="259"/>
        <v>2.0637657980198023</v>
      </c>
      <c r="G192" s="255">
        <f t="shared" ca="1" si="260"/>
        <v>2.0637657980198023</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553</v>
      </c>
      <c r="F208" s="51" t="s">
        <v>562</v>
      </c>
      <c r="G208" s="51" t="s">
        <v>563</v>
      </c>
      <c r="I208" s="214" t="s">
        <v>241</v>
      </c>
      <c r="J208" s="215" t="s">
        <v>419</v>
      </c>
      <c r="K208" s="215" t="s">
        <v>501</v>
      </c>
      <c r="L208" s="215" t="s">
        <v>501</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254.49161702970301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33.006545536633666</v>
      </c>
      <c r="F293" s="255">
        <f t="shared" ca="1" si="450"/>
        <v>1.8337403405940595</v>
      </c>
      <c r="G293" s="255">
        <f t="shared" ca="1" si="451"/>
        <v>1.8337403405940595</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v>
      </c>
      <c r="F299" s="171">
        <f t="shared" ca="1" si="450"/>
        <v>0</v>
      </c>
      <c r="G299" s="171">
        <f t="shared" ca="1" si="451"/>
        <v>0</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510</v>
      </c>
      <c r="I24" s="316" t="s">
        <v>511</v>
      </c>
      <c r="J24" s="76" t="s">
        <v>421</v>
      </c>
      <c r="K24" s="132" t="s">
        <v>512</v>
      </c>
      <c r="L24" s="316" t="s">
        <v>513</v>
      </c>
      <c r="M24" s="76" t="s">
        <v>554</v>
      </c>
      <c r="N24" s="132" t="s">
        <v>555</v>
      </c>
      <c r="O24" s="316" t="s">
        <v>556</v>
      </c>
      <c r="P24" s="304" t="s">
        <v>557</v>
      </c>
      <c r="Q24" s="316" t="s">
        <v>558</v>
      </c>
      <c r="R24" s="316" t="s">
        <v>559</v>
      </c>
      <c r="S24" s="282" t="s">
        <v>422</v>
      </c>
      <c r="T24" s="283" t="s">
        <v>514</v>
      </c>
      <c r="U24" s="316" t="s">
        <v>515</v>
      </c>
      <c r="V24" s="282" t="s">
        <v>325</v>
      </c>
      <c r="W24" s="551" t="s">
        <v>423</v>
      </c>
      <c r="X24" s="552" t="s">
        <v>516</v>
      </c>
      <c r="Y24" s="553" t="s">
        <v>517</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f t="shared" si="20"/>
        <v>0</v>
      </c>
      <c r="N33" s="322">
        <f t="shared" si="21"/>
        <v>0</v>
      </c>
      <c r="O33" s="322">
        <f t="shared" si="22"/>
        <v>0</v>
      </c>
      <c r="P33" s="322">
        <f t="shared" si="23"/>
        <v>0</v>
      </c>
      <c r="Q33" s="322">
        <f t="shared" si="24"/>
        <v>0</v>
      </c>
      <c r="R33" s="322">
        <f t="shared" si="25"/>
        <v>0</v>
      </c>
      <c r="S33" s="322">
        <f t="shared" si="1"/>
        <v>0</v>
      </c>
      <c r="T33" s="322">
        <f t="shared" si="2"/>
        <v>0</v>
      </c>
      <c r="U33" s="322">
        <f t="shared" si="3"/>
        <v>0</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f t="shared" si="7"/>
        <v>0</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f>H117/1000</f>
        <v>0</v>
      </c>
      <c r="BN33" s="561">
        <f>BM33*$AN$23</f>
        <v>0</v>
      </c>
      <c r="BO33" s="562">
        <f t="shared" si="52"/>
        <v>0</v>
      </c>
      <c r="BP33" s="562">
        <f t="shared" si="53"/>
        <v>0</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f t="shared" si="20"/>
        <v>0</v>
      </c>
      <c r="N44" s="322">
        <f t="shared" si="21"/>
        <v>0</v>
      </c>
      <c r="O44" s="322">
        <f t="shared" si="22"/>
        <v>0</v>
      </c>
      <c r="P44" s="322">
        <f t="shared" si="23"/>
        <v>0</v>
      </c>
      <c r="Q44" s="322">
        <f t="shared" si="24"/>
        <v>0</v>
      </c>
      <c r="R44" s="322">
        <f t="shared" si="25"/>
        <v>0</v>
      </c>
      <c r="S44" s="322">
        <f t="shared" si="1"/>
        <v>0</v>
      </c>
      <c r="T44" s="322">
        <f t="shared" si="2"/>
        <v>0</v>
      </c>
      <c r="U44" s="322">
        <f t="shared" si="3"/>
        <v>0</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f t="shared" si="71"/>
        <v>0</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f>H118/1000</f>
        <v>0</v>
      </c>
      <c r="BN44" s="562">
        <f t="shared" si="75"/>
        <v>0</v>
      </c>
      <c r="BO44" s="562">
        <f t="shared" si="52"/>
        <v>0</v>
      </c>
      <c r="BP44" s="562">
        <f t="shared" si="53"/>
        <v>0</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f t="shared" si="20"/>
        <v>0</v>
      </c>
      <c r="N54" s="322">
        <f t="shared" si="21"/>
        <v>0</v>
      </c>
      <c r="O54" s="322">
        <f t="shared" si="22"/>
        <v>0</v>
      </c>
      <c r="P54" s="322">
        <f t="shared" si="23"/>
        <v>0</v>
      </c>
      <c r="Q54" s="322">
        <f t="shared" si="24"/>
        <v>0</v>
      </c>
      <c r="R54" s="322">
        <f t="shared" si="25"/>
        <v>0</v>
      </c>
      <c r="S54" s="322">
        <f t="shared" si="1"/>
        <v>0</v>
      </c>
      <c r="T54" s="322">
        <f t="shared" si="2"/>
        <v>0</v>
      </c>
      <c r="U54" s="322">
        <f t="shared" si="3"/>
        <v>0</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f t="shared" si="83"/>
        <v>0</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f>H122/1000</f>
        <v>0</v>
      </c>
      <c r="BN54" s="561">
        <f>BM54*$AN$23</f>
        <v>0</v>
      </c>
      <c r="BO54" s="562">
        <f t="shared" si="52"/>
        <v>0</v>
      </c>
      <c r="BP54" s="562">
        <f t="shared" si="53"/>
        <v>0</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f t="shared" si="20"/>
        <v>0</v>
      </c>
      <c r="N62" s="323">
        <f t="shared" si="21"/>
        <v>0</v>
      </c>
      <c r="O62" s="323">
        <f t="shared" si="22"/>
        <v>0</v>
      </c>
      <c r="P62" s="323">
        <f t="shared" si="23"/>
        <v>0</v>
      </c>
      <c r="Q62" s="323">
        <f t="shared" si="24"/>
        <v>0</v>
      </c>
      <c r="R62" s="323">
        <f t="shared" si="25"/>
        <v>0</v>
      </c>
      <c r="S62" s="323">
        <f t="shared" si="1"/>
        <v>0</v>
      </c>
      <c r="T62" s="323">
        <f t="shared" si="2"/>
        <v>0</v>
      </c>
      <c r="U62" s="323">
        <f t="shared" si="3"/>
        <v>0</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f t="shared" si="83"/>
        <v>0</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f>H119/1000</f>
        <v>0</v>
      </c>
      <c r="BN62" s="534">
        <f>BM62*$AN$23</f>
        <v>0</v>
      </c>
      <c r="BO62" s="535">
        <f t="shared" si="52"/>
        <v>0</v>
      </c>
      <c r="BP62" s="535">
        <f t="shared" si="53"/>
        <v>0</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503</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506</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matrix'!B12</f>
        <v>Natural gas</v>
      </c>
      <c r="U83" s="117"/>
      <c r="V83" s="118">
        <f>+INDEX('Energy matrix'!C12:N12,1,$D$2)</f>
        <v>99519.558000000005</v>
      </c>
      <c r="W83" s="117"/>
      <c r="X83" s="25">
        <f t="shared" si="94"/>
        <v>9.9519558000000008E-2</v>
      </c>
    </row>
    <row r="84" spans="3:28" ht="12.75" customHeight="1">
      <c r="E84" s="25"/>
      <c r="F84" s="25"/>
      <c r="G84" s="25"/>
      <c r="H84" s="25"/>
      <c r="I84" s="25"/>
      <c r="J84" s="25"/>
      <c r="K84" s="25"/>
      <c r="O84" s="86"/>
      <c r="T84" s="117" t="str">
        <f>+'Energy matrix'!B13</f>
        <v>Biogas</v>
      </c>
      <c r="U84" s="117"/>
      <c r="V84" s="118">
        <f>+INDEX('Energy matrix'!C13:N13,1,$D$2)</f>
        <v>0</v>
      </c>
      <c r="W84" s="117"/>
      <c r="X84" s="25">
        <f t="shared" si="94"/>
        <v>0</v>
      </c>
    </row>
    <row r="85" spans="3:28" ht="12.75" customHeight="1">
      <c r="E85" s="25"/>
      <c r="F85" s="25"/>
      <c r="G85" s="25"/>
      <c r="H85" s="25"/>
      <c r="I85" s="25"/>
      <c r="J85" s="25"/>
      <c r="K85" s="25"/>
      <c r="O85" s="86"/>
      <c r="T85" s="117" t="str">
        <f>+'Energy matrix'!B18</f>
        <v>Biomass</v>
      </c>
      <c r="U85" s="117"/>
      <c r="V85" s="118">
        <f>+INDEX('Energy matrix'!C18:N18,1,$D$2)</f>
        <v>0</v>
      </c>
      <c r="W85" s="117"/>
      <c r="X85" s="25">
        <f t="shared" si="94"/>
        <v>0</v>
      </c>
      <c r="AB85" s="85"/>
    </row>
    <row r="86" spans="3:28" ht="12.75" customHeight="1">
      <c r="O86" s="86"/>
      <c r="T86" s="117" t="str">
        <f>+'Energy matrix'!B19</f>
        <v>Waste</v>
      </c>
      <c r="U86" s="117"/>
      <c r="V86" s="118">
        <f>+INDEX('Energy matrix'!C19:N19,1,$D$2)</f>
        <v>0</v>
      </c>
      <c r="W86" s="117"/>
      <c r="X86" s="25">
        <f t="shared" si="94"/>
        <v>0</v>
      </c>
    </row>
    <row r="87" spans="3:28" ht="12.75" customHeight="1">
      <c r="O87" s="86"/>
      <c r="T87" s="117" t="str">
        <f>+'Energy matrix'!B20</f>
        <v>Electricity</v>
      </c>
      <c r="U87" s="117"/>
      <c r="V87" s="118">
        <f>+INDEX('Energy matrix'!C20:N20,1,$D$2)</f>
        <v>97534.8</v>
      </c>
      <c r="W87" s="117"/>
      <c r="X87" s="25">
        <f t="shared" si="94"/>
        <v>9.7534800000000005E-2</v>
      </c>
    </row>
    <row r="88" spans="3:28" ht="12.75" customHeight="1">
      <c r="O88" s="86"/>
      <c r="T88" s="122" t="str">
        <f>+'Energy matrix'!B21</f>
        <v>District Heating</v>
      </c>
      <c r="U88" s="122"/>
      <c r="V88" s="123">
        <f>+INDEX('Energy matrix'!C21:N21,1,$D$2)</f>
        <v>1774</v>
      </c>
      <c r="W88" s="122"/>
      <c r="X88" s="25">
        <f t="shared" si="94"/>
        <v>1.774E-3</v>
      </c>
    </row>
    <row r="89" spans="3:28" ht="12.75" customHeight="1">
      <c r="O89" s="86"/>
      <c r="T89" s="46"/>
      <c r="U89" s="46"/>
      <c r="W89" s="46"/>
    </row>
    <row r="90" spans="3:28" s="285" customFormat="1" ht="12.75" customHeight="1">
      <c r="C90" s="259" t="s">
        <v>504</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507</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matrix'!C29:N29,1,$D$2)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matrix'!B30</f>
        <v>Coal</v>
      </c>
      <c r="U98" s="117"/>
      <c r="V98" s="118">
        <f>+INDEX('Energy matrix'!C30:N30,1,$D$2)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matrix'!B32</f>
        <v>Diesel</v>
      </c>
      <c r="U100" s="117"/>
      <c r="V100" s="118">
        <f>+INDEX('Energy matrix'!C32:N32,1,$D$2)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matrix'!B37</f>
        <v>Natural gas</v>
      </c>
      <c r="U103" s="117"/>
      <c r="V103" s="118">
        <f>+INDEX('Energy matrix'!C37:N37,1,$D$2)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63</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93826.8</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matrix'!B53</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f t="shared" si="126"/>
        <v>0</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matrix'!C54:N54,1,$D$2)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f t="shared" si="127"/>
        <v>0</v>
      </c>
      <c r="I118" s="14">
        <f t="shared" si="127"/>
        <v>0</v>
      </c>
      <c r="J118" s="14">
        <f t="shared" si="127"/>
        <v>0</v>
      </c>
      <c r="K118" s="14">
        <f t="shared" si="127"/>
        <v>0</v>
      </c>
      <c r="L118" s="14">
        <f t="shared" si="127"/>
        <v>0</v>
      </c>
      <c r="M118" s="14">
        <f t="shared" si="127"/>
        <v>0</v>
      </c>
      <c r="N118" s="14">
        <f t="shared" si="127"/>
        <v>0</v>
      </c>
      <c r="O118" s="86"/>
      <c r="T118" s="117" t="str">
        <f>'Energy matrix'!B55</f>
        <v>Coal</v>
      </c>
      <c r="U118" s="117"/>
      <c r="V118" s="118">
        <f>+INDEX('Energy matrix'!C55:N55,1,$D$2)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f t="shared" si="128"/>
        <v>0</v>
      </c>
      <c r="I119" s="19">
        <f t="shared" si="128"/>
        <v>0</v>
      </c>
      <c r="J119" s="19">
        <f t="shared" si="128"/>
        <v>0</v>
      </c>
      <c r="K119" s="19">
        <f t="shared" si="128"/>
        <v>0</v>
      </c>
      <c r="L119" s="19">
        <f t="shared" si="128"/>
        <v>0</v>
      </c>
      <c r="M119" s="19">
        <f t="shared" si="128"/>
        <v>0</v>
      </c>
      <c r="N119" s="19">
        <f t="shared" si="128"/>
        <v>0</v>
      </c>
      <c r="O119" s="86"/>
      <c r="T119" s="117" t="str">
        <f>'Energy matrix'!B56</f>
        <v>Fuel Oil</v>
      </c>
      <c r="U119" s="117"/>
      <c r="V119" s="118">
        <f>+INDEX('Energy matrix'!C56:N56,1,$D$2)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f t="shared" si="129"/>
        <v>0</v>
      </c>
      <c r="I120" s="14">
        <f t="shared" si="129"/>
        <v>0</v>
      </c>
      <c r="J120" s="14">
        <f t="shared" si="129"/>
        <v>0</v>
      </c>
      <c r="K120" s="14">
        <f t="shared" si="129"/>
        <v>0</v>
      </c>
      <c r="L120" s="14">
        <f t="shared" si="129"/>
        <v>0</v>
      </c>
      <c r="M120" s="14">
        <f t="shared" si="129"/>
        <v>0</v>
      </c>
      <c r="N120" s="14">
        <f t="shared" si="129"/>
        <v>0</v>
      </c>
      <c r="O120" s="86"/>
      <c r="T120" s="117" t="str">
        <f>'Energy matrix'!B57</f>
        <v>Diesel</v>
      </c>
      <c r="U120" s="117"/>
      <c r="V120" s="118">
        <f>+INDEX('Energy matrix'!C57:N57,1,$D$2)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f t="shared" si="130"/>
        <v>0</v>
      </c>
      <c r="I121" s="14">
        <f t="shared" si="130"/>
        <v>0</v>
      </c>
      <c r="J121" s="14">
        <f t="shared" si="130"/>
        <v>0</v>
      </c>
      <c r="K121" s="14">
        <f t="shared" si="130"/>
        <v>0</v>
      </c>
      <c r="L121" s="14">
        <f t="shared" si="130"/>
        <v>0</v>
      </c>
      <c r="M121" s="14">
        <f t="shared" si="130"/>
        <v>0</v>
      </c>
      <c r="N121" s="14">
        <f t="shared" si="130"/>
        <v>0</v>
      </c>
      <c r="O121" s="86"/>
      <c r="T121" s="117" t="str">
        <f>'Energy matrix'!B58</f>
        <v>Gasoline</v>
      </c>
      <c r="U121" s="117"/>
      <c r="V121" s="118">
        <f>+INDEX('Energy matrix'!C58:N58,1,$D$2)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f t="shared" si="131"/>
        <v>0</v>
      </c>
      <c r="I122" s="14">
        <f t="shared" si="131"/>
        <v>0</v>
      </c>
      <c r="J122" s="14">
        <f t="shared" si="131"/>
        <v>0</v>
      </c>
      <c r="K122" s="14">
        <f t="shared" si="131"/>
        <v>0</v>
      </c>
      <c r="L122" s="14">
        <f t="shared" si="131"/>
        <v>0</v>
      </c>
      <c r="M122" s="14">
        <f t="shared" si="131"/>
        <v>0</v>
      </c>
      <c r="N122" s="14">
        <f t="shared" si="131"/>
        <v>87739.199999999997</v>
      </c>
      <c r="O122" s="86"/>
      <c r="T122" s="117" t="str">
        <f>'Energy matrix'!B59</f>
        <v>Refinery gas</v>
      </c>
      <c r="U122" s="117"/>
      <c r="V122" s="118">
        <f>+INDEX('Energy matrix'!C59:N59,1,$D$2)</f>
        <v>0</v>
      </c>
      <c r="W122" s="117"/>
    </row>
    <row r="123" spans="3:31" ht="12.75" customHeight="1">
      <c r="C123" s="17" t="s">
        <v>57</v>
      </c>
      <c r="D123" s="18">
        <f t="shared" ref="D123:N123" si="132">SUM(D117:D122)</f>
        <v>28433.278999999999</v>
      </c>
      <c r="E123" s="18">
        <f t="shared" si="132"/>
        <v>0</v>
      </c>
      <c r="F123" s="18">
        <f t="shared" si="132"/>
        <v>429.27</v>
      </c>
      <c r="G123" s="18">
        <f t="shared" si="132"/>
        <v>0</v>
      </c>
      <c r="H123" s="18">
        <f t="shared" si="132"/>
        <v>0</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matrix'!B61</f>
        <v>Manufactured Gases</v>
      </c>
      <c r="U123" s="117"/>
      <c r="V123" s="118">
        <f>+INDEX('Energy matrix'!C61:N61,1,$D$2)</f>
        <v>93782.1</v>
      </c>
      <c r="W123" s="117"/>
    </row>
    <row r="124" spans="3:31" ht="12.75" customHeight="1">
      <c r="E124" s="25"/>
      <c r="F124" s="25"/>
      <c r="G124" s="25"/>
      <c r="H124" s="25"/>
      <c r="I124" s="25"/>
      <c r="J124" s="25"/>
      <c r="K124" s="25"/>
      <c r="O124" s="86"/>
      <c r="T124" s="117" t="str">
        <f>'Energy matrix'!B62</f>
        <v>Natural gas</v>
      </c>
      <c r="U124" s="117"/>
      <c r="V124" s="118">
        <f>+INDEX('Energy matrix'!C62:N62,1,$D$2)</f>
        <v>86104.111999999994</v>
      </c>
      <c r="W124" s="117"/>
    </row>
    <row r="125" spans="3:31" ht="12.75" customHeight="1">
      <c r="E125" s="25"/>
      <c r="F125" s="25"/>
      <c r="G125" s="25"/>
      <c r="H125" s="25"/>
      <c r="I125" s="25"/>
      <c r="J125" s="25"/>
      <c r="K125" s="25"/>
      <c r="O125" s="86"/>
      <c r="T125" s="117" t="str">
        <f>'Energy matrix'!B63</f>
        <v>Biogas</v>
      </c>
      <c r="U125" s="117"/>
      <c r="V125" s="118">
        <f>+INDEX('Energy matrix'!C63:N63,1,$D$2)</f>
        <v>0</v>
      </c>
      <c r="W125" s="117"/>
    </row>
    <row r="126" spans="3:31" ht="12.75" customHeight="1">
      <c r="O126" s="86"/>
      <c r="T126" s="117" t="str">
        <f>'Energy matrix'!B68</f>
        <v>Biomass</v>
      </c>
      <c r="U126" s="117"/>
      <c r="V126" s="118">
        <f>+INDEX('Energy matrix'!C68:N68,1,$D$2)</f>
        <v>4</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296491.96100000001</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527</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13936.425000000001</v>
      </c>
      <c r="H26" s="322">
        <f t="shared" si="0"/>
        <v>0</v>
      </c>
      <c r="I26" s="322">
        <f t="shared" si="0"/>
        <v>0</v>
      </c>
      <c r="J26" s="322">
        <f t="shared" ref="J26:L29" si="1">ROUNDUP(BA26/($Z26*$AA26)*J$21*W26,3)</f>
        <v>12341.655000000001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213.55641341107875</v>
      </c>
      <c r="AH26" s="236">
        <f t="shared" ref="AH26:AH41" si="11">((J26*Z26*AA26/W26)+(K26*Z26*AA26/X26))/$J$21</f>
        <v>196.60862400484947</v>
      </c>
      <c r="AI26" s="236">
        <f t="shared" ref="AI26:AI41" si="12">((M26*AA26*Z26/W26)+(N26*Z26*AA26/X26))/$M$21</f>
        <v>1.522811565972924</v>
      </c>
      <c r="AJ26" s="385"/>
      <c r="AK26" s="530" t="str">
        <f ca="1">F26</f>
        <v>ICDPH</v>
      </c>
      <c r="AL26" s="350" t="s">
        <v>97</v>
      </c>
      <c r="AM26" s="313">
        <f>I77/1000</f>
        <v>213.55639830000004</v>
      </c>
      <c r="AN26" s="310">
        <f>AM26*$AN$23</f>
        <v>213.55639830000004</v>
      </c>
      <c r="AO26" s="311">
        <f>AM26*$AO$23</f>
        <v>0</v>
      </c>
      <c r="AP26" s="311">
        <f>AM26*$AP$23</f>
        <v>0</v>
      </c>
      <c r="AQ26" s="312">
        <f t="shared" ref="AQ26:AQ62" si="13">IFERROR(G26*$Z26*$AA26/G$21,0)</f>
        <v>209.28528514285716</v>
      </c>
      <c r="AR26" s="311">
        <f t="shared" ref="AR26:AR62" si="14">IFERROR(H26*$Z26*$AA26/H$21,0)</f>
        <v>0</v>
      </c>
      <c r="AS26" s="338">
        <f t="shared" ref="AS26:AS62" si="15">IFERROR(I26*$Z26*$AA26/I$21,0)</f>
        <v>0</v>
      </c>
      <c r="AT26" s="313">
        <f t="shared" ref="AT26:AV29" si="16">IFERROR(AQ26/W26,0)</f>
        <v>213.55641341107875</v>
      </c>
      <c r="AU26" s="310">
        <f t="shared" si="16"/>
        <v>0</v>
      </c>
      <c r="AV26" s="357">
        <f t="shared" si="16"/>
        <v>0</v>
      </c>
      <c r="AW26" s="285"/>
      <c r="AX26" s="530" t="str">
        <f t="shared" ref="AX26:AX62" ca="1" si="17">AK26</f>
        <v>ICDPH</v>
      </c>
      <c r="AY26" s="350" t="s">
        <v>97</v>
      </c>
      <c r="AZ26" s="313">
        <f>I97/1000</f>
        <v>196.60861890000001</v>
      </c>
      <c r="BA26" s="310">
        <f>AZ26*$AN$23</f>
        <v>196.60861890000001</v>
      </c>
      <c r="BB26" s="311">
        <f>AZ26*$BB$23</f>
        <v>0</v>
      </c>
      <c r="BC26" s="311">
        <f>AZ26*$BC$23</f>
        <v>0</v>
      </c>
      <c r="BD26" s="313">
        <f t="shared" ref="BD26:BD62" si="18">IFERROR(J26*$Z26*AA26/J$21,0)</f>
        <v>192.67645152475248</v>
      </c>
      <c r="BE26" s="310">
        <f t="shared" ref="BE26:BE62" si="19">IFERROR(K26*$Z26*AA26/K$21,0)</f>
        <v>0</v>
      </c>
      <c r="BF26" s="357">
        <f t="shared" ref="BF26:BF62" si="20">IFERROR(L26*$Z26*AA26/L$21,0)</f>
        <v>0</v>
      </c>
      <c r="BG26" s="313">
        <f t="shared" ref="BG26:BG35" si="21">IFERROR(BD26/W26,0)</f>
        <v>196.60862400484947</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13968.332</v>
      </c>
      <c r="N31" s="322">
        <f t="shared" si="32"/>
        <v>0</v>
      </c>
      <c r="O31" s="322">
        <f t="shared" si="32"/>
        <v>0</v>
      </c>
      <c r="P31" s="322">
        <f t="shared" si="3"/>
        <v>13968.332</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222.52238732673268</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222.52237600000001</v>
      </c>
      <c r="BN31" s="561">
        <f>BM31*$AN$23</f>
        <v>222.52237600000001</v>
      </c>
      <c r="BO31" s="562">
        <f>BM31*$BB$23</f>
        <v>0</v>
      </c>
      <c r="BP31" s="562">
        <f>BM31*$BC$23</f>
        <v>0</v>
      </c>
      <c r="BQ31" s="560">
        <f t="shared" si="24"/>
        <v>218.07193958019803</v>
      </c>
      <c r="BR31" s="561">
        <f t="shared" si="25"/>
        <v>0</v>
      </c>
      <c r="BS31" s="566">
        <f t="shared" si="26"/>
        <v>0</v>
      </c>
      <c r="BT31" s="560">
        <f t="shared" si="27"/>
        <v>222.52238732673268</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f t="shared" si="32"/>
        <v>0</v>
      </c>
      <c r="N33" s="322">
        <f t="shared" si="32"/>
        <v>0</v>
      </c>
      <c r="O33" s="322">
        <f t="shared" si="32"/>
        <v>0</v>
      </c>
      <c r="P33" s="322">
        <f t="shared" si="3"/>
        <v>0</v>
      </c>
      <c r="Q33" s="322">
        <f t="shared" si="4"/>
        <v>0</v>
      </c>
      <c r="R33" s="322">
        <f t="shared" si="5"/>
        <v>0</v>
      </c>
      <c r="S33" s="322">
        <f t="shared" si="6"/>
        <v>0</v>
      </c>
      <c r="T33" s="322">
        <f t="shared" si="7"/>
        <v>0</v>
      </c>
      <c r="U33" s="322">
        <f t="shared" si="8"/>
        <v>0</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f t="shared" si="12"/>
        <v>0</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f>H117/1000</f>
        <v>0</v>
      </c>
      <c r="BN33" s="561">
        <f>BM33*$AN$23</f>
        <v>0</v>
      </c>
      <c r="BO33" s="562">
        <f>BM33*$BB$23</f>
        <v>0</v>
      </c>
      <c r="BP33" s="562">
        <f>BM33*$BC$23</f>
        <v>0</v>
      </c>
      <c r="BQ33" s="560">
        <f t="shared" si="24"/>
        <v>0</v>
      </c>
      <c r="BR33" s="561">
        <f t="shared" si="25"/>
        <v>0</v>
      </c>
      <c r="BS33" s="566">
        <f t="shared" si="26"/>
        <v>0</v>
      </c>
      <c r="BT33" s="560">
        <f t="shared" si="27"/>
        <v>0</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f t="shared" si="55"/>
        <v>0</v>
      </c>
      <c r="N44" s="322">
        <f t="shared" si="55"/>
        <v>0</v>
      </c>
      <c r="O44" s="322">
        <f t="shared" si="55"/>
        <v>0</v>
      </c>
      <c r="P44" s="322">
        <f t="shared" si="3"/>
        <v>0</v>
      </c>
      <c r="Q44" s="322">
        <f t="shared" si="4"/>
        <v>0</v>
      </c>
      <c r="R44" s="322">
        <f t="shared" si="5"/>
        <v>0</v>
      </c>
      <c r="S44" s="322">
        <f t="shared" si="6"/>
        <v>0</v>
      </c>
      <c r="T44" s="322">
        <f t="shared" si="7"/>
        <v>0</v>
      </c>
      <c r="U44" s="322">
        <f t="shared" si="8"/>
        <v>0</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f t="shared" si="59"/>
        <v>0</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f>H118/1000</f>
        <v>0</v>
      </c>
      <c r="BN44" s="562">
        <f t="shared" si="63"/>
        <v>0</v>
      </c>
      <c r="BO44" s="562">
        <f t="shared" si="48"/>
        <v>0</v>
      </c>
      <c r="BP44" s="562">
        <f t="shared" si="49"/>
        <v>0</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1580.0940000000001</v>
      </c>
      <c r="H47" s="322">
        <f t="shared" si="53"/>
        <v>0</v>
      </c>
      <c r="I47" s="322">
        <f t="shared" si="53"/>
        <v>0</v>
      </c>
      <c r="J47" s="322">
        <f t="shared" si="54"/>
        <v>1399.2809999999999</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23.728497325714287</v>
      </c>
      <c r="AH47" s="236">
        <f t="shared" si="58"/>
        <v>21.845408720792079</v>
      </c>
      <c r="AI47" s="236">
        <f t="shared" si="59"/>
        <v>0.16920156831683167</v>
      </c>
      <c r="AJ47" s="285"/>
      <c r="AK47" s="530" t="str">
        <f ca="1">F47</f>
        <v>ICDSH</v>
      </c>
      <c r="AL47" s="571" t="s">
        <v>97</v>
      </c>
      <c r="AM47" s="572">
        <f>I82/1000</f>
        <v>23.728488700000003</v>
      </c>
      <c r="AN47" s="574">
        <f t="shared" si="60"/>
        <v>23.728488700000003</v>
      </c>
      <c r="AO47" s="562">
        <f t="shared" ref="AO47:AO55" si="64">AM47*$AO$23</f>
        <v>0</v>
      </c>
      <c r="AP47" s="562">
        <f t="shared" ref="AP47:AP55" si="65">AM47*$AP$23</f>
        <v>0</v>
      </c>
      <c r="AQ47" s="582">
        <f t="shared" si="13"/>
        <v>23.728497325714287</v>
      </c>
      <c r="AR47" s="562">
        <f t="shared" si="14"/>
        <v>0</v>
      </c>
      <c r="AS47" s="563">
        <f t="shared" si="15"/>
        <v>0</v>
      </c>
      <c r="AT47" s="572">
        <f t="shared" si="61"/>
        <v>23.728497325714287</v>
      </c>
      <c r="AU47" s="574">
        <f t="shared" si="61"/>
        <v>0</v>
      </c>
      <c r="AV47" s="575">
        <f t="shared" si="61"/>
        <v>0</v>
      </c>
      <c r="AW47" s="285"/>
      <c r="AX47" s="530" t="str">
        <f t="shared" ca="1" si="17"/>
        <v>ICDSH</v>
      </c>
      <c r="AY47" s="571" t="s">
        <v>97</v>
      </c>
      <c r="AZ47" s="572">
        <f>I102/1000</f>
        <v>21.845402100000005</v>
      </c>
      <c r="BA47" s="574">
        <f t="shared" si="62"/>
        <v>21.845402100000005</v>
      </c>
      <c r="BB47" s="562">
        <f t="shared" si="43"/>
        <v>0</v>
      </c>
      <c r="BC47" s="562">
        <f t="shared" si="44"/>
        <v>0</v>
      </c>
      <c r="BD47" s="572">
        <f t="shared" si="18"/>
        <v>21.845408720792079</v>
      </c>
      <c r="BE47" s="574">
        <f t="shared" si="19"/>
        <v>0</v>
      </c>
      <c r="BF47" s="575">
        <f t="shared" si="20"/>
        <v>0</v>
      </c>
      <c r="BG47" s="572">
        <f t="shared" si="45"/>
        <v>21.845408720792079</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f t="shared" si="68"/>
        <v>0</v>
      </c>
      <c r="N54" s="322">
        <f t="shared" si="68"/>
        <v>0</v>
      </c>
      <c r="O54" s="322">
        <f t="shared" si="68"/>
        <v>0</v>
      </c>
      <c r="P54" s="322">
        <f t="shared" si="3"/>
        <v>0</v>
      </c>
      <c r="Q54" s="322">
        <f t="shared" si="4"/>
        <v>0</v>
      </c>
      <c r="R54" s="322">
        <f t="shared" si="5"/>
        <v>0</v>
      </c>
      <c r="S54" s="322">
        <f t="shared" si="6"/>
        <v>0</v>
      </c>
      <c r="T54" s="322">
        <f t="shared" si="7"/>
        <v>0</v>
      </c>
      <c r="U54" s="322">
        <f t="shared" si="8"/>
        <v>0</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f t="shared" si="73"/>
        <v>0</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f>H122/1000</f>
        <v>0</v>
      </c>
      <c r="BN54" s="561">
        <f>BM54*$AN$23</f>
        <v>0</v>
      </c>
      <c r="BO54" s="562">
        <f t="shared" si="48"/>
        <v>0</v>
      </c>
      <c r="BP54" s="562">
        <f t="shared" si="49"/>
        <v>0</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f t="shared" si="80"/>
        <v>0</v>
      </c>
      <c r="N62" s="323">
        <f t="shared" si="80"/>
        <v>0</v>
      </c>
      <c r="O62" s="323">
        <f t="shared" si="80"/>
        <v>0</v>
      </c>
      <c r="P62" s="323">
        <f t="shared" si="3"/>
        <v>0</v>
      </c>
      <c r="Q62" s="323">
        <f t="shared" si="4"/>
        <v>0</v>
      </c>
      <c r="R62" s="323">
        <f t="shared" si="5"/>
        <v>0</v>
      </c>
      <c r="S62" s="323">
        <f t="shared" si="77"/>
        <v>0</v>
      </c>
      <c r="T62" s="323">
        <f t="shared" si="76"/>
        <v>0</v>
      </c>
      <c r="U62" s="323">
        <f t="shared" si="76"/>
        <v>0</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f t="shared" si="73"/>
        <v>0</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f>H119/1000</f>
        <v>0</v>
      </c>
      <c r="BN62" s="534">
        <f>BM62*$AN$23</f>
        <v>0</v>
      </c>
      <c r="BO62" s="535">
        <f>BM62*$BB$23</f>
        <v>0</v>
      </c>
      <c r="BP62" s="535">
        <f>BM62*$BC$23</f>
        <v>0</v>
      </c>
      <c r="BQ62" s="546">
        <f t="shared" si="24"/>
        <v>0</v>
      </c>
      <c r="BR62" s="537">
        <f t="shared" si="25"/>
        <v>0</v>
      </c>
      <c r="BS62" s="538">
        <f t="shared" si="26"/>
        <v>0</v>
      </c>
      <c r="BT62" s="546">
        <f t="shared" si="83"/>
        <v>0</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503</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213556.39830000003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23728.488700000002</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237284.88700000005</v>
      </c>
      <c r="J83" s="18">
        <f t="shared" si="93"/>
        <v>4839</v>
      </c>
      <c r="K83" s="18">
        <f t="shared" si="93"/>
        <v>1701</v>
      </c>
      <c r="L83" s="18">
        <f t="shared" si="93"/>
        <v>6545</v>
      </c>
      <c r="M83" s="18">
        <f t="shared" si="93"/>
        <v>188413.20000000004</v>
      </c>
      <c r="N83" s="18">
        <f t="shared" si="93"/>
        <v>75475</v>
      </c>
      <c r="O83" s="86"/>
      <c r="T83" s="117" t="str">
        <f>+'Energy matrix'!B12</f>
        <v>Natural gas</v>
      </c>
      <c r="U83" s="117"/>
      <c r="V83" s="118">
        <f>+INDEX('Energy matrix'!C12:N12,1,$D$2)</f>
        <v>237284.88700000002</v>
      </c>
      <c r="W83" s="117"/>
    </row>
    <row r="84" spans="3:24" ht="12.75" customHeight="1">
      <c r="E84" s="25"/>
      <c r="F84" s="25"/>
      <c r="G84" s="25"/>
      <c r="H84" s="25"/>
      <c r="I84" s="25"/>
      <c r="J84" s="25"/>
      <c r="K84" s="25"/>
      <c r="O84" s="86"/>
      <c r="T84" s="117" t="str">
        <f>+'Energy matrix'!B13</f>
        <v>Biogas</v>
      </c>
      <c r="U84" s="117"/>
      <c r="V84" s="118">
        <f>+INDEX('Energy matrix'!C13:N13,1,$D$2)</f>
        <v>4839</v>
      </c>
      <c r="W84" s="117"/>
    </row>
    <row r="85" spans="3:24" ht="12.75" customHeight="1">
      <c r="E85" s="25"/>
      <c r="F85" s="25"/>
      <c r="G85" s="25"/>
      <c r="H85" s="25"/>
      <c r="I85" s="25"/>
      <c r="J85" s="25"/>
      <c r="K85" s="25"/>
      <c r="O85" s="86"/>
      <c r="T85" s="117" t="str">
        <f>+'Energy matrix'!B18</f>
        <v>Biomass</v>
      </c>
      <c r="U85" s="117"/>
      <c r="V85" s="118">
        <f>+INDEX('Energy matrix'!C18:N18,1,$D$2)</f>
        <v>1701</v>
      </c>
      <c r="W85" s="117"/>
    </row>
    <row r="86" spans="3:24" ht="12.75" customHeight="1">
      <c r="O86" s="86"/>
      <c r="T86" s="117" t="str">
        <f>+'Energy matrix'!B19</f>
        <v>Waste</v>
      </c>
      <c r="U86" s="117"/>
      <c r="V86" s="118">
        <f>+INDEX('Energy matrix'!C19:N19,1,$D$2)</f>
        <v>6545</v>
      </c>
      <c r="W86" s="117"/>
    </row>
    <row r="87" spans="3:24" ht="12.75" customHeight="1">
      <c r="O87" s="86"/>
      <c r="T87" s="117" t="str">
        <f>+'Energy matrix'!B20</f>
        <v>Electricity</v>
      </c>
      <c r="U87" s="117"/>
      <c r="V87" s="118">
        <f>+INDEX('Energy matrix'!C20:N20,1,$D$2)</f>
        <v>188413.2</v>
      </c>
      <c r="W87" s="117"/>
    </row>
    <row r="88" spans="3:24" ht="12.75" customHeight="1">
      <c r="O88" s="86"/>
      <c r="T88" s="122" t="str">
        <f>+'Energy matrix'!B21</f>
        <v>District Heating</v>
      </c>
      <c r="U88" s="122"/>
      <c r="V88" s="123">
        <f>+INDEX('Energy matrix'!C21:N21,1,$D$2)</f>
        <v>75475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584711.63899999997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196608.6189</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matrix'!C29:N29,1,$D$2)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matrix'!B30</f>
        <v>Coal</v>
      </c>
      <c r="U98" s="117"/>
      <c r="V98" s="118">
        <f>+INDEX('Energy matrix'!C30:N30,1,$D$2)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matrix'!B31</f>
        <v>Fuel Oil</v>
      </c>
      <c r="U99" s="117"/>
      <c r="V99" s="118">
        <f>+INDEX('Energy matrix'!C31:N31,1,$D$2)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matrix'!B32</f>
        <v>Diesel</v>
      </c>
      <c r="U100" s="117"/>
      <c r="V100" s="118">
        <f>+INDEX('Energy matrix'!C32:N32,1,$D$2)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21845.402100000003</v>
      </c>
      <c r="J102" s="14" t="e">
        <f t="shared" si="109"/>
        <v>#REF!</v>
      </c>
      <c r="K102" s="14">
        <f t="shared" si="109"/>
        <v>0</v>
      </c>
      <c r="L102" s="14">
        <f t="shared" si="109"/>
        <v>0</v>
      </c>
      <c r="M102" s="14">
        <f t="shared" si="109"/>
        <v>1924.74</v>
      </c>
      <c r="N102" s="14">
        <f t="shared" si="109"/>
        <v>97183</v>
      </c>
      <c r="O102" s="86"/>
      <c r="R102" s="287"/>
      <c r="S102" s="287"/>
      <c r="T102" s="117" t="str">
        <f>'Energy matrix'!B35</f>
        <v>LPG</v>
      </c>
      <c r="U102" s="117"/>
      <c r="V102" s="118">
        <f>+INDEX('Energy matrix'!C35:N35,1,$D$2)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218454.02100000001</v>
      </c>
      <c r="J103" s="18" t="e">
        <f t="shared" si="110"/>
        <v>#REF!</v>
      </c>
      <c r="K103" s="18">
        <f t="shared" si="110"/>
        <v>1409</v>
      </c>
      <c r="L103" s="18">
        <f t="shared" si="110"/>
        <v>8685</v>
      </c>
      <c r="M103" s="18">
        <f t="shared" si="110"/>
        <v>192474</v>
      </c>
      <c r="N103" s="18">
        <f t="shared" si="110"/>
        <v>97183</v>
      </c>
      <c r="O103" s="86"/>
      <c r="R103" s="287"/>
      <c r="S103" s="287"/>
      <c r="T103" s="117" t="str">
        <f>'Energy matrix'!B37</f>
        <v>Natural gas</v>
      </c>
      <c r="U103" s="117"/>
      <c r="V103" s="118">
        <f>+INDEX('Energy matrix'!C37:N37,1,$D$2)</f>
        <v>218454.02100000001</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1409</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8685</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192474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matrix'!B53</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f t="shared" si="121"/>
        <v>0</v>
      </c>
      <c r="I117" s="14">
        <f t="shared" si="121"/>
        <v>1522.8</v>
      </c>
      <c r="J117" s="14">
        <f t="shared" si="121"/>
        <v>222522.37600000002</v>
      </c>
      <c r="K117" s="14">
        <f t="shared" si="121"/>
        <v>682</v>
      </c>
      <c r="L117" s="14">
        <f t="shared" si="121"/>
        <v>1113</v>
      </c>
      <c r="M117" s="14">
        <f t="shared" si="121"/>
        <v>0</v>
      </c>
      <c r="N117" s="14">
        <f t="shared" si="121"/>
        <v>0</v>
      </c>
      <c r="O117" s="86"/>
      <c r="T117" s="48" t="s">
        <v>209</v>
      </c>
      <c r="U117" s="48"/>
      <c r="V117" s="126" t="str">
        <f>+INDEX('Energy matrix'!C54:N54,1,$D$2)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f t="shared" si="122"/>
        <v>0</v>
      </c>
      <c r="I118" s="14">
        <f t="shared" si="122"/>
        <v>0</v>
      </c>
      <c r="J118" s="14">
        <f t="shared" si="122"/>
        <v>0</v>
      </c>
      <c r="K118" s="14">
        <f t="shared" si="122"/>
        <v>0</v>
      </c>
      <c r="L118" s="14">
        <f t="shared" si="122"/>
        <v>0</v>
      </c>
      <c r="M118" s="14">
        <f t="shared" si="122"/>
        <v>962.28</v>
      </c>
      <c r="N118" s="14">
        <f t="shared" si="122"/>
        <v>0</v>
      </c>
      <c r="O118" s="86"/>
      <c r="T118" s="117" t="str">
        <f>'Energy matrix'!B55</f>
        <v>Coal</v>
      </c>
      <c r="U118" s="117"/>
      <c r="V118" s="118">
        <f>+INDEX('Energy matrix'!C55:N55,1,$D$2)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f t="shared" si="123"/>
        <v>0</v>
      </c>
      <c r="I119" s="19">
        <f t="shared" si="123"/>
        <v>0</v>
      </c>
      <c r="J119" s="19">
        <f t="shared" si="123"/>
        <v>0</v>
      </c>
      <c r="K119" s="19">
        <f t="shared" si="123"/>
        <v>0</v>
      </c>
      <c r="L119" s="19">
        <f t="shared" si="123"/>
        <v>0</v>
      </c>
      <c r="M119" s="19">
        <f t="shared" si="123"/>
        <v>0</v>
      </c>
      <c r="N119" s="19">
        <f t="shared" si="123"/>
        <v>0</v>
      </c>
      <c r="O119" s="86"/>
      <c r="T119" s="117" t="str">
        <f>'Energy matrix'!B56</f>
        <v>Fuel Oil</v>
      </c>
      <c r="U119" s="117"/>
      <c r="V119" s="118">
        <f>+INDEX('Energy matrix'!C56:N56,1,$D$2)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f t="shared" si="124"/>
        <v>0</v>
      </c>
      <c r="I120" s="14">
        <f t="shared" si="124"/>
        <v>0</v>
      </c>
      <c r="J120" s="14">
        <f t="shared" si="124"/>
        <v>0</v>
      </c>
      <c r="K120" s="14">
        <f t="shared" si="124"/>
        <v>0</v>
      </c>
      <c r="L120" s="14">
        <f t="shared" si="124"/>
        <v>0</v>
      </c>
      <c r="M120" s="14">
        <f t="shared" si="124"/>
        <v>612.36</v>
      </c>
      <c r="N120" s="14">
        <f t="shared" si="124"/>
        <v>0</v>
      </c>
      <c r="O120" s="86"/>
      <c r="T120" s="117" t="str">
        <f>'Energy matrix'!B57</f>
        <v>Diesel</v>
      </c>
      <c r="U120" s="117"/>
      <c r="V120" s="118">
        <f>+INDEX('Energy matrix'!C57:N57,1,$D$2)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f t="shared" si="125"/>
        <v>0</v>
      </c>
      <c r="I121" s="14">
        <f t="shared" si="125"/>
        <v>0</v>
      </c>
      <c r="J121" s="14">
        <f t="shared" si="125"/>
        <v>0</v>
      </c>
      <c r="K121" s="14">
        <f t="shared" si="125"/>
        <v>0</v>
      </c>
      <c r="L121" s="14">
        <f t="shared" si="125"/>
        <v>0</v>
      </c>
      <c r="M121" s="14">
        <f t="shared" si="125"/>
        <v>7085.88</v>
      </c>
      <c r="N121" s="14">
        <f t="shared" si="125"/>
        <v>0</v>
      </c>
      <c r="O121" s="86"/>
      <c r="T121" s="117" t="str">
        <f>'Energy matrix'!B58</f>
        <v>Gasoline</v>
      </c>
      <c r="U121" s="117"/>
      <c r="V121" s="118">
        <f>+INDEX('Energy matrix'!C58:N58,1,$D$2)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f t="shared" si="126"/>
        <v>0</v>
      </c>
      <c r="I122" s="14">
        <f t="shared" si="126"/>
        <v>169.20000000000002</v>
      </c>
      <c r="J122" s="14">
        <f t="shared" si="126"/>
        <v>0</v>
      </c>
      <c r="K122" s="14">
        <f t="shared" si="126"/>
        <v>0</v>
      </c>
      <c r="L122" s="14">
        <f t="shared" si="126"/>
        <v>0</v>
      </c>
      <c r="M122" s="14">
        <f t="shared" si="126"/>
        <v>87.48</v>
      </c>
      <c r="N122" s="14">
        <f t="shared" si="126"/>
        <v>189748.8</v>
      </c>
      <c r="O122" s="86"/>
      <c r="T122" s="117" t="str">
        <f>'Energy matrix'!B59</f>
        <v>Refinery gas</v>
      </c>
      <c r="U122" s="117"/>
      <c r="V122" s="118">
        <f>+INDEX('Energy matrix'!C59:N59,1,$D$2)</f>
        <v>0</v>
      </c>
      <c r="W122" s="117"/>
    </row>
    <row r="123" spans="3:31" ht="12.75" customHeight="1">
      <c r="C123" s="17" t="s">
        <v>57</v>
      </c>
      <c r="D123" s="18">
        <f t="shared" ref="D123:N123" si="127">SUM(D117:D122)</f>
        <v>14652.936</v>
      </c>
      <c r="E123" s="18">
        <f t="shared" si="127"/>
        <v>21139.732</v>
      </c>
      <c r="F123" s="18">
        <f t="shared" si="127"/>
        <v>1588.299</v>
      </c>
      <c r="G123" s="18">
        <f t="shared" si="127"/>
        <v>0</v>
      </c>
      <c r="H123" s="18">
        <f t="shared" si="127"/>
        <v>0</v>
      </c>
      <c r="I123" s="18">
        <f t="shared" si="127"/>
        <v>1692</v>
      </c>
      <c r="J123" s="18">
        <f t="shared" si="127"/>
        <v>222522.37600000002</v>
      </c>
      <c r="K123" s="18">
        <f t="shared" si="127"/>
        <v>682</v>
      </c>
      <c r="L123" s="18">
        <f t="shared" si="127"/>
        <v>1113</v>
      </c>
      <c r="M123" s="18">
        <f t="shared" si="127"/>
        <v>8748</v>
      </c>
      <c r="N123" s="18">
        <f t="shared" si="127"/>
        <v>189748.8</v>
      </c>
      <c r="O123" s="86"/>
      <c r="T123" s="117" t="str">
        <f>'Energy matrix'!B61</f>
        <v>Manufactured Gases</v>
      </c>
      <c r="U123" s="117"/>
      <c r="V123" s="118">
        <f>+INDEX('Energy matrix'!C61:N61,1,$D$2)</f>
        <v>1692</v>
      </c>
      <c r="W123" s="117"/>
    </row>
    <row r="124" spans="3:31" ht="12.75" customHeight="1">
      <c r="E124" s="25"/>
      <c r="F124" s="25"/>
      <c r="G124" s="25"/>
      <c r="H124" s="25"/>
      <c r="I124" s="25"/>
      <c r="J124" s="25"/>
      <c r="K124" s="25"/>
      <c r="O124" s="86"/>
      <c r="T124" s="117" t="str">
        <f>'Energy matrix'!B62</f>
        <v>Natural gas</v>
      </c>
      <c r="U124" s="117"/>
      <c r="V124" s="118">
        <f>+INDEX('Energy matrix'!C62:N62,1,$D$2)</f>
        <v>222522.37600000002</v>
      </c>
      <c r="W124" s="117"/>
    </row>
    <row r="125" spans="3:31" ht="12.75" customHeight="1">
      <c r="E125" s="25"/>
      <c r="F125" s="25"/>
      <c r="G125" s="25"/>
      <c r="H125" s="25"/>
      <c r="I125" s="25"/>
      <c r="J125" s="25"/>
      <c r="K125" s="25"/>
      <c r="O125" s="86"/>
      <c r="T125" s="117" t="str">
        <f>'Energy matrix'!B63</f>
        <v>Biogas</v>
      </c>
      <c r="U125" s="117"/>
      <c r="V125" s="118">
        <f>+INDEX('Energy matrix'!C63:N63,1,$D$2)</f>
        <v>682</v>
      </c>
      <c r="W125" s="117"/>
    </row>
    <row r="126" spans="3:31" ht="12.75" customHeight="1">
      <c r="O126" s="86"/>
      <c r="T126" s="117" t="str">
        <f>'Energy matrix'!B68</f>
        <v>Biomass</v>
      </c>
      <c r="U126" s="117"/>
      <c r="V126" s="118">
        <f>+INDEX('Energy matrix'!C68:N68,1,$D$2)</f>
        <v>1113</v>
      </c>
      <c r="W126" s="117"/>
    </row>
    <row r="127" spans="3:31" ht="12.75" customHeight="1">
      <c r="O127" s="86"/>
      <c r="T127" s="117" t="str">
        <f>'Energy matrix'!B69</f>
        <v>Waste</v>
      </c>
      <c r="U127" s="117"/>
      <c r="V127" s="118">
        <f>+INDEX('Energy matrix'!C69:N69,1,$D$2)</f>
        <v>8748</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461887.14299999998</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527</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528</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529</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530</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532</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f t="shared" si="10"/>
        <v>0</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f t="shared" si="84"/>
        <v>0</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matrix'!B12</f>
        <v>Natural gas</v>
      </c>
      <c r="U83" s="117"/>
      <c r="V83" s="118">
        <f>+INDEX('Energy matrix'!C12:N12,1,$D$2)</f>
        <v>102503.992</v>
      </c>
      <c r="W83" s="117"/>
    </row>
    <row r="84" spans="3:24" ht="12.75" customHeight="1">
      <c r="E84" s="25"/>
      <c r="F84" s="25"/>
      <c r="G84" s="25"/>
      <c r="H84" s="25"/>
      <c r="I84" s="25"/>
      <c r="J84" s="25"/>
      <c r="K84" s="25"/>
      <c r="O84" s="86"/>
      <c r="T84" s="117" t="str">
        <f>+'Energy matrix'!B13</f>
        <v>Biogas</v>
      </c>
      <c r="U84" s="117"/>
      <c r="V84" s="118">
        <f>+INDEX('Energy matrix'!C13:N13,1,$D$2)</f>
        <v>17</v>
      </c>
      <c r="W84" s="117"/>
    </row>
    <row r="85" spans="3:24" ht="12.75" customHeight="1">
      <c r="E85" s="25"/>
      <c r="F85" s="25"/>
      <c r="G85" s="25"/>
      <c r="H85" s="25"/>
      <c r="I85" s="25"/>
      <c r="J85" s="25"/>
      <c r="K85" s="25"/>
      <c r="O85" s="86"/>
      <c r="T85" s="117" t="str">
        <f>+'Energy matrix'!B18</f>
        <v>Biomass</v>
      </c>
      <c r="U85" s="117"/>
      <c r="V85" s="118">
        <f>+INDEX('Energy matrix'!C18:N18,1,$D$2)</f>
        <v>6041</v>
      </c>
      <c r="W85" s="117"/>
    </row>
    <row r="86" spans="3:24" ht="12.75" customHeight="1">
      <c r="O86" s="86"/>
      <c r="T86" s="117" t="str">
        <f>+'Energy matrix'!B19</f>
        <v>Waste</v>
      </c>
      <c r="U86" s="117"/>
      <c r="V86" s="118">
        <f>+INDEX('Energy matrix'!C19:N19,1,$D$2)</f>
        <v>33264</v>
      </c>
      <c r="W86" s="117"/>
    </row>
    <row r="87" spans="3:24" ht="12.75" customHeight="1">
      <c r="O87" s="86"/>
      <c r="T87" s="117" t="str">
        <f>+'Energy matrix'!B20</f>
        <v>Electricity</v>
      </c>
      <c r="U87" s="117"/>
      <c r="V87" s="118">
        <f>+INDEX('Energy matrix'!C20:N20,1,$D$2)</f>
        <v>44042.400000000001</v>
      </c>
      <c r="W87" s="117"/>
    </row>
    <row r="88" spans="3:24" ht="12.75" customHeight="1">
      <c r="O88" s="86"/>
      <c r="T88" s="122" t="str">
        <f>+'Energy matrix'!B21</f>
        <v>District Heating</v>
      </c>
      <c r="U88" s="122"/>
      <c r="V88" s="123">
        <f>+INDEX('Energy matrix'!C21:N21,1,$D$2)</f>
        <v>608</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matrix'!C29:N29,1,$D$2)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matrix'!B32</f>
        <v>Diesel</v>
      </c>
      <c r="U100" s="117"/>
      <c r="V100" s="118">
        <f>+INDEX('Energy matrix'!C32:N32,1,$D$2)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matrix'!B37</f>
        <v>Natural gas</v>
      </c>
      <c r="U103" s="117"/>
      <c r="V103" s="118">
        <f>+INDEX('Energy matrix'!C37:N37,1,$D$2)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5787</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44429</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44265.599999999999</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f t="shared" si="127"/>
        <v>0</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matrix'!C54:N54,1,$D$2)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5369.2000000000007</v>
      </c>
      <c r="N120" s="14">
        <f t="shared" si="130"/>
        <v>0</v>
      </c>
      <c r="O120" s="86"/>
      <c r="T120" s="117" t="str">
        <f>'Energy matrix'!B57</f>
        <v>Diesel</v>
      </c>
      <c r="U120" s="117"/>
      <c r="V120" s="118">
        <f>+INDEX('Energy matrix'!C57:N57,1,$D$2)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48322.8</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180.94576273483935</v>
      </c>
      <c r="N122" s="14">
        <f t="shared" si="132"/>
        <v>44971.199999999997</v>
      </c>
      <c r="O122" s="86"/>
      <c r="T122" s="117" t="str">
        <f>'Energy matrix'!B59</f>
        <v>Refinery gas</v>
      </c>
      <c r="U122" s="117"/>
      <c r="V122" s="118">
        <f>+INDEX('Energy matrix'!C59:N59,1,$D$2)</f>
        <v>0</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f t="shared" si="133"/>
        <v>0</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105073.03</v>
      </c>
      <c r="W124" s="117"/>
    </row>
    <row r="125" spans="3:31" ht="12.75" customHeight="1">
      <c r="E125" s="25"/>
      <c r="F125" s="25"/>
      <c r="G125" s="25"/>
      <c r="H125" s="25"/>
      <c r="I125" s="25"/>
      <c r="J125" s="25"/>
      <c r="K125" s="25"/>
      <c r="O125" s="86"/>
      <c r="T125" s="117" t="str">
        <f>'Energy matrix'!B63</f>
        <v>Biogas</v>
      </c>
      <c r="U125" s="117"/>
      <c r="V125" s="118">
        <f>+INDEX('Energy matrix'!C63:N63,1,$D$2)</f>
        <v>12</v>
      </c>
      <c r="W125" s="117"/>
    </row>
    <row r="126" spans="3:31" ht="12.75" customHeight="1">
      <c r="O126" s="86"/>
      <c r="T126" s="117" t="str">
        <f>'Energy matrix'!B68</f>
        <v>Biomass</v>
      </c>
      <c r="U126" s="117"/>
      <c r="V126" s="118">
        <f>+INDEX('Energy matrix'!C68:N68,1,$D$2)</f>
        <v>6651</v>
      </c>
      <c r="W126" s="117"/>
    </row>
    <row r="127" spans="3:31" ht="12.75" customHeight="1">
      <c r="O127" s="86"/>
      <c r="T127" s="117" t="str">
        <f>'Energy matrix'!B69</f>
        <v>Waste</v>
      </c>
      <c r="U127" s="117"/>
      <c r="V127" s="118">
        <f>+INDEX('Energy matrix'!C69:N69,1,$D$2)</f>
        <v>53692</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269791.17499999999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527</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f t="shared" si="10"/>
        <v>0</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matrix'!B12</f>
        <v>Natural gas</v>
      </c>
      <c r="U83" s="117"/>
      <c r="V83" s="118">
        <f>+INDEX('Energy matrix'!C12:N12,1,$D$2)</f>
        <v>6125.4709999999995</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571</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7768.8</v>
      </c>
      <c r="W87" s="117"/>
    </row>
    <row r="88" spans="3:24" ht="12.75" customHeight="1">
      <c r="O88" s="86"/>
      <c r="T88" s="122" t="str">
        <f>+'Energy matrix'!B21</f>
        <v>District Heating</v>
      </c>
      <c r="U88" s="122"/>
      <c r="V88" s="123">
        <f>+INDEX('Energy matrix'!C21:N21,1,$D$2)</f>
        <v>56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matrix'!C29:N29,1,$D$2)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matrix'!B32</f>
        <v>Diesel</v>
      </c>
      <c r="U100" s="117"/>
      <c r="V100" s="118">
        <f>+INDEX('Energy matrix'!C32:N32,1,$D$2)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matrix'!B35</f>
        <v>LPG</v>
      </c>
      <c r="U102" s="117"/>
      <c r="V102" s="118">
        <f>+INDEX('Energy matrix'!C35:N35,1,$D$2)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matrix'!B37</f>
        <v>Natural gas</v>
      </c>
      <c r="U103" s="117"/>
      <c r="V103" s="118">
        <f>+INDEX('Energy matrix'!C37:N37,1,$D$2)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809</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6264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f t="shared" si="127"/>
        <v>0</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matrix'!C54:N54,1,$D$2)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6440.4</v>
      </c>
      <c r="O122" s="86"/>
      <c r="T122" s="117" t="str">
        <f>'Energy matrix'!B59</f>
        <v>Refinery gas</v>
      </c>
      <c r="U122" s="117"/>
      <c r="V122" s="118">
        <f>+INDEX('Energy matrix'!C59:N59,1,$D$2)</f>
        <v>0</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f t="shared" si="133"/>
        <v>0</v>
      </c>
      <c r="I123" s="18">
        <f t="shared" si="133"/>
        <v>0</v>
      </c>
      <c r="J123" s="18">
        <f t="shared" si="133"/>
        <v>3917.636</v>
      </c>
      <c r="K123" s="18">
        <f t="shared" si="133"/>
        <v>73</v>
      </c>
      <c r="L123" s="18">
        <f t="shared" si="133"/>
        <v>130</v>
      </c>
      <c r="M123" s="18">
        <f t="shared" si="133"/>
        <v>0</v>
      </c>
      <c r="N123" s="18">
        <f t="shared" si="133"/>
        <v>6440.4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3917.636</v>
      </c>
      <c r="W124" s="117"/>
    </row>
    <row r="125" spans="3:31" ht="12.75" customHeight="1">
      <c r="E125" s="25"/>
      <c r="F125" s="25"/>
      <c r="G125" s="25"/>
      <c r="H125" s="25"/>
      <c r="I125" s="25"/>
      <c r="J125" s="25"/>
      <c r="K125" s="25"/>
      <c r="O125" s="86"/>
      <c r="T125" s="117" t="str">
        <f>'Energy matrix'!B63</f>
        <v>Biogas</v>
      </c>
      <c r="U125" s="117"/>
      <c r="V125" s="118">
        <f>+INDEX('Energy matrix'!C63:N63,1,$D$2)</f>
        <v>73</v>
      </c>
      <c r="W125" s="117"/>
    </row>
    <row r="126" spans="3:31" ht="12.75" customHeight="1">
      <c r="O126" s="86"/>
      <c r="T126" s="117" t="str">
        <f>'Energy matrix'!B68</f>
        <v>Biomass</v>
      </c>
      <c r="U126" s="117"/>
      <c r="V126" s="118">
        <f>+INDEX('Energy matrix'!C68:N68,1,$D$2)</f>
        <v>130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13955.217999999999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529</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f t="shared" si="10"/>
        <v>0</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f t="shared" si="84"/>
        <v>0</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matrix'!B12</f>
        <v>Natural gas</v>
      </c>
      <c r="U83" s="117"/>
      <c r="V83" s="118">
        <f>+INDEX('Energy matrix'!C12:N12,1,$D$2)</f>
        <v>94414.698000000004</v>
      </c>
      <c r="W83" s="117"/>
    </row>
    <row r="84" spans="3:24" ht="12.75" customHeight="1">
      <c r="E84" s="25"/>
      <c r="F84" s="25"/>
      <c r="G84" s="25"/>
      <c r="H84" s="25"/>
      <c r="I84" s="25"/>
      <c r="J84" s="25"/>
      <c r="K84" s="25"/>
      <c r="O84" s="86"/>
      <c r="T84" s="117" t="str">
        <f>+'Energy matrix'!B13</f>
        <v>Biogas</v>
      </c>
      <c r="U84" s="117"/>
      <c r="V84" s="118">
        <f>+INDEX('Energy matrix'!C13:N13,1,$D$2)</f>
        <v>943</v>
      </c>
      <c r="W84" s="117"/>
    </row>
    <row r="85" spans="3:24" ht="12.75" customHeight="1">
      <c r="E85" s="25"/>
      <c r="F85" s="25"/>
      <c r="G85" s="25"/>
      <c r="H85" s="25"/>
      <c r="I85" s="25"/>
      <c r="J85" s="25"/>
      <c r="K85" s="25"/>
      <c r="O85" s="86"/>
      <c r="T85" s="117" t="str">
        <f>+'Energy matrix'!B18</f>
        <v>Biomass</v>
      </c>
      <c r="U85" s="117"/>
      <c r="V85" s="118">
        <f>+INDEX('Energy matrix'!C18:N18,1,$D$2)</f>
        <v>39709</v>
      </c>
      <c r="W85" s="117"/>
    </row>
    <row r="86" spans="3:24" ht="12.75" customHeight="1">
      <c r="O86" s="86"/>
      <c r="T86" s="117" t="str">
        <f>+'Energy matrix'!B19</f>
        <v>Waste</v>
      </c>
      <c r="U86" s="117"/>
      <c r="V86" s="118">
        <f>+INDEX('Energy matrix'!C19:N19,1,$D$2)</f>
        <v>2134</v>
      </c>
      <c r="W86" s="117"/>
    </row>
    <row r="87" spans="3:24" ht="12.75" customHeight="1">
      <c r="O87" s="86"/>
      <c r="T87" s="117" t="str">
        <f>+'Energy matrix'!B20</f>
        <v>Electricity</v>
      </c>
      <c r="U87" s="117"/>
      <c r="V87" s="118">
        <f>+INDEX('Energy matrix'!C20:N20,1,$D$2)</f>
        <v>87469.2</v>
      </c>
      <c r="W87" s="117"/>
    </row>
    <row r="88" spans="3:24" ht="12.75" customHeight="1">
      <c r="O88" s="86"/>
      <c r="T88" s="122" t="str">
        <f>+'Energy matrix'!B21</f>
        <v>District Heating</v>
      </c>
      <c r="U88" s="122"/>
      <c r="V88" s="123">
        <f>+INDEX('Energy matrix'!C21:N21,1,$D$2)</f>
        <v>17725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matrix'!C29:N29,1,$D$2)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matrix'!B32</f>
        <v>Diesel</v>
      </c>
      <c r="U100" s="117"/>
      <c r="V100" s="118">
        <f>+INDEX('Energy matrix'!C32:N32,1,$D$2)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matrix'!B35</f>
        <v>LPG</v>
      </c>
      <c r="U102" s="117"/>
      <c r="V102" s="118">
        <f>+INDEX('Energy matrix'!C35:N35,1,$D$2)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matrix'!B37</f>
        <v>Natural gas</v>
      </c>
      <c r="U103" s="117"/>
      <c r="V103" s="118">
        <f>+INDEX('Energy matrix'!C37:N37,1,$D$2)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22533</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5482</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76762.8</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f t="shared" si="127"/>
        <v>0</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matrix'!C54:N54,1,$D$2)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1244.6000000000001</v>
      </c>
      <c r="N120" s="14">
        <f t="shared" si="130"/>
        <v>0</v>
      </c>
      <c r="O120" s="86"/>
      <c r="T120" s="117" t="str">
        <f>'Energy matrix'!B57</f>
        <v>Diesel</v>
      </c>
      <c r="U120" s="117"/>
      <c r="V120" s="118">
        <f>+INDEX('Energy matrix'!C57:N57,1,$D$2)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11201.4</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41.943882943414486</v>
      </c>
      <c r="N122" s="14">
        <f t="shared" si="132"/>
        <v>71236.800000000003</v>
      </c>
      <c r="O122" s="86"/>
      <c r="T122" s="117" t="str">
        <f>'Energy matrix'!B59</f>
        <v>Refinery gas</v>
      </c>
      <c r="U122" s="117"/>
      <c r="V122" s="118">
        <f>+INDEX('Energy matrix'!C59:N59,1,$D$2)</f>
        <v>0</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f t="shared" si="133"/>
        <v>0</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78489.357000000004</v>
      </c>
      <c r="W124" s="117"/>
    </row>
    <row r="125" spans="3:31" ht="12.75" customHeight="1">
      <c r="E125" s="25"/>
      <c r="F125" s="25"/>
      <c r="G125" s="25"/>
      <c r="H125" s="25"/>
      <c r="I125" s="25"/>
      <c r="J125" s="25"/>
      <c r="K125" s="25"/>
      <c r="O125" s="86"/>
      <c r="T125" s="117" t="str">
        <f>'Energy matrix'!B63</f>
        <v>Biogas</v>
      </c>
      <c r="U125" s="117"/>
      <c r="V125" s="118">
        <f>+INDEX('Energy matrix'!C63:N63,1,$D$2)</f>
        <v>1340</v>
      </c>
      <c r="W125" s="117"/>
    </row>
    <row r="126" spans="3:31" ht="12.75" customHeight="1">
      <c r="O126" s="86"/>
      <c r="T126" s="117" t="str">
        <f>'Energy matrix'!B68</f>
        <v>Biomass</v>
      </c>
      <c r="U126" s="117"/>
      <c r="V126" s="118">
        <f>+INDEX('Energy matrix'!C68:N68,1,$D$2)</f>
        <v>21064</v>
      </c>
      <c r="W126" s="117"/>
    </row>
    <row r="127" spans="3:31" ht="12.75" customHeight="1">
      <c r="O127" s="86"/>
      <c r="T127" s="117" t="str">
        <f>'Energy matrix'!B69</f>
        <v>Waste</v>
      </c>
      <c r="U127" s="117"/>
      <c r="V127" s="118">
        <f>+INDEX('Energy matrix'!C69:N69,1,$D$2)</f>
        <v>12446</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196872.53899999999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0</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0</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matrix'!B12</f>
        <v>Natural gas</v>
      </c>
      <c r="U83" s="117"/>
      <c r="V83" s="118">
        <f>+INDEX('Energy matrix'!C12:N12,1,$D$2)</f>
        <v>6317.1729999999998</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45952</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16236</v>
      </c>
      <c r="W87" s="117"/>
    </row>
    <row r="88" spans="3:24" ht="12.75" customHeight="1">
      <c r="O88" s="86"/>
      <c r="T88" s="122" t="str">
        <f>+'Energy matrix'!B21</f>
        <v>District Heating</v>
      </c>
      <c r="U88" s="122"/>
      <c r="V88" s="123">
        <f>+INDEX('Energy matrix'!C21:N21,1,$D$2)</f>
        <v>4184</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matrix'!C29:N29,1,$D$2)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matrix'!B32</f>
        <v>Diesel</v>
      </c>
      <c r="U100" s="117"/>
      <c r="V100" s="118">
        <f>+INDEX('Energy matrix'!C32:N32,1,$D$2)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matrix'!B37</f>
        <v>Natural gas</v>
      </c>
      <c r="U103" s="117"/>
      <c r="V103" s="118">
        <f>+INDEX('Energy matrix'!C37:N37,1,$D$2)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50270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19</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16171.2</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f t="shared" si="127"/>
        <v>0</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matrix'!C54:N54,1,$D$2)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14.9</v>
      </c>
      <c r="N120" s="14">
        <f t="shared" si="130"/>
        <v>0</v>
      </c>
      <c r="O120" s="86"/>
      <c r="T120" s="117" t="str">
        <f>'Energy matrix'!B57</f>
        <v>Diesel</v>
      </c>
      <c r="U120" s="117"/>
      <c r="V120" s="118">
        <f>+INDEX('Energy matrix'!C57:N57,1,$D$2)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134.1</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0.50214033091505372</v>
      </c>
      <c r="N122" s="14">
        <f t="shared" si="132"/>
        <v>16434</v>
      </c>
      <c r="O122" s="86"/>
      <c r="T122" s="117" t="str">
        <f>'Energy matrix'!B59</f>
        <v>Refinery gas</v>
      </c>
      <c r="U122" s="117"/>
      <c r="V122" s="118">
        <f>+INDEX('Energy matrix'!C59:N59,1,$D$2)</f>
        <v>0</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f t="shared" si="133"/>
        <v>0</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4556.9449999999997</v>
      </c>
      <c r="W124" s="117"/>
    </row>
    <row r="125" spans="3:31" ht="12.75" customHeight="1">
      <c r="E125" s="25"/>
      <c r="F125" s="25"/>
      <c r="G125" s="25"/>
      <c r="H125" s="25"/>
      <c r="I125" s="25"/>
      <c r="J125" s="25"/>
      <c r="K125" s="25"/>
      <c r="O125" s="86"/>
      <c r="T125" s="117" t="str">
        <f>'Energy matrix'!B63</f>
        <v>Biogas</v>
      </c>
      <c r="U125" s="117"/>
      <c r="V125" s="118">
        <f>+INDEX('Energy matrix'!C63:N63,1,$D$2)</f>
        <v>5</v>
      </c>
      <c r="W125" s="117"/>
    </row>
    <row r="126" spans="3:31" ht="12.75" customHeight="1">
      <c r="O126" s="86"/>
      <c r="T126" s="117" t="str">
        <f>'Energy matrix'!B68</f>
        <v>Biomass</v>
      </c>
      <c r="U126" s="117"/>
      <c r="V126" s="118">
        <f>+INDEX('Energy matrix'!C68:N68,1,$D$2)</f>
        <v>48238</v>
      </c>
      <c r="W126" s="117"/>
    </row>
    <row r="127" spans="3:31" ht="12.75" customHeight="1">
      <c r="O127" s="86"/>
      <c r="T127" s="117" t="str">
        <f>'Energy matrix'!B69</f>
        <v>Waste</v>
      </c>
      <c r="U127" s="117"/>
      <c r="V127" s="118">
        <f>+INDEX('Energy matrix'!C69:N69,1,$D$2)</f>
        <v>149</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69981.339000000007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f t="shared" si="10"/>
        <v>0</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f t="shared" si="84"/>
        <v>0</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matrix'!B12</f>
        <v>Natural gas</v>
      </c>
      <c r="U83" s="117"/>
      <c r="V83" s="118">
        <f>+INDEX('Energy matrix'!C12:N12,1,$D$2)</f>
        <v>32190.673999999999</v>
      </c>
      <c r="W83" s="117"/>
    </row>
    <row r="84" spans="3:24" ht="12.75" customHeight="1">
      <c r="E84" s="25"/>
      <c r="F84" s="25"/>
      <c r="G84" s="25"/>
      <c r="H84" s="25"/>
      <c r="I84" s="25"/>
      <c r="J84" s="25"/>
      <c r="K84" s="25"/>
      <c r="O84" s="86"/>
      <c r="T84" s="117" t="str">
        <f>+'Energy matrix'!B13</f>
        <v>Biogas</v>
      </c>
      <c r="U84" s="117"/>
      <c r="V84" s="118">
        <f>+INDEX('Energy matrix'!C13:N13,1,$D$2)</f>
        <v>17</v>
      </c>
      <c r="W84" s="117"/>
    </row>
    <row r="85" spans="3:24" ht="12.75" customHeight="1">
      <c r="E85" s="25"/>
      <c r="F85" s="25"/>
      <c r="G85" s="25"/>
      <c r="H85" s="25"/>
      <c r="I85" s="25"/>
      <c r="J85" s="25"/>
      <c r="K85" s="25"/>
      <c r="O85" s="86"/>
      <c r="T85" s="117" t="str">
        <f>+'Energy matrix'!B18</f>
        <v>Biomass</v>
      </c>
      <c r="U85" s="117"/>
      <c r="V85" s="118">
        <f>+INDEX('Energy matrix'!C18:N18,1,$D$2)</f>
        <v>0</v>
      </c>
      <c r="W85" s="117"/>
    </row>
    <row r="86" spans="3:24" ht="12.75" customHeight="1">
      <c r="O86" s="86"/>
      <c r="T86" s="117" t="str">
        <f>+'Energy matrix'!B19</f>
        <v>Waste</v>
      </c>
      <c r="U86" s="117"/>
      <c r="V86" s="118">
        <f>+INDEX('Energy matrix'!C19:N19,1,$D$2)</f>
        <v>312</v>
      </c>
      <c r="W86" s="117"/>
    </row>
    <row r="87" spans="3:24" ht="12.75" customHeight="1">
      <c r="O87" s="86"/>
      <c r="T87" s="117" t="str">
        <f>+'Energy matrix'!B20</f>
        <v>Electricity</v>
      </c>
      <c r="U87" s="117"/>
      <c r="V87" s="118">
        <f>+INDEX('Energy matrix'!C20:N20,1,$D$2)</f>
        <v>49122</v>
      </c>
      <c r="W87" s="117"/>
    </row>
    <row r="88" spans="3:24" ht="12.75" customHeight="1">
      <c r="O88" s="86"/>
      <c r="T88" s="122" t="str">
        <f>+'Energy matrix'!B21</f>
        <v>District Heating</v>
      </c>
      <c r="U88" s="122"/>
      <c r="V88" s="123">
        <f>+INDEX('Energy matrix'!C21:N21,1,$D$2)</f>
        <v>2571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matrix'!C29:N29,1,$D$2)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matrix'!B32</f>
        <v>Diesel</v>
      </c>
      <c r="U100" s="117"/>
      <c r="V100" s="118">
        <f>+INDEX('Energy matrix'!C32:N32,1,$D$2)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matrix'!B35</f>
        <v>LPG</v>
      </c>
      <c r="U102" s="117"/>
      <c r="V102" s="118">
        <f>+INDEX('Energy matrix'!C35:N35,1,$D$2)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matrix'!B37</f>
        <v>Natural gas</v>
      </c>
      <c r="U103" s="117"/>
      <c r="V103" s="118">
        <f>+INDEX('Energy matrix'!C37:N37,1,$D$2)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256</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57135.6</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f t="shared" si="127"/>
        <v>0</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matrix'!C54:N54,1,$D$2)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15.47</v>
      </c>
      <c r="N120" s="14">
        <f t="shared" si="130"/>
        <v>0</v>
      </c>
      <c r="O120" s="86"/>
      <c r="T120" s="117" t="str">
        <f>'Energy matrix'!B57</f>
        <v>Diesel</v>
      </c>
      <c r="U120" s="117"/>
      <c r="V120" s="118">
        <f>+INDEX('Energy matrix'!C57:N57,1,$D$2)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76.16</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3.57</v>
      </c>
      <c r="N122" s="14">
        <f t="shared" si="132"/>
        <v>54954</v>
      </c>
      <c r="O122" s="86"/>
      <c r="T122" s="117" t="str">
        <f>'Energy matrix'!B59</f>
        <v>Refinery gas</v>
      </c>
      <c r="U122" s="117"/>
      <c r="V122" s="118">
        <f>+INDEX('Energy matrix'!C59:N59,1,$D$2)</f>
        <v>0</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f t="shared" si="133"/>
        <v>0</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35464.18</v>
      </c>
      <c r="W124" s="117"/>
    </row>
    <row r="125" spans="3:31" ht="12.75" customHeight="1">
      <c r="E125" s="25"/>
      <c r="F125" s="25"/>
      <c r="G125" s="25"/>
      <c r="H125" s="25"/>
      <c r="I125" s="25"/>
      <c r="J125" s="25"/>
      <c r="K125" s="25"/>
      <c r="O125" s="86"/>
      <c r="T125" s="117" t="str">
        <f>'Energy matrix'!B63</f>
        <v>Biogas</v>
      </c>
      <c r="U125" s="117"/>
      <c r="V125" s="118">
        <f>+INDEX('Energy matrix'!C63:N63,1,$D$2)</f>
        <v>10</v>
      </c>
      <c r="W125" s="117"/>
    </row>
    <row r="126" spans="3:31" ht="12.75" customHeight="1">
      <c r="O126" s="86"/>
      <c r="T126" s="117" t="str">
        <f>'Energy matrix'!B68</f>
        <v>Biomass</v>
      </c>
      <c r="U126" s="117"/>
      <c r="V126" s="118">
        <f>+INDEX('Energy matrix'!C68:N68,1,$D$2)</f>
        <v>0</v>
      </c>
      <c r="W126" s="117"/>
    </row>
    <row r="127" spans="3:31" ht="12.75" customHeight="1">
      <c r="O127" s="86"/>
      <c r="T127" s="117" t="str">
        <f>'Energy matrix'!B69</f>
        <v>Waste</v>
      </c>
      <c r="U127" s="117"/>
      <c r="V127" s="118">
        <f>+INDEX('Energy matrix'!C69:N69,1,$D$2)</f>
        <v>238</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92921.805999999997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527</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529</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f t="shared" si="10"/>
        <v>0</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f t="shared" si="84"/>
        <v>0</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matrix'!B12</f>
        <v>Natural gas</v>
      </c>
      <c r="U83" s="117"/>
      <c r="V83" s="118">
        <f>+INDEX('Energy matrix'!C12:N12,1,$D$2)</f>
        <v>38022.741999999998</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239</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64216.800000000003</v>
      </c>
      <c r="W87" s="117"/>
    </row>
    <row r="88" spans="3:24" ht="12.75" customHeight="1">
      <c r="O88" s="86"/>
      <c r="T88" s="122" t="str">
        <f>+'Energy matrix'!B21</f>
        <v>District Heating</v>
      </c>
      <c r="U88" s="122"/>
      <c r="V88" s="123">
        <f>+INDEX('Energy matrix'!C21:N21,1,$D$2)</f>
        <v>15937</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matrix'!C29:N29,1,$D$2)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matrix'!B30</f>
        <v>Coal</v>
      </c>
      <c r="U98" s="117"/>
      <c r="V98" s="118">
        <f>+INDEX('Energy matrix'!C30:N30,1,$D$2)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matrix'!B32</f>
        <v>Diesel</v>
      </c>
      <c r="U100" s="117"/>
      <c r="V100" s="118">
        <f>+INDEX('Energy matrix'!C32:N32,1,$D$2)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matrix'!B35</f>
        <v>LPG</v>
      </c>
      <c r="U102" s="117"/>
      <c r="V102" s="118">
        <f>+INDEX('Energy matrix'!C35:N35,1,$D$2)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matrix'!B37</f>
        <v>Natural gas</v>
      </c>
      <c r="U103" s="117"/>
      <c r="V103" s="118">
        <f>+INDEX('Energy matrix'!C37:N37,1,$D$2)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225</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2</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66654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f t="shared" si="127"/>
        <v>0</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matrix'!C54:N54,1,$D$2)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29260.25320230782</v>
      </c>
      <c r="O120" s="86"/>
      <c r="T120" s="117" t="str">
        <f>'Energy matrix'!B57</f>
        <v>Diesel</v>
      </c>
      <c r="U120" s="117"/>
      <c r="V120" s="118">
        <f>+INDEX('Energy matrix'!C57:N57,1,$D$2)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30785.133695832643</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113.94000000000001</v>
      </c>
      <c r="J122" s="14">
        <f t="shared" si="132"/>
        <v>0</v>
      </c>
      <c r="K122" s="14">
        <f t="shared" si="132"/>
        <v>0</v>
      </c>
      <c r="L122" s="14">
        <f t="shared" si="132"/>
        <v>0</v>
      </c>
      <c r="M122" s="14">
        <f t="shared" si="132"/>
        <v>0</v>
      </c>
      <c r="N122" s="14">
        <f t="shared" si="132"/>
        <v>1075.4131018595385</v>
      </c>
      <c r="O122" s="86"/>
      <c r="T122" s="117" t="str">
        <f>'Energy matrix'!B59</f>
        <v>Refinery gas</v>
      </c>
      <c r="U122" s="117"/>
      <c r="V122" s="118">
        <f>+INDEX('Energy matrix'!C59:N59,1,$D$2)</f>
        <v>0</v>
      </c>
      <c r="W122" s="117"/>
    </row>
    <row r="123" spans="3:31" ht="12.75" customHeight="1">
      <c r="C123" s="17" t="s">
        <v>57</v>
      </c>
      <c r="D123" s="18">
        <f t="shared" ref="D123:N123" si="133">SUM(D117:D122)</f>
        <v>7161.88</v>
      </c>
      <c r="E123" s="18">
        <f t="shared" si="133"/>
        <v>0</v>
      </c>
      <c r="F123" s="18">
        <f t="shared" si="133"/>
        <v>1373.664</v>
      </c>
      <c r="G123" s="18">
        <f t="shared" si="133"/>
        <v>0</v>
      </c>
      <c r="H123" s="18">
        <f t="shared" si="133"/>
        <v>0</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matrix'!B61</f>
        <v>Manufactured Gases</v>
      </c>
      <c r="U123" s="117"/>
      <c r="V123" s="118">
        <f>+INDEX('Energy matrix'!C61:N61,1,$D$2)</f>
        <v>1139.4000000000001</v>
      </c>
      <c r="W123" s="117"/>
    </row>
    <row r="124" spans="3:31" ht="12.75" customHeight="1">
      <c r="E124" s="25"/>
      <c r="F124" s="25"/>
      <c r="G124" s="25"/>
      <c r="H124" s="25"/>
      <c r="I124" s="25"/>
      <c r="J124" s="25"/>
      <c r="K124" s="25"/>
      <c r="O124" s="86"/>
      <c r="T124" s="117" t="str">
        <f>'Energy matrix'!B62</f>
        <v>Natural gas</v>
      </c>
      <c r="U124" s="117"/>
      <c r="V124" s="118">
        <f>+INDEX('Energy matrix'!C62:N62,1,$D$2)</f>
        <v>36605.161</v>
      </c>
      <c r="W124" s="117"/>
    </row>
    <row r="125" spans="3:31" ht="12.75" customHeight="1">
      <c r="E125" s="25"/>
      <c r="F125" s="25"/>
      <c r="G125" s="25"/>
      <c r="H125" s="25"/>
      <c r="I125" s="25"/>
      <c r="J125" s="25"/>
      <c r="K125" s="25"/>
      <c r="O125" s="86"/>
      <c r="T125" s="117" t="str">
        <f>'Energy matrix'!B63</f>
        <v>Biogas</v>
      </c>
      <c r="U125" s="117"/>
      <c r="V125" s="118">
        <f>+INDEX('Energy matrix'!C63:N63,1,$D$2)</f>
        <v>119</v>
      </c>
      <c r="W125" s="117"/>
    </row>
    <row r="126" spans="3:31" ht="12.75" customHeight="1">
      <c r="O126" s="86"/>
      <c r="T126" s="117" t="str">
        <f>'Energy matrix'!B68</f>
        <v>Biomass</v>
      </c>
      <c r="U126" s="117"/>
      <c r="V126" s="118">
        <f>+INDEX('Energy matrix'!C68:N68,1,$D$2)</f>
        <v>318</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107837.905</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527</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532</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f t="shared" si="10"/>
        <v>0</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f t="shared" si="84"/>
        <v>0</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matrix'!B12</f>
        <v>Natural gas</v>
      </c>
      <c r="U83" s="117"/>
      <c r="V83" s="118">
        <f>+INDEX('Energy matrix'!C12:N12,1,$D$2)</f>
        <v>74901.570999999996</v>
      </c>
      <c r="W83" s="117"/>
    </row>
    <row r="84" spans="3:24" ht="12.75" customHeight="1">
      <c r="E84" s="25"/>
      <c r="F84" s="25"/>
      <c r="G84" s="25"/>
      <c r="H84" s="25"/>
      <c r="I84" s="25"/>
      <c r="J84" s="25"/>
      <c r="K84" s="25"/>
      <c r="O84" s="86"/>
      <c r="T84" s="117" t="str">
        <f>+'Energy matrix'!B13</f>
        <v>Biogas</v>
      </c>
      <c r="U84" s="117"/>
      <c r="V84" s="118">
        <f>+INDEX('Energy matrix'!C13:N13,1,$D$2)</f>
        <v>33</v>
      </c>
      <c r="W84" s="117"/>
    </row>
    <row r="85" spans="3:24" ht="12.75" customHeight="1">
      <c r="E85" s="25"/>
      <c r="F85" s="25"/>
      <c r="G85" s="25"/>
      <c r="H85" s="25"/>
      <c r="I85" s="25"/>
      <c r="J85" s="25"/>
      <c r="K85" s="25"/>
      <c r="O85" s="86"/>
      <c r="T85" s="117" t="str">
        <f>+'Energy matrix'!B18</f>
        <v>Biomass</v>
      </c>
      <c r="U85" s="117"/>
      <c r="V85" s="118">
        <f>+INDEX('Energy matrix'!C18:N18,1,$D$2)</f>
        <v>1648</v>
      </c>
      <c r="W85" s="117"/>
    </row>
    <row r="86" spans="3:24" ht="12.75" customHeight="1">
      <c r="O86" s="86"/>
      <c r="T86" s="117" t="str">
        <f>+'Energy matrix'!B19</f>
        <v>Waste</v>
      </c>
      <c r="U86" s="117"/>
      <c r="V86" s="118">
        <f>+INDEX('Energy matrix'!C19:N19,1,$D$2)</f>
        <v>8</v>
      </c>
      <c r="W86" s="117"/>
    </row>
    <row r="87" spans="3:24" ht="12.75" customHeight="1">
      <c r="O87" s="86"/>
      <c r="T87" s="117" t="str">
        <f>+'Energy matrix'!B20</f>
        <v>Electricity</v>
      </c>
      <c r="U87" s="117"/>
      <c r="V87" s="118">
        <f>+INDEX('Energy matrix'!C20:N20,1,$D$2)</f>
        <v>118476</v>
      </c>
      <c r="W87" s="117"/>
    </row>
    <row r="88" spans="3:24" ht="12.75" customHeight="1">
      <c r="O88" s="86"/>
      <c r="T88" s="122" t="str">
        <f>+'Energy matrix'!B21</f>
        <v>District Heating</v>
      </c>
      <c r="U88" s="122"/>
      <c r="V88" s="123">
        <f>+INDEX('Energy matrix'!C21:N21,1,$D$2)</f>
        <v>13136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matrix'!C29:N29,1,$D$2)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matrix'!B32</f>
        <v>Diesel</v>
      </c>
      <c r="U100" s="117"/>
      <c r="V100" s="118">
        <f>+INDEX('Energy matrix'!C32:N32,1,$D$2)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matrix'!B35</f>
        <v>LPG</v>
      </c>
      <c r="U102" s="117"/>
      <c r="V102" s="118">
        <f>+INDEX('Energy matrix'!C35:N35,1,$D$2)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matrix'!B37</f>
        <v>Natural gas</v>
      </c>
      <c r="U103" s="117"/>
      <c r="V103" s="118">
        <f>+INDEX('Energy matrix'!C37:N37,1,$D$2)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2144</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1</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120315.6</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f t="shared" si="127"/>
        <v>0</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matrix'!C54:N54,1,$D$2)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117.14999999999999</v>
      </c>
      <c r="N120" s="14">
        <f t="shared" si="130"/>
        <v>0</v>
      </c>
      <c r="O120" s="86"/>
      <c r="T120" s="117" t="str">
        <f>'Energy matrix'!B57</f>
        <v>Diesel</v>
      </c>
      <c r="U120" s="117"/>
      <c r="V120" s="118">
        <f>+INDEX('Energy matrix'!C57:N57,1,$D$2)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632.61</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36.54</v>
      </c>
      <c r="J122" s="14">
        <f t="shared" si="132"/>
        <v>0</v>
      </c>
      <c r="K122" s="14">
        <f t="shared" si="132"/>
        <v>0</v>
      </c>
      <c r="L122" s="14">
        <f t="shared" si="132"/>
        <v>0</v>
      </c>
      <c r="M122" s="14">
        <f t="shared" si="132"/>
        <v>31.240000000000002</v>
      </c>
      <c r="N122" s="14">
        <f t="shared" si="132"/>
        <v>118558.8</v>
      </c>
      <c r="O122" s="86"/>
      <c r="T122" s="117" t="str">
        <f>'Energy matrix'!B59</f>
        <v>Refinery gas</v>
      </c>
      <c r="U122" s="117"/>
      <c r="V122" s="118">
        <f>+INDEX('Energy matrix'!C59:N59,1,$D$2)</f>
        <v>0</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f t="shared" si="133"/>
        <v>0</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matrix'!B61</f>
        <v>Manufactured Gases</v>
      </c>
      <c r="U123" s="117"/>
      <c r="V123" s="118">
        <f>+INDEX('Energy matrix'!C61:N61,1,$D$2)</f>
        <v>365.4</v>
      </c>
      <c r="W123" s="117"/>
    </row>
    <row r="124" spans="3:31" ht="12.75" customHeight="1">
      <c r="E124" s="25"/>
      <c r="F124" s="25"/>
      <c r="G124" s="25"/>
      <c r="H124" s="25"/>
      <c r="I124" s="25"/>
      <c r="J124" s="25"/>
      <c r="K124" s="25"/>
      <c r="O124" s="86"/>
      <c r="T124" s="117" t="str">
        <f>'Energy matrix'!B62</f>
        <v>Natural gas</v>
      </c>
      <c r="U124" s="117"/>
      <c r="V124" s="118">
        <f>+INDEX('Energy matrix'!C62:N62,1,$D$2)</f>
        <v>73810.733999999997</v>
      </c>
      <c r="W124" s="117"/>
    </row>
    <row r="125" spans="3:31" ht="12.75" customHeight="1">
      <c r="E125" s="25"/>
      <c r="F125" s="25"/>
      <c r="G125" s="25"/>
      <c r="H125" s="25"/>
      <c r="I125" s="25"/>
      <c r="J125" s="25"/>
      <c r="K125" s="25"/>
      <c r="O125" s="86"/>
      <c r="T125" s="117" t="str">
        <f>'Energy matrix'!B63</f>
        <v>Biogas</v>
      </c>
      <c r="U125" s="117"/>
      <c r="V125" s="118">
        <f>+INDEX('Energy matrix'!C63:N63,1,$D$2)</f>
        <v>103</v>
      </c>
      <c r="W125" s="117"/>
    </row>
    <row r="126" spans="3:31" ht="12.75" customHeight="1">
      <c r="O126" s="86"/>
      <c r="T126" s="117" t="str">
        <f>'Energy matrix'!B68</f>
        <v>Biomass</v>
      </c>
      <c r="U126" s="117"/>
      <c r="V126" s="118">
        <f>+INDEX('Energy matrix'!C68:N68,1,$D$2)</f>
        <v>1258</v>
      </c>
      <c r="W126" s="117"/>
    </row>
    <row r="127" spans="3:31" ht="12.75" customHeight="1">
      <c r="O127" s="86"/>
      <c r="T127" s="117" t="str">
        <f>'Energy matrix'!B69</f>
        <v>Waste</v>
      </c>
      <c r="U127" s="117"/>
      <c r="V127" s="118">
        <f>+INDEX('Energy matrix'!C69:N69,1,$D$2)</f>
        <v>781</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202961.217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527</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529</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532</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f t="shared" si="10"/>
        <v>0</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f t="shared" si="84"/>
        <v>0</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f t="shared" si="84"/>
        <v>0</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matrix'!B12</f>
        <v>Natural gas</v>
      </c>
      <c r="U83" s="117"/>
      <c r="V83" s="118">
        <f>+INDEX('Energy matrix'!C12:N12,1,$D$2)</f>
        <v>105401.126</v>
      </c>
      <c r="W83" s="117"/>
    </row>
    <row r="84" spans="3:24" ht="12.75" customHeight="1">
      <c r="E84" s="25"/>
      <c r="F84" s="25"/>
      <c r="G84" s="25"/>
      <c r="H84" s="25"/>
      <c r="I84" s="25"/>
      <c r="J84" s="25"/>
      <c r="K84" s="25"/>
      <c r="O84" s="86"/>
      <c r="T84" s="117" t="str">
        <f>+'Energy matrix'!B13</f>
        <v>Biogas</v>
      </c>
      <c r="U84" s="117"/>
      <c r="V84" s="118">
        <f>+INDEX('Energy matrix'!C13:N13,1,$D$2)</f>
        <v>583</v>
      </c>
      <c r="W84" s="117"/>
    </row>
    <row r="85" spans="3:24" ht="12.75" customHeight="1">
      <c r="E85" s="25"/>
      <c r="F85" s="25"/>
      <c r="G85" s="25"/>
      <c r="H85" s="25"/>
      <c r="I85" s="25"/>
      <c r="J85" s="25"/>
      <c r="K85" s="25"/>
      <c r="O85" s="86"/>
      <c r="T85" s="117" t="str">
        <f>+'Energy matrix'!B18</f>
        <v>Biomass</v>
      </c>
      <c r="U85" s="117"/>
      <c r="V85" s="118">
        <f>+INDEX('Energy matrix'!C18:N18,1,$D$2)</f>
        <v>1184</v>
      </c>
      <c r="W85" s="117"/>
    </row>
    <row r="86" spans="3:24" ht="12.75" customHeight="1">
      <c r="O86" s="86"/>
      <c r="T86" s="117" t="str">
        <f>+'Energy matrix'!B19</f>
        <v>Waste</v>
      </c>
      <c r="U86" s="117"/>
      <c r="V86" s="118">
        <f>+INDEX('Energy matrix'!C19:N19,1,$D$2)</f>
        <v>384</v>
      </c>
      <c r="W86" s="117"/>
    </row>
    <row r="87" spans="3:24" ht="12.75" customHeight="1">
      <c r="O87" s="86"/>
      <c r="T87" s="117" t="str">
        <f>+'Energy matrix'!B20</f>
        <v>Electricity</v>
      </c>
      <c r="U87" s="117"/>
      <c r="V87" s="118">
        <f>+INDEX('Energy matrix'!C20:N20,1,$D$2)</f>
        <v>63090</v>
      </c>
      <c r="W87" s="117"/>
    </row>
    <row r="88" spans="3:24" ht="12.75" customHeight="1">
      <c r="O88" s="86"/>
      <c r="T88" s="122" t="str">
        <f>+'Energy matrix'!B21</f>
        <v>District Heating</v>
      </c>
      <c r="U88" s="122"/>
      <c r="V88" s="123">
        <f>+INDEX('Energy matrix'!C21:N21,1,$D$2)</f>
        <v>5601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matrix'!C29:N29,1,$D$2)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matrix'!B30</f>
        <v>Coal</v>
      </c>
      <c r="U98" s="117"/>
      <c r="V98" s="118">
        <f>+INDEX('Energy matrix'!C30:N30,1,$D$2)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matrix'!B32</f>
        <v>Diesel</v>
      </c>
      <c r="U100" s="117"/>
      <c r="V100" s="118">
        <f>+INDEX('Energy matrix'!C32:N32,1,$D$2)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matrix'!B35</f>
        <v>LPG</v>
      </c>
      <c r="U102" s="117"/>
      <c r="V102" s="118">
        <f>+INDEX('Energy matrix'!C35:N35,1,$D$2)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matrix'!B37</f>
        <v>Natural gas</v>
      </c>
      <c r="U103" s="117"/>
      <c r="V103" s="118">
        <f>+INDEX('Energy matrix'!C37:N37,1,$D$2)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1637</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65498.400000000001</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f t="shared" si="127"/>
        <v>0</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matrix'!C54:N54,1,$D$2)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67237.2</v>
      </c>
      <c r="O122" s="86"/>
      <c r="T122" s="117" t="str">
        <f>'Energy matrix'!B59</f>
        <v>Refinery gas</v>
      </c>
      <c r="U122" s="117"/>
      <c r="V122" s="118">
        <f>+INDEX('Energy matrix'!C59:N59,1,$D$2)</f>
        <v>0</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f t="shared" si="133"/>
        <v>0</v>
      </c>
      <c r="I123" s="18">
        <f t="shared" si="133"/>
        <v>0</v>
      </c>
      <c r="J123" s="18">
        <f t="shared" si="133"/>
        <v>116593.553</v>
      </c>
      <c r="K123" s="18">
        <f t="shared" si="133"/>
        <v>844</v>
      </c>
      <c r="L123" s="18">
        <f t="shared" si="133"/>
        <v>2111</v>
      </c>
      <c r="M123" s="18">
        <f t="shared" si="133"/>
        <v>0</v>
      </c>
      <c r="N123" s="18">
        <f t="shared" si="133"/>
        <v>67237.2</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116593.553</v>
      </c>
      <c r="W124" s="117"/>
    </row>
    <row r="125" spans="3:31" ht="12.75" customHeight="1">
      <c r="E125" s="25"/>
      <c r="F125" s="25"/>
      <c r="G125" s="25"/>
      <c r="H125" s="25"/>
      <c r="I125" s="25"/>
      <c r="J125" s="25"/>
      <c r="K125" s="25"/>
      <c r="O125" s="86"/>
      <c r="T125" s="117" t="str">
        <f>'Energy matrix'!B63</f>
        <v>Biogas</v>
      </c>
      <c r="U125" s="117"/>
      <c r="V125" s="118">
        <f>+INDEX('Energy matrix'!C63:N63,1,$D$2)</f>
        <v>844</v>
      </c>
      <c r="W125" s="117"/>
    </row>
    <row r="126" spans="3:31" ht="12.75" customHeight="1">
      <c r="O126" s="86"/>
      <c r="T126" s="117" t="str">
        <f>'Energy matrix'!B68</f>
        <v>Biomass</v>
      </c>
      <c r="U126" s="117"/>
      <c r="V126" s="118">
        <f>+INDEX('Energy matrix'!C68:N68,1,$D$2)</f>
        <v>2111</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201207.99200000003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527</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532</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0</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0</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matrix'!B12</f>
        <v>Natural gas</v>
      </c>
      <c r="U83" s="117"/>
      <c r="V83" s="118">
        <f>+INDEX('Energy matrix'!C12:N12,1,$D$2)</f>
        <v>10936.927</v>
      </c>
      <c r="W83" s="117"/>
    </row>
    <row r="84" spans="3:24" ht="12.75" customHeight="1">
      <c r="E84" s="25"/>
      <c r="F84" s="25"/>
      <c r="G84" s="25"/>
      <c r="H84" s="25"/>
      <c r="I84" s="25"/>
      <c r="J84" s="25"/>
      <c r="K84" s="25"/>
      <c r="O84" s="86"/>
      <c r="T84" s="117" t="str">
        <f>+'Energy matrix'!B13</f>
        <v>Biogas</v>
      </c>
      <c r="U84" s="117"/>
      <c r="V84" s="118">
        <f>+INDEX('Energy matrix'!C13:N13,1,$D$2)</f>
        <v>15</v>
      </c>
      <c r="W84" s="117"/>
    </row>
    <row r="85" spans="3:24" ht="12.75" customHeight="1">
      <c r="E85" s="25"/>
      <c r="F85" s="25"/>
      <c r="G85" s="25"/>
      <c r="H85" s="25"/>
      <c r="I85" s="25"/>
      <c r="J85" s="25"/>
      <c r="K85" s="25"/>
      <c r="O85" s="86"/>
      <c r="T85" s="117" t="str">
        <f>+'Energy matrix'!B18</f>
        <v>Biomass</v>
      </c>
      <c r="U85" s="117"/>
      <c r="V85" s="118">
        <f>+INDEX('Energy matrix'!C18:N18,1,$D$2)</f>
        <v>88</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8935.2000000000007</v>
      </c>
      <c r="W87" s="117"/>
    </row>
    <row r="88" spans="3:24" ht="12.75" customHeight="1">
      <c r="O88" s="86"/>
      <c r="T88" s="122" t="str">
        <f>+'Energy matrix'!B21</f>
        <v>District Heating</v>
      </c>
      <c r="U88" s="122"/>
      <c r="V88" s="123">
        <f>+INDEX('Energy matrix'!C21:N21,1,$D$2)</f>
        <v>2521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matrix'!C29:N29,1,$D$2)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matrix'!B30</f>
        <v>Coal</v>
      </c>
      <c r="U98" s="117"/>
      <c r="V98" s="118">
        <f>+INDEX('Energy matrix'!C30:N30,1,$D$2)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matrix'!B32</f>
        <v>Diesel</v>
      </c>
      <c r="U100" s="117"/>
      <c r="V100" s="118">
        <f>+INDEX('Energy matrix'!C32:N32,1,$D$2)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matrix'!B37</f>
        <v>Natural gas</v>
      </c>
      <c r="U103" s="117"/>
      <c r="V103" s="118">
        <f>+INDEX('Energy matrix'!C37:N37,1,$D$2)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96</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8132.4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f t="shared" si="127"/>
        <v>0</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matrix'!C54:N54,1,$D$2)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7005.6</v>
      </c>
      <c r="O122" s="86"/>
      <c r="T122" s="117" t="str">
        <f>'Energy matrix'!B59</f>
        <v>Refinery gas</v>
      </c>
      <c r="U122" s="117"/>
      <c r="V122" s="118">
        <f>+INDEX('Energy matrix'!C59:N59,1,$D$2)</f>
        <v>0</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f t="shared" si="133"/>
        <v>0</v>
      </c>
      <c r="I123" s="18">
        <f t="shared" si="133"/>
        <v>0</v>
      </c>
      <c r="J123" s="18">
        <f t="shared" si="133"/>
        <v>8865.5460000000003</v>
      </c>
      <c r="K123" s="18">
        <f t="shared" si="133"/>
        <v>3</v>
      </c>
      <c r="L123" s="18">
        <f t="shared" si="133"/>
        <v>120</v>
      </c>
      <c r="M123" s="18">
        <f t="shared" si="133"/>
        <v>0</v>
      </c>
      <c r="N123" s="18">
        <f t="shared" si="133"/>
        <v>7005.6</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8865.5460000000003</v>
      </c>
      <c r="W124" s="117"/>
    </row>
    <row r="125" spans="3:31" ht="12.75" customHeight="1">
      <c r="E125" s="25"/>
      <c r="F125" s="25"/>
      <c r="G125" s="25"/>
      <c r="H125" s="25"/>
      <c r="I125" s="25"/>
      <c r="J125" s="25"/>
      <c r="K125" s="25"/>
      <c r="O125" s="86"/>
      <c r="T125" s="117" t="str">
        <f>'Energy matrix'!B63</f>
        <v>Biogas</v>
      </c>
      <c r="U125" s="117"/>
      <c r="V125" s="118">
        <f>+INDEX('Energy matrix'!C63:N63,1,$D$2)</f>
        <v>3</v>
      </c>
      <c r="W125" s="117"/>
    </row>
    <row r="126" spans="3:31" ht="12.75" customHeight="1">
      <c r="O126" s="86"/>
      <c r="T126" s="117" t="str">
        <f>'Energy matrix'!B68</f>
        <v>Biomass</v>
      </c>
      <c r="U126" s="117"/>
      <c r="V126" s="118">
        <f>+INDEX('Energy matrix'!C68:N68,1,$D$2)</f>
        <v>120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16732.749000000003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527</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A19"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56">
        <v>2010</v>
      </c>
      <c r="AL19" s="350"/>
      <c r="AM19" s="337"/>
      <c r="AN19" s="337"/>
      <c r="AO19" s="337"/>
      <c r="AP19" s="337"/>
      <c r="AQ19" s="350"/>
      <c r="AR19" s="350"/>
      <c r="AS19" s="350"/>
      <c r="AT19" s="350"/>
      <c r="AU19" s="350"/>
      <c r="AV19" s="351"/>
      <c r="AW19" s="285"/>
      <c r="AX19" s="656">
        <v>2015</v>
      </c>
      <c r="AY19" s="350"/>
      <c r="AZ19" s="337"/>
      <c r="BA19" s="337"/>
      <c r="BB19" s="337"/>
      <c r="BC19" s="337"/>
      <c r="BD19" s="350"/>
      <c r="BE19" s="350"/>
      <c r="BF19" s="350"/>
      <c r="BG19" s="350"/>
      <c r="BH19" s="350"/>
      <c r="BI19" s="351"/>
      <c r="BJ19" s="285"/>
      <c r="BK19" s="656">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57"/>
      <c r="AL20" s="291"/>
      <c r="AM20" s="291"/>
      <c r="AN20" s="291"/>
      <c r="AO20" s="291"/>
      <c r="AP20" s="291"/>
      <c r="AQ20" s="291"/>
      <c r="AR20" s="291"/>
      <c r="AS20" s="291"/>
      <c r="AT20" s="291"/>
      <c r="AU20" s="291"/>
      <c r="AV20" s="292"/>
      <c r="AW20" s="285"/>
      <c r="AX20" s="657"/>
      <c r="AY20" s="291"/>
      <c r="AZ20" s="291"/>
      <c r="BA20" s="291"/>
      <c r="BB20" s="291"/>
      <c r="BC20" s="291"/>
      <c r="BD20" s="291"/>
      <c r="BE20" s="291"/>
      <c r="BF20" s="291"/>
      <c r="BG20" s="291"/>
      <c r="BH20" s="291"/>
      <c r="BI20" s="292"/>
      <c r="BJ20" s="285"/>
      <c r="BK20" s="657"/>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8"/>
      <c r="AL21" s="291"/>
      <c r="AM21" s="291"/>
      <c r="AN21" s="358" t="s">
        <v>96</v>
      </c>
      <c r="AO21" s="350"/>
      <c r="AP21" s="351"/>
      <c r="AQ21" s="291"/>
      <c r="AR21" s="291"/>
      <c r="AS21" s="291"/>
      <c r="AT21" s="291"/>
      <c r="AU21" s="291"/>
      <c r="AV21" s="292"/>
      <c r="AW21" s="285"/>
      <c r="AX21" s="658"/>
      <c r="AY21" s="291"/>
      <c r="AZ21" s="291"/>
      <c r="BA21" s="358" t="s">
        <v>96</v>
      </c>
      <c r="BB21" s="350"/>
      <c r="BC21" s="351"/>
      <c r="BD21" s="291"/>
      <c r="BE21" s="291"/>
      <c r="BF21" s="291"/>
      <c r="BG21" s="291"/>
      <c r="BH21" s="291"/>
      <c r="BI21" s="292"/>
      <c r="BJ21" s="285"/>
      <c r="BK21" s="658"/>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f t="shared" si="10"/>
        <v>0</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matrix'!B12</f>
        <v>Natural gas</v>
      </c>
      <c r="U83" s="117"/>
      <c r="V83" s="118">
        <f>+INDEX('Energy matrix'!C12:N12,1,$D$2)</f>
        <v>21828.853999999999</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0</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14310</v>
      </c>
      <c r="W87" s="117"/>
    </row>
    <row r="88" spans="3:24" ht="12.75" customHeight="1">
      <c r="O88" s="86"/>
      <c r="T88" s="122" t="str">
        <f>+'Energy matrix'!B21</f>
        <v>District Heating</v>
      </c>
      <c r="U88" s="122"/>
      <c r="V88" s="123">
        <f>+INDEX('Energy matrix'!C21:N21,1,$D$2)</f>
        <v>0</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matrix'!C29:N29,1,$D$2)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matrix'!B32</f>
        <v>Diesel</v>
      </c>
      <c r="U100" s="117"/>
      <c r="V100" s="118">
        <f>+INDEX('Energy matrix'!C32:N32,1,$D$2)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matrix'!B35</f>
        <v>LPG</v>
      </c>
      <c r="U102" s="117"/>
      <c r="V102" s="118">
        <f>+INDEX('Energy matrix'!C35:N35,1,$D$2)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matrix'!B37</f>
        <v>Natural gas</v>
      </c>
      <c r="U103" s="117"/>
      <c r="V103" s="118">
        <f>+INDEX('Energy matrix'!C37:N37,1,$D$2)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14202</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f t="shared" si="127"/>
        <v>0</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matrix'!C54:N54,1,$D$2)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17344.8</v>
      </c>
      <c r="O122" s="86"/>
      <c r="T122" s="117" t="str">
        <f>'Energy matrix'!B59</f>
        <v>Refinery gas</v>
      </c>
      <c r="U122" s="117"/>
      <c r="V122" s="118">
        <f>+INDEX('Energy matrix'!C59:N59,1,$D$2)</f>
        <v>0</v>
      </c>
      <c r="W122" s="117"/>
    </row>
    <row r="123" spans="3:31" ht="12.75" customHeight="1">
      <c r="C123" s="17" t="s">
        <v>57</v>
      </c>
      <c r="D123" s="18">
        <f t="shared" ref="D123:N123" si="133">SUM(D117:D122)</f>
        <v>0</v>
      </c>
      <c r="E123" s="18">
        <f t="shared" si="133"/>
        <v>0</v>
      </c>
      <c r="F123" s="18">
        <f t="shared" si="133"/>
        <v>53229.48</v>
      </c>
      <c r="G123" s="18">
        <f t="shared" si="133"/>
        <v>3086.5129999999999</v>
      </c>
      <c r="H123" s="18">
        <f t="shared" si="133"/>
        <v>0</v>
      </c>
      <c r="I123" s="18">
        <f t="shared" si="133"/>
        <v>0</v>
      </c>
      <c r="J123" s="18">
        <f t="shared" si="133"/>
        <v>26449.200000000001</v>
      </c>
      <c r="K123" s="18">
        <f t="shared" si="133"/>
        <v>0</v>
      </c>
      <c r="L123" s="18">
        <f t="shared" si="133"/>
        <v>0</v>
      </c>
      <c r="M123" s="18">
        <f t="shared" si="133"/>
        <v>0</v>
      </c>
      <c r="N123" s="18">
        <f t="shared" si="133"/>
        <v>17344.8</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26449.200000000001</v>
      </c>
      <c r="W124" s="117"/>
    </row>
    <row r="125" spans="3:31" ht="12.75" customHeight="1">
      <c r="E125" s="25"/>
      <c r="F125" s="25"/>
      <c r="G125" s="25"/>
      <c r="H125" s="25"/>
      <c r="I125" s="25"/>
      <c r="J125" s="25"/>
      <c r="K125" s="25"/>
      <c r="O125" s="86"/>
      <c r="T125" s="117" t="str">
        <f>'Energy matrix'!B63</f>
        <v>Biogas</v>
      </c>
      <c r="U125" s="117"/>
      <c r="V125" s="118">
        <f>+INDEX('Energy matrix'!C63:N63,1,$D$2)</f>
        <v>0</v>
      </c>
      <c r="W125" s="117"/>
    </row>
    <row r="126" spans="3:31" ht="12.75" customHeight="1">
      <c r="O126" s="86"/>
      <c r="T126" s="117" t="str">
        <f>'Energy matrix'!B68</f>
        <v>Biomass</v>
      </c>
      <c r="U126" s="117"/>
      <c r="V126" s="118">
        <f>+INDEX('Energy matrix'!C68:N68,1,$D$2)</f>
        <v>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100109.993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527</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529</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A90" zoomScale="70" zoomScaleNormal="70" workbookViewId="0">
      <selection activeCell="N156" sqref="N156"/>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56">
        <v>2010</v>
      </c>
      <c r="AL19" s="350"/>
      <c r="AM19" s="337"/>
      <c r="AN19" s="337"/>
      <c r="AO19" s="337"/>
      <c r="AP19" s="337"/>
      <c r="AQ19" s="350"/>
      <c r="AR19" s="350"/>
      <c r="AS19" s="350"/>
      <c r="AT19" s="350"/>
      <c r="AU19" s="350"/>
      <c r="AV19" s="351"/>
      <c r="AX19" s="656">
        <v>2015</v>
      </c>
      <c r="AY19" s="350"/>
      <c r="AZ19" s="337"/>
      <c r="BA19" s="337"/>
      <c r="BB19" s="337"/>
      <c r="BC19" s="337"/>
      <c r="BD19" s="350"/>
      <c r="BE19" s="350"/>
      <c r="BF19" s="350"/>
      <c r="BG19" s="350"/>
      <c r="BH19" s="350"/>
      <c r="BI19" s="351"/>
      <c r="BK19" s="656">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57"/>
      <c r="AL20" s="291"/>
      <c r="AM20" s="291"/>
      <c r="AN20" s="291"/>
      <c r="AO20" s="291"/>
      <c r="AP20" s="291"/>
      <c r="AQ20" s="291"/>
      <c r="AR20" s="291"/>
      <c r="AS20" s="291"/>
      <c r="AT20" s="291"/>
      <c r="AU20" s="291"/>
      <c r="AV20" s="292"/>
      <c r="AX20" s="657"/>
      <c r="AY20" s="291"/>
      <c r="AZ20" s="291"/>
      <c r="BA20" s="291"/>
      <c r="BB20" s="291"/>
      <c r="BC20" s="291"/>
      <c r="BD20" s="291"/>
      <c r="BE20" s="291"/>
      <c r="BF20" s="291"/>
      <c r="BG20" s="291"/>
      <c r="BH20" s="291"/>
      <c r="BI20" s="292"/>
      <c r="BK20" s="657"/>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58"/>
      <c r="AL21" s="291"/>
      <c r="AM21" s="291"/>
      <c r="AN21" s="358" t="s">
        <v>96</v>
      </c>
      <c r="AO21" s="350"/>
      <c r="AP21" s="351"/>
      <c r="AQ21" s="291"/>
      <c r="AR21" s="291"/>
      <c r="AS21" s="291"/>
      <c r="AT21" s="291"/>
      <c r="AU21" s="291"/>
      <c r="AV21" s="292"/>
      <c r="AX21" s="658"/>
      <c r="AY21" s="291"/>
      <c r="AZ21" s="291"/>
      <c r="BA21" s="358" t="s">
        <v>96</v>
      </c>
      <c r="BB21" s="350"/>
      <c r="BC21" s="351"/>
      <c r="BD21" s="291"/>
      <c r="BE21" s="291"/>
      <c r="BF21" s="291"/>
      <c r="BG21" s="291"/>
      <c r="BH21" s="291"/>
      <c r="BI21" s="292"/>
      <c r="BK21" s="658"/>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518</v>
      </c>
      <c r="AQ22" s="291"/>
      <c r="AR22" s="291"/>
      <c r="AS22" s="291"/>
      <c r="AT22" s="291"/>
      <c r="AU22" s="291"/>
      <c r="AV22" s="292"/>
      <c r="AX22" s="547"/>
      <c r="AY22" s="291"/>
      <c r="AZ22" s="291"/>
      <c r="BA22" s="290" t="s">
        <v>424</v>
      </c>
      <c r="BB22" s="291" t="s">
        <v>425</v>
      </c>
      <c r="BC22" s="292" t="s">
        <v>518</v>
      </c>
      <c r="BD22" s="291"/>
      <c r="BE22" s="291"/>
      <c r="BF22" s="291"/>
      <c r="BG22" s="291"/>
      <c r="BH22" s="291"/>
      <c r="BI22" s="292"/>
      <c r="BK22" s="547"/>
      <c r="BL22" s="291"/>
      <c r="BM22" s="291"/>
      <c r="BN22" s="290" t="s">
        <v>424</v>
      </c>
      <c r="BO22" s="291" t="s">
        <v>425</v>
      </c>
      <c r="BP22" s="292" t="s">
        <v>518</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1678.126</v>
      </c>
      <c r="H26" s="322">
        <f t="shared" ref="H26:I26" si="0">ROUNDUP(AO26/($Z26*$AA26)*H$21*X26,3)</f>
        <v>93.23</v>
      </c>
      <c r="I26" s="322">
        <f t="shared" si="0"/>
        <v>93.23</v>
      </c>
      <c r="J26" s="322">
        <f>ROUNDUP(BA26/($Z26*$AA26)*J$21*W26,3)</f>
        <v>1772.2649999999999</v>
      </c>
      <c r="K26" s="322">
        <f>ROUNDUP(BB26/($Z26*$AA26)*K$21*X26,3)</f>
        <v>98.460000000000008</v>
      </c>
      <c r="L26" s="322">
        <f>ROUNDUP(BC26/($Z26*$AA26)*L$21*Y26,3)</f>
        <v>98.460000000000008</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28.472284254520993</v>
      </c>
      <c r="AH26" s="236">
        <f t="shared" ref="AH26:AH41" si="9">((J26*Z26*AA26/W26)+(K26*Z26*AA26/X26))/$J$21</f>
        <v>29.801567791473023</v>
      </c>
      <c r="AI26" s="236">
        <f t="shared" ref="AI26:AI41" si="10">((M26*AA26*Z26/W26)+(N26*Z26*AA26/X26))/$M$21</f>
        <v>1.2839975752677311E-2</v>
      </c>
      <c r="AJ26" s="236"/>
      <c r="AK26" s="530" t="str">
        <f ca="1">F26</f>
        <v>IODPH</v>
      </c>
      <c r="AL26" s="350" t="s">
        <v>97</v>
      </c>
      <c r="AM26" s="313">
        <f>I77/1000</f>
        <v>29.970804000000001</v>
      </c>
      <c r="AN26" s="310">
        <f>AM26*$AN$23</f>
        <v>26.973723600000003</v>
      </c>
      <c r="AO26" s="311">
        <f>AM26*$AO$23</f>
        <v>1.4985402000000001</v>
      </c>
      <c r="AP26" s="311">
        <f>AM26*$AP$23</f>
        <v>1.4985402000000001</v>
      </c>
      <c r="AQ26" s="312">
        <f>IFERROR(G26*$Z26*$AA26/G$21,0)</f>
        <v>26.434256511488513</v>
      </c>
      <c r="AR26" s="311">
        <f>IFERROR(H26*$Z26*$AA26/H$21,0)</f>
        <v>1.4685820579420583</v>
      </c>
      <c r="AS26" s="338">
        <f>IFERROR(I26*$Z26*$AA26/I$21,0)</f>
        <v>1.4685820579420583</v>
      </c>
      <c r="AT26" s="313">
        <f t="shared" ref="AT26:AV29" si="11">IFERROR(AQ26/W26,0)</f>
        <v>26.973731134171953</v>
      </c>
      <c r="AU26" s="310">
        <f t="shared" si="11"/>
        <v>1.4985531203490392</v>
      </c>
      <c r="AV26" s="357">
        <f t="shared" si="11"/>
        <v>1.4985531203490392</v>
      </c>
      <c r="AX26" s="530" t="str">
        <f t="shared" ref="AX26:AX62" ca="1" si="12">AK26</f>
        <v>IODPH</v>
      </c>
      <c r="AY26" s="350" t="s">
        <v>97</v>
      </c>
      <c r="AZ26" s="313">
        <f>I97/1000</f>
        <v>31.370048999999998</v>
      </c>
      <c r="BA26" s="310">
        <f>AZ26*$AN$23</f>
        <v>28.233044099999997</v>
      </c>
      <c r="BB26" s="311">
        <f>AZ26*$BB$23</f>
        <v>1.56850245</v>
      </c>
      <c r="BC26" s="311">
        <f>AZ26*$BC$23</f>
        <v>1.56850245</v>
      </c>
      <c r="BD26" s="313">
        <f t="shared" ref="BD26" si="13">IFERROR(J26*$Z26*AA26/J$21,0)</f>
        <v>27.668390613861384</v>
      </c>
      <c r="BE26" s="310">
        <f t="shared" ref="BE26" si="14">IFERROR(K26*$Z26*AA26/K$21,0)</f>
        <v>1.5371458217821785</v>
      </c>
      <c r="BF26" s="357">
        <f>IFERROR(L26*$Z26*AA26/L$21,0)</f>
        <v>1.5371458217821785</v>
      </c>
      <c r="BG26" s="313">
        <f t="shared" ref="BG26:BG35" si="15">IFERROR(BD26/W26,0)</f>
        <v>28.233051646797332</v>
      </c>
      <c r="BH26" s="310">
        <f t="shared" ref="BH26:BH35" si="16">IFERROR(BE26/X26,0)</f>
        <v>1.5685161446756923</v>
      </c>
      <c r="BI26" s="357">
        <f t="shared" ref="BI26:BI35" si="17">IFERROR(BF26/Y26,0)</f>
        <v>1.5685161446756923</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1777.835</v>
      </c>
      <c r="N31" s="322">
        <f t="shared" si="25"/>
        <v>98.769000000000005</v>
      </c>
      <c r="O31" s="322">
        <f t="shared" si="26"/>
        <v>98.769000000000005</v>
      </c>
      <c r="P31" s="322">
        <f t="shared" si="1"/>
        <v>1777.835</v>
      </c>
      <c r="Q31" s="322">
        <f t="shared" si="2"/>
        <v>98.769000000000005</v>
      </c>
      <c r="R31" s="322">
        <f t="shared" si="3"/>
        <v>98.769000000000005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29.89522314811073</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31.468631999999999</v>
      </c>
      <c r="BN31" s="561">
        <f>BM31*$AN$23</f>
        <v>28.321768800000001</v>
      </c>
      <c r="BO31" s="562">
        <f>BM31*$BB$23</f>
        <v>1.5734316000000002</v>
      </c>
      <c r="BP31" s="562">
        <f>BM31*$BC$23</f>
        <v>1.5734316000000002</v>
      </c>
      <c r="BQ31" s="560">
        <f t="shared" si="38"/>
        <v>27.755348792079211</v>
      </c>
      <c r="BR31" s="561">
        <f t="shared" si="39"/>
        <v>1.5419698930693071</v>
      </c>
      <c r="BS31" s="566">
        <f t="shared" si="40"/>
        <v>1.5419698930693071</v>
      </c>
      <c r="BT31" s="560">
        <f t="shared" si="41"/>
        <v>28.321784481713483</v>
      </c>
      <c r="BU31" s="561">
        <f t="shared" si="42"/>
        <v>1.5734386663972522</v>
      </c>
      <c r="BV31" s="566">
        <f t="shared" si="43"/>
        <v>1.5734386663972522</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f t="shared" si="10"/>
        <v>0</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f t="shared" si="84"/>
        <v>0</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503</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506</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29970.804</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29970.804</v>
      </c>
      <c r="J83" s="18">
        <f t="shared" si="99"/>
        <v>66</v>
      </c>
      <c r="K83" s="18">
        <f t="shared" si="99"/>
        <v>3985</v>
      </c>
      <c r="L83" s="18">
        <f t="shared" si="99"/>
        <v>5</v>
      </c>
      <c r="M83" s="18">
        <f t="shared" si="99"/>
        <v>63003.6</v>
      </c>
      <c r="N83" s="18">
        <f t="shared" si="99"/>
        <v>6434</v>
      </c>
      <c r="O83" s="86"/>
      <c r="T83" s="117" t="str">
        <f>+'Energy matrix'!B12</f>
        <v>Natural gas</v>
      </c>
      <c r="U83" s="117"/>
      <c r="V83" s="118">
        <f>+INDEX('Energy matrix'!C12:O12,1,$D$2)</f>
        <v>29970.804</v>
      </c>
      <c r="W83" s="117"/>
    </row>
    <row r="84" spans="3:23" ht="12.75" customHeight="1">
      <c r="E84" s="285"/>
      <c r="F84" s="285"/>
      <c r="G84" s="285"/>
      <c r="H84" s="285"/>
      <c r="I84" s="285"/>
      <c r="J84" s="285"/>
      <c r="K84" s="285"/>
      <c r="O84" s="86"/>
      <c r="T84" s="117" t="str">
        <f>+'Energy matrix'!B13</f>
        <v>Biogas</v>
      </c>
      <c r="U84" s="117"/>
      <c r="V84" s="118">
        <f>+INDEX('Energy matrix'!C13:O13,1,$D$2)</f>
        <v>66</v>
      </c>
      <c r="W84" s="117"/>
    </row>
    <row r="85" spans="3:23" ht="12.75" customHeight="1">
      <c r="E85" s="285"/>
      <c r="F85" s="285"/>
      <c r="G85" s="285"/>
      <c r="H85" s="285"/>
      <c r="I85" s="285"/>
      <c r="J85" s="285"/>
      <c r="K85" s="285"/>
      <c r="O85" s="86"/>
      <c r="T85" s="117" t="str">
        <f>+'Energy matrix'!B18</f>
        <v>Biomass</v>
      </c>
      <c r="U85" s="117"/>
      <c r="V85" s="118">
        <f>+INDEX('Energy matrix'!C18:O18,1,$D$2)</f>
        <v>3985</v>
      </c>
      <c r="W85" s="117"/>
    </row>
    <row r="86" spans="3:23" ht="12.75" customHeight="1">
      <c r="O86" s="86"/>
      <c r="T86" s="117" t="str">
        <f>+'Energy matrix'!B19</f>
        <v>Waste</v>
      </c>
      <c r="U86" s="117"/>
      <c r="V86" s="118">
        <f>+INDEX('Energy matrix'!C19:O19,1,$D$2)</f>
        <v>5</v>
      </c>
      <c r="W86" s="117"/>
    </row>
    <row r="87" spans="3:23" ht="12.75" customHeight="1">
      <c r="O87" s="86"/>
      <c r="T87" s="117" t="str">
        <f>+'Energy matrix'!B20</f>
        <v>Electricity</v>
      </c>
      <c r="U87" s="117"/>
      <c r="V87" s="118">
        <f>+INDEX('Energy matrix'!C20:O20,1,$D$2)</f>
        <v>63003.6</v>
      </c>
      <c r="W87" s="117"/>
    </row>
    <row r="88" spans="3:23" ht="12.75" customHeight="1">
      <c r="O88" s="86"/>
      <c r="T88" s="122" t="str">
        <f>+'Energy matrix'!B21</f>
        <v>District Heating</v>
      </c>
      <c r="U88" s="122"/>
      <c r="V88" s="123">
        <f>+INDEX('Energy matrix'!C21:O21,1,$D$2)</f>
        <v>6434</v>
      </c>
      <c r="W88" s="122"/>
    </row>
    <row r="89" spans="3:23" ht="12.75" customHeight="1">
      <c r="O89" s="86"/>
      <c r="T89" s="291"/>
      <c r="U89" s="291"/>
      <c r="W89" s="291"/>
    </row>
    <row r="90" spans="3:23" ht="12.75" customHeight="1">
      <c r="C90" s="259" t="s">
        <v>504</v>
      </c>
      <c r="E90" s="285"/>
      <c r="F90" s="285"/>
      <c r="G90" s="285"/>
      <c r="H90" s="285"/>
      <c r="I90" s="285"/>
      <c r="J90" s="285"/>
      <c r="K90" s="285"/>
      <c r="O90" s="86"/>
      <c r="T90" s="117" t="s">
        <v>57</v>
      </c>
      <c r="U90" s="117"/>
      <c r="V90" s="118">
        <f>SUM(V78:V88)</f>
        <v>116044.44099999999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507</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31370.048999999999</v>
      </c>
      <c r="J97" s="14" t="e">
        <f t="shared" si="102"/>
        <v>#REF!</v>
      </c>
      <c r="K97" s="14">
        <f t="shared" si="102"/>
        <v>5415</v>
      </c>
      <c r="L97" s="14">
        <f t="shared" si="102"/>
        <v>0</v>
      </c>
      <c r="M97" s="14">
        <f t="shared" si="102"/>
        <v>6206.76</v>
      </c>
      <c r="N97" s="14">
        <f t="shared" si="102"/>
        <v>0</v>
      </c>
      <c r="O97" s="86"/>
      <c r="T97" s="48" t="s">
        <v>209</v>
      </c>
      <c r="U97" s="48"/>
      <c r="V97" s="126" t="str">
        <f>+INDEX('Energy matrix'!C29:O29,1,$D$2)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matrix'!B30</f>
        <v>Coal</v>
      </c>
      <c r="U98" s="117"/>
      <c r="V98" s="118">
        <f>+INDEX('Energy matrix'!C30:O30,1,$D$2)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matrix'!B31</f>
        <v>Fuel Oil</v>
      </c>
      <c r="U99" s="117"/>
      <c r="V99" s="118">
        <f>+INDEX('Energy matrix'!C31:O31,1,$D$2)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matrix'!B32</f>
        <v>Diesel</v>
      </c>
      <c r="U100" s="117"/>
      <c r="V100" s="118">
        <f>+INDEX('Energy matrix'!C32:O32,1,$D$2)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matrix'!B33</f>
        <v>Gasoline</v>
      </c>
      <c r="U101" s="117"/>
      <c r="V101" s="118">
        <f>+INDEX('Energy matrix'!C33:O33,1,$D$2)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matrix'!B35</f>
        <v>LPG</v>
      </c>
      <c r="U102" s="117"/>
      <c r="V102" s="118">
        <f>+INDEX('Energy matrix'!C35:O35,1,$D$2)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31370.048999999999</v>
      </c>
      <c r="J103" s="18" t="e">
        <f t="shared" si="108"/>
        <v>#REF!</v>
      </c>
      <c r="K103" s="18">
        <f t="shared" si="108"/>
        <v>5415</v>
      </c>
      <c r="L103" s="18">
        <f t="shared" si="108"/>
        <v>0</v>
      </c>
      <c r="M103" s="18">
        <f t="shared" si="108"/>
        <v>62067.6</v>
      </c>
      <c r="N103" s="18">
        <f t="shared" si="108"/>
        <v>6650</v>
      </c>
      <c r="O103" s="86"/>
      <c r="T103" s="117" t="str">
        <f>'Energy matrix'!B37</f>
        <v>Natural gas</v>
      </c>
      <c r="U103" s="117"/>
      <c r="V103" s="118">
        <f>+INDEX('Energy matrix'!C37:O37,1,$D$2)</f>
        <v>31370.048999999999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matrix'!B43</f>
        <v>Biomass</v>
      </c>
      <c r="U105" s="117"/>
      <c r="V105" s="118">
        <f>+INDEX('Energy matrix'!C43:O43,1,$D$2)</f>
        <v>5415</v>
      </c>
      <c r="W105" s="117"/>
    </row>
    <row r="106" spans="3:23" ht="12.75" customHeight="1">
      <c r="O106" s="86"/>
      <c r="T106" s="117" t="str">
        <f>'Energy matrix'!B44</f>
        <v>Waste</v>
      </c>
      <c r="U106" s="117"/>
      <c r="V106" s="118">
        <f>+INDEX('Energy matrix'!C44:O44,1,$D$2)</f>
        <v>0</v>
      </c>
      <c r="W106" s="117"/>
    </row>
    <row r="107" spans="3:23" ht="12.75" customHeight="1">
      <c r="O107" s="86"/>
      <c r="T107" s="117" t="str">
        <f>'Energy matrix'!B45</f>
        <v>Electricity</v>
      </c>
      <c r="U107" s="117"/>
      <c r="V107" s="118">
        <f>+INDEX('Energy matrix'!C45:O45,1,$D$2)</f>
        <v>62067.6</v>
      </c>
      <c r="W107" s="117"/>
    </row>
    <row r="108" spans="3:23" ht="12.75" customHeight="1">
      <c r="O108" s="86"/>
      <c r="T108" s="122" t="str">
        <f>'Energy matrix'!B46</f>
        <v>District Heating</v>
      </c>
      <c r="U108" s="122"/>
      <c r="V108" s="123">
        <f>+INDEX('Energy matrix'!C46:O46,1,$D$2)</f>
        <v>6650</v>
      </c>
      <c r="W108" s="122"/>
    </row>
    <row r="109" spans="3:23" ht="12.75" customHeight="1">
      <c r="O109" s="86"/>
      <c r="T109" s="291"/>
      <c r="U109" s="291"/>
      <c r="W109" s="291"/>
    </row>
    <row r="110" spans="3:23" ht="12.75" customHeight="1">
      <c r="C110" s="259" t="s">
        <v>505</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str">
        <f t="array" ref="E113">+IF(AND(UPPER(TRANSPOSE(T118:T128))=UPPER(MID(D116:N116,4,99))),"Ok","ERROR")</f>
        <v>ERROR</v>
      </c>
      <c r="F113" s="285"/>
      <c r="G113" s="285"/>
      <c r="H113" s="285"/>
      <c r="I113" s="285"/>
      <c r="J113" s="285"/>
      <c r="K113" s="285"/>
      <c r="T113" s="287"/>
      <c r="U113" s="287"/>
      <c r="V113" s="287"/>
      <c r="W113" s="287"/>
    </row>
    <row r="114" spans="3:31" ht="12.75" customHeight="1">
      <c r="C114" s="285" t="s">
        <v>209</v>
      </c>
      <c r="O114" s="86"/>
      <c r="T114" s="127" t="s">
        <v>508</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matrix'!B53</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f t="shared" si="111"/>
        <v>0</v>
      </c>
      <c r="I117" s="14">
        <f t="shared" si="111"/>
        <v>13.5</v>
      </c>
      <c r="J117" s="14">
        <f t="shared" si="111"/>
        <v>31468.631999999998</v>
      </c>
      <c r="K117" s="14">
        <f t="shared" si="111"/>
        <v>136</v>
      </c>
      <c r="L117" s="14">
        <f t="shared" si="111"/>
        <v>4616</v>
      </c>
      <c r="M117" s="14">
        <f t="shared" si="111"/>
        <v>0.30000000000000004</v>
      </c>
      <c r="N117" s="14">
        <f t="shared" si="111"/>
        <v>0</v>
      </c>
      <c r="O117" s="86"/>
      <c r="T117" s="48" t="s">
        <v>209</v>
      </c>
      <c r="U117" s="48"/>
      <c r="V117" s="126" t="str">
        <f>+INDEX('Energy matrix'!C54:O54,1,$D$2)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f t="shared" si="112"/>
        <v>0</v>
      </c>
      <c r="I118" s="14">
        <f t="shared" si="112"/>
        <v>0</v>
      </c>
      <c r="J118" s="14">
        <f t="shared" si="112"/>
        <v>0</v>
      </c>
      <c r="K118" s="14">
        <f t="shared" si="112"/>
        <v>0</v>
      </c>
      <c r="L118" s="14">
        <f t="shared" si="112"/>
        <v>0</v>
      </c>
      <c r="M118" s="14">
        <f t="shared" si="112"/>
        <v>0.30000000000000004</v>
      </c>
      <c r="N118" s="14">
        <f t="shared" si="112"/>
        <v>0</v>
      </c>
      <c r="O118" s="86"/>
      <c r="T118" s="117" t="str">
        <f>'Energy matrix'!B55</f>
        <v>Coal</v>
      </c>
      <c r="U118" s="117"/>
      <c r="V118" s="118">
        <f>+INDEX('Energy matrix'!C55:O55,1,$D$2)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f t="shared" si="113"/>
        <v>0</v>
      </c>
      <c r="I119" s="19">
        <f t="shared" si="113"/>
        <v>0</v>
      </c>
      <c r="J119" s="19">
        <f t="shared" si="113"/>
        <v>0</v>
      </c>
      <c r="K119" s="19">
        <f t="shared" si="113"/>
        <v>0</v>
      </c>
      <c r="L119" s="19">
        <f t="shared" si="113"/>
        <v>0</v>
      </c>
      <c r="M119" s="19">
        <f t="shared" si="113"/>
        <v>0</v>
      </c>
      <c r="N119" s="19">
        <f t="shared" si="113"/>
        <v>0</v>
      </c>
      <c r="O119" s="86"/>
      <c r="T119" s="117" t="str">
        <f>'Energy matrix'!B56</f>
        <v>Fuel Oil</v>
      </c>
      <c r="U119" s="117"/>
      <c r="V119" s="118">
        <f>+INDEX('Energy matrix'!C56:O56,1,$D$2)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f t="shared" si="114"/>
        <v>0</v>
      </c>
      <c r="I120" s="14">
        <f t="shared" si="114"/>
        <v>0</v>
      </c>
      <c r="J120" s="14">
        <f t="shared" si="114"/>
        <v>0</v>
      </c>
      <c r="K120" s="14">
        <f t="shared" si="114"/>
        <v>0</v>
      </c>
      <c r="L120" s="14">
        <f t="shared" si="114"/>
        <v>0</v>
      </c>
      <c r="M120" s="14">
        <f t="shared" si="114"/>
        <v>0.48</v>
      </c>
      <c r="N120" s="14">
        <f t="shared" si="114"/>
        <v>0</v>
      </c>
      <c r="O120" s="86"/>
      <c r="T120" s="117" t="str">
        <f>'Energy matrix'!B57</f>
        <v>Diesel</v>
      </c>
      <c r="U120" s="117"/>
      <c r="V120" s="118">
        <f>+INDEX('Energy matrix'!C57:O57,1,$D$2)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f t="shared" si="115"/>
        <v>0</v>
      </c>
      <c r="I121" s="14">
        <f t="shared" si="115"/>
        <v>0</v>
      </c>
      <c r="J121" s="14">
        <f t="shared" si="115"/>
        <v>0</v>
      </c>
      <c r="K121" s="14">
        <f t="shared" si="115"/>
        <v>0</v>
      </c>
      <c r="L121" s="14">
        <f t="shared" si="115"/>
        <v>0</v>
      </c>
      <c r="M121" s="14">
        <f t="shared" si="115"/>
        <v>1.83</v>
      </c>
      <c r="N121" s="14">
        <f t="shared" si="115"/>
        <v>0</v>
      </c>
      <c r="O121" s="86"/>
      <c r="T121" s="117" t="str">
        <f>'Energy matrix'!B58</f>
        <v>Gasoline</v>
      </c>
      <c r="U121" s="117"/>
      <c r="V121" s="118">
        <f>+INDEX('Energy matrix'!C58:O58,1,$D$2)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f t="shared" si="116"/>
        <v>0</v>
      </c>
      <c r="I122" s="14">
        <f t="shared" si="116"/>
        <v>0</v>
      </c>
      <c r="J122" s="14">
        <f t="shared" si="116"/>
        <v>0</v>
      </c>
      <c r="K122" s="14">
        <f t="shared" si="116"/>
        <v>0</v>
      </c>
      <c r="L122" s="14">
        <f t="shared" si="116"/>
        <v>0</v>
      </c>
      <c r="M122" s="14">
        <f t="shared" si="116"/>
        <v>0.09</v>
      </c>
      <c r="N122" s="14">
        <f t="shared" si="116"/>
        <v>60969.599999999999</v>
      </c>
      <c r="O122" s="86"/>
      <c r="T122" s="117" t="str">
        <f>'Energy matrix'!B59</f>
        <v>Refinery gas</v>
      </c>
      <c r="U122" s="117"/>
      <c r="V122" s="118">
        <f>+INDEX('Energy matrix'!C59:O59,1,$D$2)</f>
        <v>0</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f t="shared" si="117"/>
        <v>0</v>
      </c>
      <c r="I123" s="18">
        <f t="shared" si="117"/>
        <v>13.5</v>
      </c>
      <c r="J123" s="18">
        <f t="shared" si="117"/>
        <v>31468.631999999998</v>
      </c>
      <c r="K123" s="18">
        <f t="shared" si="117"/>
        <v>136</v>
      </c>
      <c r="L123" s="18">
        <f t="shared" si="117"/>
        <v>4616</v>
      </c>
      <c r="M123" s="18">
        <f t="shared" si="117"/>
        <v>3</v>
      </c>
      <c r="N123" s="18">
        <f t="shared" si="117"/>
        <v>60969.599999999999</v>
      </c>
      <c r="O123" s="86"/>
      <c r="T123" s="117" t="str">
        <f>'Energy matrix'!B61</f>
        <v>Manufactured Gases</v>
      </c>
      <c r="U123" s="117"/>
      <c r="V123" s="118">
        <f>+INDEX('Energy matrix'!C61:O61,1,$D$2)</f>
        <v>13.5</v>
      </c>
      <c r="W123" s="117"/>
    </row>
    <row r="124" spans="3:31" ht="12.75" customHeight="1">
      <c r="E124" s="285"/>
      <c r="F124" s="285"/>
      <c r="G124" s="285"/>
      <c r="H124" s="285"/>
      <c r="I124" s="285"/>
      <c r="J124" s="285"/>
      <c r="K124" s="285"/>
      <c r="O124" s="86"/>
      <c r="T124" s="117" t="str">
        <f>'Energy matrix'!B62</f>
        <v>Natural gas</v>
      </c>
      <c r="U124" s="117"/>
      <c r="V124" s="118">
        <f>+INDEX('Energy matrix'!C62:O62,1,$D$2)</f>
        <v>31468.631999999998</v>
      </c>
      <c r="W124" s="117"/>
    </row>
    <row r="125" spans="3:31" ht="12.75" customHeight="1">
      <c r="E125" s="285"/>
      <c r="F125" s="285"/>
      <c r="G125" s="285"/>
      <c r="H125" s="285"/>
      <c r="I125" s="285"/>
      <c r="J125" s="285"/>
      <c r="K125" s="285"/>
      <c r="O125" s="86"/>
      <c r="T125" s="117" t="str">
        <f>'Energy matrix'!B63</f>
        <v>Biogas</v>
      </c>
      <c r="U125" s="117"/>
      <c r="V125" s="118">
        <f>+INDEX('Energy matrix'!C63:O63,1,$D$2)</f>
        <v>136</v>
      </c>
      <c r="W125" s="117"/>
    </row>
    <row r="126" spans="3:31" ht="12.75" customHeight="1">
      <c r="O126" s="86"/>
      <c r="T126" s="117" t="str">
        <f>'Energy matrix'!B68</f>
        <v>Biomass</v>
      </c>
      <c r="U126" s="117"/>
      <c r="V126" s="118">
        <f>+INDEX('Energy matrix'!C68:O68,1,$D$2)</f>
        <v>4616</v>
      </c>
      <c r="W126" s="117"/>
    </row>
    <row r="127" spans="3:31" ht="12.75" customHeight="1">
      <c r="O127" s="86"/>
      <c r="T127" s="117" t="str">
        <f>'Energy matrix'!B69</f>
        <v>Waste</v>
      </c>
      <c r="U127" s="117"/>
      <c r="V127" s="118">
        <f>+INDEX('Energy matrix'!C69:O69,1,$D$2)</f>
        <v>3</v>
      </c>
      <c r="W127" s="117"/>
    </row>
    <row r="128" spans="3:31" ht="12.75" customHeight="1">
      <c r="C128" s="285" t="s">
        <v>293</v>
      </c>
      <c r="D128" s="505"/>
      <c r="F128" s="285"/>
      <c r="G128" s="285"/>
      <c r="H128" s="285"/>
      <c r="I128" s="285"/>
      <c r="J128" s="285"/>
      <c r="K128" s="285"/>
      <c r="O128" s="86"/>
      <c r="T128" s="117" t="str">
        <f>'Energy matrix'!B70</f>
        <v>Electricity</v>
      </c>
      <c r="U128" s="122"/>
      <c r="V128" s="118">
        <f>+INDEX('Energy matrix'!C70:O70,1,$D$2)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101941.105</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0.14420165115880046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502</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527</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528</v>
      </c>
      <c r="E151" s="22"/>
      <c r="F151" s="22"/>
      <c r="G151" s="22"/>
      <c r="H151" s="22">
        <v>0</v>
      </c>
      <c r="I151" s="22"/>
      <c r="J151" s="22"/>
      <c r="K151" s="22">
        <v>0</v>
      </c>
      <c r="L151" s="610"/>
      <c r="M151" s="22">
        <v>0</v>
      </c>
      <c r="N151" s="22">
        <v>0.1</v>
      </c>
      <c r="O151" s="22">
        <v>0</v>
      </c>
      <c r="P151" s="287"/>
      <c r="Q151" s="287"/>
      <c r="R151" s="285"/>
      <c r="S151" s="285"/>
    </row>
    <row r="152" spans="3:20">
      <c r="C152" s="15"/>
      <c r="D152" s="13" t="s">
        <v>529</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530</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531</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532</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zoomScale="80" zoomScaleNormal="80" workbookViewId="0">
      <selection activeCell="G22" sqref="G22"/>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478</v>
      </c>
      <c r="Q5" s="381" t="s">
        <v>342</v>
      </c>
      <c r="R5" s="381" t="s">
        <v>359</v>
      </c>
      <c r="S5" s="381" t="s">
        <v>238</v>
      </c>
      <c r="T5" s="381" t="s">
        <v>536</v>
      </c>
      <c r="U5" s="381" t="s">
        <v>355</v>
      </c>
      <c r="V5" s="381" t="s">
        <v>537</v>
      </c>
      <c r="W5" s="381" t="s">
        <v>253</v>
      </c>
      <c r="X5" s="381" t="s">
        <v>240</v>
      </c>
      <c r="Y5" s="380" t="s">
        <v>346</v>
      </c>
      <c r="Z5" s="381" t="s">
        <v>239</v>
      </c>
      <c r="AA5" s="381" t="s">
        <v>357</v>
      </c>
      <c r="AB5" s="381" t="s">
        <v>299</v>
      </c>
      <c r="AC5" s="381" t="s">
        <v>478</v>
      </c>
      <c r="AD5" s="381" t="s">
        <v>342</v>
      </c>
      <c r="AE5" s="381" t="s">
        <v>359</v>
      </c>
      <c r="AF5" s="381" t="s">
        <v>238</v>
      </c>
      <c r="AG5" s="381" t="s">
        <v>536</v>
      </c>
      <c r="AH5" s="381" t="s">
        <v>355</v>
      </c>
      <c r="AI5" s="381" t="s">
        <v>537</v>
      </c>
      <c r="AJ5" s="381" t="s">
        <v>253</v>
      </c>
      <c r="AK5" s="381" t="s">
        <v>240</v>
      </c>
    </row>
    <row r="6" spans="1:37">
      <c r="B6" s="146" t="str">
        <f>Processes!D488</f>
        <v>FT-INDNGA</v>
      </c>
      <c r="C6" s="146" t="str">
        <f>Processes!E488</f>
        <v>FT-INDIND</v>
      </c>
      <c r="D6" s="146" t="s">
        <v>571</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577</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570</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569</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567</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74"/>
  <sheetViews>
    <sheetView showGridLines="0" topLeftCell="A38" zoomScale="115" zoomScaleNormal="130" workbookViewId="0">
      <selection activeCell="B66" sqref="B66"/>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6" ht="12.75" customHeight="1">
      <c r="B1" s="25" t="s">
        <v>497</v>
      </c>
      <c r="C1" s="25"/>
      <c r="D1" s="25"/>
      <c r="F1" s="25"/>
      <c r="G1" s="25"/>
      <c r="H1" s="502" t="s">
        <v>496</v>
      </c>
      <c r="I1" s="25"/>
      <c r="J1" s="34"/>
      <c r="K1" s="25"/>
      <c r="L1" s="25"/>
      <c r="M1" s="25"/>
      <c r="N1" s="25"/>
      <c r="O1" s="25"/>
    </row>
    <row r="2" spans="2:16" ht="12.75" customHeight="1">
      <c r="B2" s="25" t="s">
        <v>588</v>
      </c>
      <c r="C2" s="25"/>
      <c r="D2" s="25"/>
      <c r="E2" s="25"/>
      <c r="F2" s="25"/>
      <c r="G2" s="25"/>
      <c r="H2" s="25"/>
      <c r="I2" s="116"/>
      <c r="J2" s="116"/>
      <c r="K2" s="116"/>
      <c r="L2" s="116"/>
      <c r="M2" s="116"/>
      <c r="N2" s="116"/>
    </row>
    <row r="3" spans="2:16" ht="12.75" customHeight="1">
      <c r="B3" s="115">
        <v>2010</v>
      </c>
      <c r="E3" s="25"/>
      <c r="F3" s="25"/>
      <c r="G3" s="25"/>
      <c r="I3" s="25"/>
      <c r="J3" s="25"/>
      <c r="L3" s="25"/>
      <c r="M3" s="25"/>
      <c r="N3" s="25"/>
      <c r="P3" s="128" t="s">
        <v>193</v>
      </c>
    </row>
    <row r="4" spans="2:16" ht="12.75" customHeight="1">
      <c r="B4" s="25" t="s">
        <v>498</v>
      </c>
      <c r="C4" s="120" t="s">
        <v>467</v>
      </c>
      <c r="D4" s="120" t="s">
        <v>468</v>
      </c>
      <c r="E4" s="120" t="s">
        <v>469</v>
      </c>
      <c r="F4" s="120" t="s">
        <v>470</v>
      </c>
      <c r="G4" s="120" t="s">
        <v>471</v>
      </c>
      <c r="H4" s="120" t="s">
        <v>342</v>
      </c>
      <c r="I4" s="120" t="s">
        <v>472</v>
      </c>
      <c r="J4" s="120" t="s">
        <v>473</v>
      </c>
      <c r="K4" s="120" t="s">
        <v>474</v>
      </c>
      <c r="L4" s="120" t="s">
        <v>475</v>
      </c>
      <c r="M4" s="120" t="s">
        <v>476</v>
      </c>
      <c r="N4" s="120" t="s">
        <v>253</v>
      </c>
      <c r="O4" s="120" t="s">
        <v>477</v>
      </c>
      <c r="P4" s="121" t="s">
        <v>57</v>
      </c>
    </row>
    <row r="5" spans="2:16" ht="12.75" customHeight="1">
      <c r="B5" s="129"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row>
    <row r="6" spans="2:16" ht="12.75" customHeight="1">
      <c r="B6" s="129"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21" si="0">SUM(C6:O6)</f>
        <v>59432.603999999999</v>
      </c>
    </row>
    <row r="7" spans="2:16" ht="12.75" customHeight="1">
      <c r="B7" s="129"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row>
    <row r="8" spans="2:16" ht="12.75" customHeight="1">
      <c r="B8" s="129"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row>
    <row r="9" spans="2:16" ht="12.75" customHeight="1">
      <c r="B9" s="129"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row>
    <row r="10" spans="2:16" ht="12.75" customHeight="1" thickBot="1">
      <c r="B10" s="623" t="s">
        <v>586</v>
      </c>
      <c r="C10" s="118">
        <f>_xlfn.IFNA(INDEX('2010'!$C$6:$R$55,MATCH(C$4,'2010'!$B$6:$B$55,0),MATCH($B10,'2010'!$C$1:$R$1,0)),0)</f>
        <v>0</v>
      </c>
      <c r="D10" s="118">
        <f>_xlfn.IFNA(INDEX('2010'!$C$6:$R$55,MATCH(D$4,'2010'!$B$6:$B$55,0),MATCH($B10,'2010'!$C$1:$R$1,0)),0)</f>
        <v>0</v>
      </c>
      <c r="E10" s="118">
        <f>_xlfn.IFNA(INDEX('2010'!$C$6:$R$55,MATCH(E$4,'2010'!$B$6:$B$55,0),MATCH($B10,'2010'!$C$1:$R$1,0)),0)</f>
        <v>0</v>
      </c>
      <c r="F10" s="118">
        <f>_xlfn.IFNA(INDEX('2010'!$C$6:$R$55,MATCH(F$4,'2010'!$B$6:$B$55,0),MATCH($B10,'2010'!$C$1:$R$1,0)),0)</f>
        <v>0</v>
      </c>
      <c r="G10" s="118">
        <f>_xlfn.IFNA(INDEX('2010'!$C$6:$R$55,MATCH(G$4,'2010'!$B$6:$B$55,0),MATCH($B10,'2010'!$C$1:$R$1,0)),0)</f>
        <v>0</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0</v>
      </c>
      <c r="P10" s="118">
        <f t="shared" ref="P10" si="1">SUM(C10:O10)</f>
        <v>0</v>
      </c>
    </row>
    <row r="11" spans="2:16" ht="12.75" customHeight="1">
      <c r="B11" s="129" t="s">
        <v>580</v>
      </c>
      <c r="C11" s="118">
        <f>_xlfn.IFNA(INDEX('2010'!$C$6:$R$55,MATCH(C$4,'2010'!$B$6:$B$55,0),MATCH($B11,'2010'!$C$1:$R$1,0)),0)</f>
        <v>98063.7</v>
      </c>
      <c r="D11" s="118">
        <f>_xlfn.IFNA(INDEX('2010'!$C$6:$R$55,MATCH(D$4,'2010'!$B$6:$B$55,0),MATCH($B11,'2010'!$C$1:$R$1,0)),0)</f>
        <v>3539.7</v>
      </c>
      <c r="E11" s="118">
        <f>_xlfn.IFNA(INDEX('2010'!$C$6:$R$55,MATCH(E$4,'2010'!$B$6:$B$55,0),MATCH($B11,'2010'!$C$1:$R$1,0)),0)</f>
        <v>0</v>
      </c>
      <c r="F11" s="118">
        <f>_xlfn.IFNA(INDEX('2010'!$C$6:$R$55,MATCH(F$4,'2010'!$B$6:$B$55,0),MATCH($B11,'2010'!$C$1:$R$1,0)),0)</f>
        <v>107.1</v>
      </c>
      <c r="G11" s="118">
        <f>_xlfn.IFNA(INDEX('2010'!$C$6:$R$55,MATCH(G$4,'2010'!$B$6:$B$55,0),MATCH($B11,'2010'!$C$1:$R$1,0)),0)</f>
        <v>350.1</v>
      </c>
      <c r="H11" s="118">
        <f>_xlfn.IFNA(INDEX('2010'!$C$6:$R$55,MATCH(H$4,'2010'!$B$6:$B$55,0),MATCH($B11,'2010'!$C$1:$R$1,0)),0)</f>
        <v>0</v>
      </c>
      <c r="I11" s="118">
        <f>_xlfn.IFNA(INDEX('2010'!$C$6:$R$55,MATCH(I$4,'2010'!$B$6:$B$55,0),MATCH($B11,'2010'!$C$1:$R$1,0)),0)</f>
        <v>0</v>
      </c>
      <c r="J11" s="118">
        <f>_xlfn.IFNA(INDEX('2010'!$C$6:$R$55,MATCH(J$4,'2010'!$B$6:$B$55,0),MATCH($B11,'2010'!$C$1:$R$1,0)),0)</f>
        <v>0</v>
      </c>
      <c r="K11" s="118">
        <f>_xlfn.IFNA(INDEX('2010'!$C$6:$R$55,MATCH(K$4,'2010'!$B$6:$B$55,0),MATCH($B11,'2010'!$C$1:$R$1,0)),0)</f>
        <v>0</v>
      </c>
      <c r="L11" s="118">
        <f>_xlfn.IFNA(INDEX('2010'!$C$6:$R$55,MATCH(L$4,'2010'!$B$6:$B$55,0),MATCH($B11,'2010'!$C$1:$R$1,0)),0)</f>
        <v>0</v>
      </c>
      <c r="M11" s="118">
        <f>_xlfn.IFNA(INDEX('2010'!$C$6:$R$55,MATCH(M$4,'2010'!$B$6:$B$55,0),MATCH($B11,'2010'!$C$1:$R$1,0)),0)</f>
        <v>0</v>
      </c>
      <c r="N11" s="118">
        <f>_xlfn.IFNA(INDEX('2010'!$C$6:$R$55,MATCH(N$4,'2010'!$B$6:$B$55,0),MATCH($B11,'2010'!$C$1:$R$1,0)),0)</f>
        <v>0</v>
      </c>
      <c r="O11" s="118">
        <f>_xlfn.IFNA(INDEX('2010'!$C$6:$R$55,MATCH(O$4,'2010'!$B$6:$B$55,0),MATCH($B11,'2010'!$C$1:$R$1,0)),0)</f>
        <v>5.4</v>
      </c>
      <c r="P11" s="118">
        <f t="shared" ref="P11" si="2">SUM(C11:O11)</f>
        <v>102066</v>
      </c>
    </row>
    <row r="12" spans="2:16" ht="12.75" customHeight="1">
      <c r="B12" s="129" t="s">
        <v>51</v>
      </c>
      <c r="C12" s="118">
        <f>_xlfn.IFNA(INDEX('2010'!$C$6:$R$55,MATCH(C$4,'2010'!$B$6:$B$55,0),MATCH($B12,'2010'!$C$1:$R$1,0)),0)</f>
        <v>99519.558000000005</v>
      </c>
      <c r="D12" s="118">
        <f>_xlfn.IFNA(INDEX('2010'!$C$6:$R$55,MATCH(D$4,'2010'!$B$6:$B$55,0),MATCH($B12,'2010'!$C$1:$R$1,0)),0)</f>
        <v>237284.88700000002</v>
      </c>
      <c r="E12" s="118">
        <f>_xlfn.IFNA(INDEX('2010'!$C$6:$R$55,MATCH(E$4,'2010'!$B$6:$B$55,0),MATCH($B12,'2010'!$C$1:$R$1,0)),0)</f>
        <v>32190.673999999999</v>
      </c>
      <c r="F12" s="118">
        <f>_xlfn.IFNA(INDEX('2010'!$C$6:$R$55,MATCH(F$4,'2010'!$B$6:$B$55,0),MATCH($B12,'2010'!$C$1:$R$1,0)),0)</f>
        <v>102503.992</v>
      </c>
      <c r="G12" s="118">
        <f>_xlfn.IFNA(INDEX('2010'!$C$6:$R$55,MATCH(G$4,'2010'!$B$6:$B$55,0),MATCH($B12,'2010'!$C$1:$R$1,0)),0)</f>
        <v>38022.741999999998</v>
      </c>
      <c r="H12" s="118">
        <f>_xlfn.IFNA(INDEX('2010'!$C$6:$R$55,MATCH(H$4,'2010'!$B$6:$B$55,0),MATCH($B12,'2010'!$C$1:$R$1,0)),0)</f>
        <v>74901.570999999996</v>
      </c>
      <c r="I12" s="118">
        <f>_xlfn.IFNA(INDEX('2010'!$C$6:$R$55,MATCH(I$4,'2010'!$B$6:$B$55,0),MATCH($B12,'2010'!$C$1:$R$1,0)),0)</f>
        <v>6125.4709999999995</v>
      </c>
      <c r="J12" s="118">
        <f>_xlfn.IFNA(INDEX('2010'!$C$6:$R$55,MATCH(J$4,'2010'!$B$6:$B$55,0),MATCH($B12,'2010'!$C$1:$R$1,0)),0)</f>
        <v>105401.126</v>
      </c>
      <c r="K12" s="118">
        <f>_xlfn.IFNA(INDEX('2010'!$C$6:$R$55,MATCH(K$4,'2010'!$B$6:$B$55,0),MATCH($B12,'2010'!$C$1:$R$1,0)),0)</f>
        <v>94414.698000000004</v>
      </c>
      <c r="L12" s="118">
        <f>_xlfn.IFNA(INDEX('2010'!$C$6:$R$55,MATCH(L$4,'2010'!$B$6:$B$55,0),MATCH($B12,'2010'!$C$1:$R$1,0)),0)</f>
        <v>6317.1729999999998</v>
      </c>
      <c r="M12" s="118">
        <f>_xlfn.IFNA(INDEX('2010'!$C$6:$R$55,MATCH(M$4,'2010'!$B$6:$B$55,0),MATCH($B12,'2010'!$C$1:$R$1,0)),0)</f>
        <v>10936.927</v>
      </c>
      <c r="N12" s="118">
        <f>_xlfn.IFNA(INDEX('2010'!$C$6:$R$55,MATCH(N$4,'2010'!$B$6:$B$55,0),MATCH($B12,'2010'!$C$1:$R$1,0)),0)</f>
        <v>21828.853999999999</v>
      </c>
      <c r="O12" s="118">
        <f>_xlfn.IFNA(INDEX('2010'!$C$6:$R$55,MATCH(O$4,'2010'!$B$6:$B$55,0),MATCH($B12,'2010'!$C$1:$R$1,0)),0)</f>
        <v>29970.804</v>
      </c>
      <c r="P12" s="118">
        <f t="shared" si="0"/>
        <v>859418.47700000007</v>
      </c>
    </row>
    <row r="13" spans="2:16" ht="12.75" customHeight="1">
      <c r="B13" s="129" t="s">
        <v>77</v>
      </c>
      <c r="C13" s="118">
        <f>_xlfn.IFNA(INDEX('2010'!$C$6:$R$55,MATCH(C$4,'2010'!$B$6:$B$55,0),MATCH($B13,'2010'!$C$1:$R$1,0)),0)</f>
        <v>0</v>
      </c>
      <c r="D13" s="118">
        <f>_xlfn.IFNA(INDEX('2010'!$C$6:$R$55,MATCH(D$4,'2010'!$B$6:$B$55,0),MATCH($B13,'2010'!$C$1:$R$1,0)),0)</f>
        <v>4839</v>
      </c>
      <c r="E13" s="118">
        <f>_xlfn.IFNA(INDEX('2010'!$C$6:$R$55,MATCH(E$4,'2010'!$B$6:$B$55,0),MATCH($B13,'2010'!$C$1:$R$1,0)),0)</f>
        <v>17</v>
      </c>
      <c r="F13" s="118">
        <f>_xlfn.IFNA(INDEX('2010'!$C$6:$R$55,MATCH(F$4,'2010'!$B$6:$B$55,0),MATCH($B13,'2010'!$C$1:$R$1,0)),0)</f>
        <v>17</v>
      </c>
      <c r="G13" s="118">
        <f>_xlfn.IFNA(INDEX('2010'!$C$6:$R$55,MATCH(G$4,'2010'!$B$6:$B$55,0),MATCH($B13,'2010'!$C$1:$R$1,0)),0)</f>
        <v>0</v>
      </c>
      <c r="H13" s="118">
        <f>_xlfn.IFNA(INDEX('2010'!$C$6:$R$55,MATCH(H$4,'2010'!$B$6:$B$55,0),MATCH($B13,'2010'!$C$1:$R$1,0)),0)</f>
        <v>33</v>
      </c>
      <c r="I13" s="118">
        <f>_xlfn.IFNA(INDEX('2010'!$C$6:$R$55,MATCH(I$4,'2010'!$B$6:$B$55,0),MATCH($B13,'2010'!$C$1:$R$1,0)),0)</f>
        <v>0</v>
      </c>
      <c r="J13" s="118">
        <f>_xlfn.IFNA(INDEX('2010'!$C$6:$R$55,MATCH(J$4,'2010'!$B$6:$B$55,0),MATCH($B13,'2010'!$C$1:$R$1,0)),0)</f>
        <v>583</v>
      </c>
      <c r="K13" s="118">
        <f>_xlfn.IFNA(INDEX('2010'!$C$6:$R$55,MATCH(K$4,'2010'!$B$6:$B$55,0),MATCH($B13,'2010'!$C$1:$R$1,0)),0)</f>
        <v>943</v>
      </c>
      <c r="L13" s="118">
        <f>_xlfn.IFNA(INDEX('2010'!$C$6:$R$55,MATCH(L$4,'2010'!$B$6:$B$55,0),MATCH($B13,'2010'!$C$1:$R$1,0)),0)</f>
        <v>0</v>
      </c>
      <c r="M13" s="118">
        <f>_xlfn.IFNA(INDEX('2010'!$C$6:$R$55,MATCH(M$4,'2010'!$B$6:$B$55,0),MATCH($B13,'2010'!$C$1:$R$1,0)),0)</f>
        <v>15</v>
      </c>
      <c r="N13" s="118">
        <f>_xlfn.IFNA(INDEX('2010'!$C$6:$R$55,MATCH(N$4,'2010'!$B$6:$B$55,0),MATCH($B13,'2010'!$C$1:$R$1,0)),0)</f>
        <v>0</v>
      </c>
      <c r="O13" s="118">
        <f>_xlfn.IFNA(INDEX('2010'!$C$6:$R$55,MATCH(O$4,'2010'!$B$6:$B$55,0),MATCH($B13,'2010'!$C$1:$R$1,0)),0)</f>
        <v>66</v>
      </c>
      <c r="P13" s="118">
        <f t="shared" si="0"/>
        <v>6513</v>
      </c>
    </row>
    <row r="14" spans="2:16" ht="12.75" customHeight="1">
      <c r="B14" s="625" t="s">
        <v>581</v>
      </c>
      <c r="C14" s="118">
        <f>_xlfn.IFNA(INDEX('2010'!$C$6:$R$55,MATCH(C$4,'2010'!$B$6:$B$55,0),MATCH($B14,'2010'!$C$1:$R$1,0)),0)</f>
        <v>0</v>
      </c>
      <c r="D14" s="118">
        <f>_xlfn.IFNA(INDEX('2010'!$C$6:$R$55,MATCH(D$4,'2010'!$B$6:$B$55,0),MATCH($B14,'2010'!$C$1:$R$1,0)),0)</f>
        <v>0</v>
      </c>
      <c r="E14" s="118">
        <f>_xlfn.IFNA(INDEX('2010'!$C$6:$R$55,MATCH(E$4,'2010'!$B$6:$B$55,0),MATCH($B14,'2010'!$C$1:$R$1,0)),0)</f>
        <v>0</v>
      </c>
      <c r="F14" s="118">
        <f>_xlfn.IFNA(INDEX('2010'!$C$6:$R$55,MATCH(F$4,'2010'!$B$6:$B$55,0),MATCH($B14,'2010'!$C$1:$R$1,0)),0)</f>
        <v>0</v>
      </c>
      <c r="G14" s="118">
        <f>_xlfn.IFNA(INDEX('2010'!$C$6:$R$55,MATCH(G$4,'2010'!$B$6:$B$55,0),MATCH($B14,'2010'!$C$1:$R$1,0)),0)</f>
        <v>0</v>
      </c>
      <c r="H14" s="118">
        <f>_xlfn.IFNA(INDEX('2010'!$C$6:$R$55,MATCH(H$4,'2010'!$B$6:$B$55,0),MATCH($B14,'2010'!$C$1:$R$1,0)),0)</f>
        <v>0</v>
      </c>
      <c r="I14" s="118">
        <f>_xlfn.IFNA(INDEX('2010'!$C$6:$R$55,MATCH(I$4,'2010'!$B$6:$B$55,0),MATCH($B14,'2010'!$C$1:$R$1,0)),0)</f>
        <v>0</v>
      </c>
      <c r="J14" s="118">
        <f>_xlfn.IFNA(INDEX('2010'!$C$6:$R$55,MATCH(J$4,'2010'!$B$6:$B$55,0),MATCH($B14,'2010'!$C$1:$R$1,0)),0)</f>
        <v>0</v>
      </c>
      <c r="K14" s="118">
        <f>_xlfn.IFNA(INDEX('2010'!$C$6:$R$55,MATCH(K$4,'2010'!$B$6:$B$55,0),MATCH($B14,'2010'!$C$1:$R$1,0)),0)</f>
        <v>0</v>
      </c>
      <c r="L14" s="118">
        <f>_xlfn.IFNA(INDEX('2010'!$C$6:$R$55,MATCH(L$4,'2010'!$B$6:$B$55,0),MATCH($B14,'2010'!$C$1:$R$1,0)),0)</f>
        <v>0</v>
      </c>
      <c r="M14" s="118">
        <f>_xlfn.IFNA(INDEX('2010'!$C$6:$R$55,MATCH(M$4,'2010'!$B$6:$B$55,0),MATCH($B14,'2010'!$C$1:$R$1,0)),0)</f>
        <v>0</v>
      </c>
      <c r="N14" s="118">
        <f>_xlfn.IFNA(INDEX('2010'!$C$6:$R$55,MATCH(N$4,'2010'!$B$6:$B$55,0),MATCH($B14,'2010'!$C$1:$R$1,0)),0)</f>
        <v>0</v>
      </c>
      <c r="O14" s="118">
        <f>_xlfn.IFNA(INDEX('2010'!$C$6:$R$55,MATCH(O$4,'2010'!$B$6:$B$55,0),MATCH($B14,'2010'!$C$1:$R$1,0)),0)</f>
        <v>0</v>
      </c>
      <c r="P14" s="118">
        <f t="shared" si="0"/>
        <v>0</v>
      </c>
    </row>
    <row r="15" spans="2:16" ht="12.75" customHeight="1">
      <c r="B15" s="625" t="s">
        <v>582</v>
      </c>
      <c r="C15" s="118">
        <f>_xlfn.IFNA(INDEX('2010'!$C$6:$R$55,MATCH(C$4,'2010'!$B$6:$B$55,0),MATCH($B15,'2010'!$C$1:$R$1,0)),0)</f>
        <v>134.768</v>
      </c>
      <c r="D15" s="118">
        <f>_xlfn.IFNA(INDEX('2010'!$C$6:$R$55,MATCH(D$4,'2010'!$B$6:$B$55,0),MATCH($B15,'2010'!$C$1:$R$1,0)),0)</f>
        <v>168.46</v>
      </c>
      <c r="E15" s="118">
        <f>_xlfn.IFNA(INDEX('2010'!$C$6:$R$55,MATCH(E$4,'2010'!$B$6:$B$55,0),MATCH($B15,'2010'!$C$1:$R$1,0)),0)</f>
        <v>0</v>
      </c>
      <c r="F15" s="118">
        <f>_xlfn.IFNA(INDEX('2010'!$C$6:$R$55,MATCH(F$4,'2010'!$B$6:$B$55,0),MATCH($B15,'2010'!$C$1:$R$1,0)),0)</f>
        <v>1111.836</v>
      </c>
      <c r="G15" s="118">
        <f>_xlfn.IFNA(INDEX('2010'!$C$6:$R$55,MATCH(G$4,'2010'!$B$6:$B$55,0),MATCH($B15,'2010'!$C$1:$R$1,0)),0)</f>
        <v>101.07599999999999</v>
      </c>
      <c r="H15" s="118">
        <f>_xlfn.IFNA(INDEX('2010'!$C$6:$R$55,MATCH(H$4,'2010'!$B$6:$B$55,0),MATCH($B15,'2010'!$C$1:$R$1,0)),0)</f>
        <v>168.46</v>
      </c>
      <c r="I15" s="118">
        <f>_xlfn.IFNA(INDEX('2010'!$C$6:$R$55,MATCH(I$4,'2010'!$B$6:$B$55,0),MATCH($B15,'2010'!$C$1:$R$1,0)),0)</f>
        <v>67.384</v>
      </c>
      <c r="J15" s="118">
        <f>_xlfn.IFNA(INDEX('2010'!$C$6:$R$55,MATCH(J$4,'2010'!$B$6:$B$55,0),MATCH($B15,'2010'!$C$1:$R$1,0)),0)</f>
        <v>235.84399999999999</v>
      </c>
      <c r="K15" s="118">
        <f>_xlfn.IFNA(INDEX('2010'!$C$6:$R$55,MATCH(K$4,'2010'!$B$6:$B$55,0),MATCH($B15,'2010'!$C$1:$R$1,0)),0)</f>
        <v>0</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33.692</v>
      </c>
      <c r="P15" s="118">
        <f t="shared" si="0"/>
        <v>2021.5200000000002</v>
      </c>
    </row>
    <row r="16" spans="2:16" ht="12.75" customHeight="1">
      <c r="B16" s="625" t="s">
        <v>589</v>
      </c>
      <c r="C16" s="118">
        <f>_xlfn.IFNA(INDEX('2010'!$C$6:$R$55,MATCH(C$4,'2010'!$B$6:$B$55,0),MATCH($B16,'2010'!$C$1:$R$1,0)),0)</f>
        <v>0</v>
      </c>
      <c r="D16" s="118">
        <f>_xlfn.IFNA(INDEX('2010'!$C$6:$R$55,MATCH(D$4,'2010'!$B$6:$B$55,0),MATCH($B16,'2010'!$C$1:$R$1,0)),0)</f>
        <v>0</v>
      </c>
      <c r="E16" s="118">
        <f>_xlfn.IFNA(INDEX('2010'!$C$6:$R$55,MATCH(E$4,'2010'!$B$6:$B$55,0),MATCH($B16,'2010'!$C$1:$R$1,0)),0)</f>
        <v>0</v>
      </c>
      <c r="F16" s="118">
        <f>_xlfn.IFNA(INDEX('2010'!$C$6:$R$55,MATCH(F$4,'2010'!$B$6:$B$55,0),MATCH($B16,'2010'!$C$1:$R$1,0)),0)</f>
        <v>0</v>
      </c>
      <c r="G16" s="118">
        <f>_xlfn.IFNA(INDEX('2010'!$C$6:$R$55,MATCH(G$4,'2010'!$B$6:$B$55,0),MATCH($B16,'2010'!$C$1:$R$1,0)),0)</f>
        <v>0</v>
      </c>
      <c r="H16" s="118">
        <f>_xlfn.IFNA(INDEX('2010'!$C$6:$R$55,MATCH(H$4,'2010'!$B$6:$B$55,0),MATCH($B16,'2010'!$C$1:$R$1,0)),0)</f>
        <v>0</v>
      </c>
      <c r="I16" s="118">
        <f>_xlfn.IFNA(INDEX('2010'!$C$6:$R$55,MATCH(I$4,'2010'!$B$6:$B$55,0),MATCH($B16,'2010'!$C$1:$R$1,0)),0)</f>
        <v>0</v>
      </c>
      <c r="J16" s="118">
        <f>_xlfn.IFNA(INDEX('2010'!$C$6:$R$55,MATCH(J$4,'2010'!$B$6:$B$55,0),MATCH($B16,'2010'!$C$1:$R$1,0)),0)</f>
        <v>0</v>
      </c>
      <c r="K16" s="118">
        <f>_xlfn.IFNA(INDEX('2010'!$C$6:$R$55,MATCH(K$4,'2010'!$B$6:$B$55,0),MATCH($B16,'2010'!$C$1:$R$1,0)),0)</f>
        <v>0</v>
      </c>
      <c r="L16" s="118">
        <f>_xlfn.IFNA(INDEX('2010'!$C$6:$R$55,MATCH(L$4,'2010'!$B$6:$B$55,0),MATCH($B16,'2010'!$C$1:$R$1,0)),0)</f>
        <v>0</v>
      </c>
      <c r="M16" s="118">
        <f>_xlfn.IFNA(INDEX('2010'!$C$6:$R$55,MATCH(M$4,'2010'!$B$6:$B$55,0),MATCH($B16,'2010'!$C$1:$R$1,0)),0)</f>
        <v>0</v>
      </c>
      <c r="N16" s="118">
        <f>_xlfn.IFNA(INDEX('2010'!$C$6:$R$55,MATCH(N$4,'2010'!$B$6:$B$55,0),MATCH($B16,'2010'!$C$1:$R$1,0)),0)</f>
        <v>0</v>
      </c>
      <c r="O16" s="118">
        <f>_xlfn.IFNA(INDEX('2010'!$C$6:$R$55,MATCH(O$4,'2010'!$B$6:$B$55,0),MATCH($B16,'2010'!$C$1:$R$1,0)),0)</f>
        <v>0</v>
      </c>
      <c r="P16" s="118">
        <f t="shared" si="0"/>
        <v>0</v>
      </c>
    </row>
    <row r="17" spans="2:19" ht="12.75" customHeight="1">
      <c r="B17" s="625" t="s">
        <v>583</v>
      </c>
      <c r="C17" s="118">
        <f>_xlfn.IFNA(INDEX('2010'!$C$6:$R$55,MATCH(C$4,'2010'!$B$6:$B$55,0),MATCH($B17,'2010'!$C$1:$R$1,0)),0)</f>
        <v>0</v>
      </c>
      <c r="D17" s="118">
        <f>_xlfn.IFNA(INDEX('2010'!$C$6:$R$55,MATCH(D$4,'2010'!$B$6:$B$55,0),MATCH($B17,'2010'!$C$1:$R$1,0)),0)</f>
        <v>0</v>
      </c>
      <c r="E17" s="118">
        <f>_xlfn.IFNA(INDEX('2010'!$C$6:$R$55,MATCH(E$4,'2010'!$B$6:$B$55,0),MATCH($B17,'2010'!$C$1:$R$1,0)),0)</f>
        <v>0</v>
      </c>
      <c r="F17" s="118">
        <f>_xlfn.IFNA(INDEX('2010'!$C$6:$R$55,MATCH(F$4,'2010'!$B$6:$B$55,0),MATCH($B17,'2010'!$C$1:$R$1,0)),0)</f>
        <v>0</v>
      </c>
      <c r="G17" s="118">
        <f>_xlfn.IFNA(INDEX('2010'!$C$6:$R$55,MATCH(G$4,'2010'!$B$6:$B$55,0),MATCH($B17,'2010'!$C$1:$R$1,0)),0)</f>
        <v>0</v>
      </c>
      <c r="H17" s="118">
        <f>_xlfn.IFNA(INDEX('2010'!$C$6:$R$55,MATCH(H$4,'2010'!$B$6:$B$55,0),MATCH($B17,'2010'!$C$1:$R$1,0)),0)</f>
        <v>0</v>
      </c>
      <c r="I17" s="118">
        <f>_xlfn.IFNA(INDEX('2010'!$C$6:$R$55,MATCH(I$4,'2010'!$B$6:$B$55,0),MATCH($B17,'2010'!$C$1:$R$1,0)),0)</f>
        <v>0</v>
      </c>
      <c r="J17" s="118">
        <f>_xlfn.IFNA(INDEX('2010'!$C$6:$R$55,MATCH(J$4,'2010'!$B$6:$B$55,0),MATCH($B17,'2010'!$C$1:$R$1,0)),0)</f>
        <v>0</v>
      </c>
      <c r="K17" s="118">
        <f>_xlfn.IFNA(INDEX('2010'!$C$6:$R$55,MATCH(K$4,'2010'!$B$6:$B$55,0),MATCH($B17,'2010'!$C$1:$R$1,0)),0)</f>
        <v>0</v>
      </c>
      <c r="L17" s="118">
        <f>_xlfn.IFNA(INDEX('2010'!$C$6:$R$55,MATCH(L$4,'2010'!$B$6:$B$55,0),MATCH($B17,'2010'!$C$1:$R$1,0)),0)</f>
        <v>0</v>
      </c>
      <c r="M17" s="118">
        <f>_xlfn.IFNA(INDEX('2010'!$C$6:$R$55,MATCH(M$4,'2010'!$B$6:$B$55,0),MATCH($B17,'2010'!$C$1:$R$1,0)),0)</f>
        <v>0</v>
      </c>
      <c r="N17" s="118">
        <f>_xlfn.IFNA(INDEX('2010'!$C$6:$R$55,MATCH(N$4,'2010'!$B$6:$B$55,0),MATCH($B17,'2010'!$C$1:$R$1,0)),0)</f>
        <v>0</v>
      </c>
      <c r="O17" s="118">
        <f>_xlfn.IFNA(INDEX('2010'!$C$6:$R$55,MATCH(O$4,'2010'!$B$6:$B$55,0),MATCH($B17,'2010'!$C$1:$R$1,0)),0)</f>
        <v>0</v>
      </c>
      <c r="P17" s="118">
        <f t="shared" si="0"/>
        <v>0</v>
      </c>
    </row>
    <row r="18" spans="2:19" ht="12.75" customHeight="1">
      <c r="B18" s="129" t="s">
        <v>78</v>
      </c>
      <c r="C18" s="118">
        <f>_xlfn.IFNA(INDEX('2010'!$C$6:$R$55,MATCH(C$4,'2010'!$B$6:$B$55,0),MATCH($B18,'2010'!$C$1:$R$1,0)),0)</f>
        <v>0</v>
      </c>
      <c r="D18" s="118">
        <f>_xlfn.IFNA(INDEX('2010'!$C$6:$R$55,MATCH(D$4,'2010'!$B$6:$B$55,0),MATCH($B18,'2010'!$C$1:$R$1,0)),0)</f>
        <v>1701</v>
      </c>
      <c r="E18" s="118">
        <f>_xlfn.IFNA(INDEX('2010'!$C$6:$R$55,MATCH(E$4,'2010'!$B$6:$B$55,0),MATCH($B18,'2010'!$C$1:$R$1,0)),0)</f>
        <v>0</v>
      </c>
      <c r="F18" s="118">
        <f>_xlfn.IFNA(INDEX('2010'!$C$6:$R$55,MATCH(F$4,'2010'!$B$6:$B$55,0),MATCH($B18,'2010'!$C$1:$R$1,0)),0)</f>
        <v>6041</v>
      </c>
      <c r="G18" s="118">
        <f>_xlfn.IFNA(INDEX('2010'!$C$6:$R$55,MATCH(G$4,'2010'!$B$6:$B$55,0),MATCH($B18,'2010'!$C$1:$R$1,0)),0)</f>
        <v>239</v>
      </c>
      <c r="H18" s="118">
        <f>_xlfn.IFNA(INDEX('2010'!$C$6:$R$55,MATCH(H$4,'2010'!$B$6:$B$55,0),MATCH($B18,'2010'!$C$1:$R$1,0)),0)</f>
        <v>1648</v>
      </c>
      <c r="I18" s="118">
        <f>_xlfn.IFNA(INDEX('2010'!$C$6:$R$55,MATCH(I$4,'2010'!$B$6:$B$55,0),MATCH($B18,'2010'!$C$1:$R$1,0)),0)</f>
        <v>571</v>
      </c>
      <c r="J18" s="118">
        <f>_xlfn.IFNA(INDEX('2010'!$C$6:$R$55,MATCH(J$4,'2010'!$B$6:$B$55,0),MATCH($B18,'2010'!$C$1:$R$1,0)),0)</f>
        <v>1184</v>
      </c>
      <c r="K18" s="118">
        <f>_xlfn.IFNA(INDEX('2010'!$C$6:$R$55,MATCH(K$4,'2010'!$B$6:$B$55,0),MATCH($B18,'2010'!$C$1:$R$1,0)),0)</f>
        <v>39709</v>
      </c>
      <c r="L18" s="118">
        <f>_xlfn.IFNA(INDEX('2010'!$C$6:$R$55,MATCH(L$4,'2010'!$B$6:$B$55,0),MATCH($B18,'2010'!$C$1:$R$1,0)),0)</f>
        <v>45952</v>
      </c>
      <c r="M18" s="118">
        <f>_xlfn.IFNA(INDEX('2010'!$C$6:$R$55,MATCH(M$4,'2010'!$B$6:$B$55,0),MATCH($B18,'2010'!$C$1:$R$1,0)),0)</f>
        <v>88</v>
      </c>
      <c r="N18" s="118">
        <f>_xlfn.IFNA(INDEX('2010'!$C$6:$R$55,MATCH(N$4,'2010'!$B$6:$B$55,0),MATCH($B18,'2010'!$C$1:$R$1,0)),0)</f>
        <v>0</v>
      </c>
      <c r="O18" s="118">
        <f>_xlfn.IFNA(INDEX('2010'!$C$6:$R$55,MATCH(O$4,'2010'!$B$6:$B$55,0),MATCH($B18,'2010'!$C$1:$R$1,0)),0)</f>
        <v>3985</v>
      </c>
      <c r="P18" s="118">
        <f>SUM(C18:O18)</f>
        <v>101118</v>
      </c>
      <c r="R18" s="128">
        <v>0.2</v>
      </c>
      <c r="S18" s="128" t="s">
        <v>500</v>
      </c>
    </row>
    <row r="19" spans="2:19" ht="12.75" customHeight="1">
      <c r="B19" s="129" t="s">
        <v>80</v>
      </c>
      <c r="C19" s="118">
        <f>_xlfn.IFNA(INDEX('2010'!$C$6:$R$55,MATCH(C$4,'2010'!$B$6:$B$55,0),MATCH($B19,'2010'!$C$1:$R$1,0)),0)</f>
        <v>0</v>
      </c>
      <c r="D19" s="118">
        <f>_xlfn.IFNA(INDEX('2010'!$C$6:$R$55,MATCH(D$4,'2010'!$B$6:$B$55,0),MATCH($B19,'2010'!$C$1:$R$1,0)),0)</f>
        <v>6545</v>
      </c>
      <c r="E19" s="118">
        <f>_xlfn.IFNA(INDEX('2010'!$C$6:$R$55,MATCH(E$4,'2010'!$B$6:$B$55,0),MATCH($B19,'2010'!$C$1:$R$1,0)),0)</f>
        <v>312</v>
      </c>
      <c r="F19" s="118">
        <f>_xlfn.IFNA(INDEX('2010'!$C$6:$R$55,MATCH(F$4,'2010'!$B$6:$B$55,0),MATCH($B19,'2010'!$C$1:$R$1,0)),0)</f>
        <v>33264</v>
      </c>
      <c r="G19" s="118">
        <f>_xlfn.IFNA(INDEX('2010'!$C$6:$R$55,MATCH(G$4,'2010'!$B$6:$B$55,0),MATCH($B19,'2010'!$C$1:$R$1,0)),0)</f>
        <v>0</v>
      </c>
      <c r="H19" s="118">
        <f>_xlfn.IFNA(INDEX('2010'!$C$6:$R$55,MATCH(H$4,'2010'!$B$6:$B$55,0),MATCH($B19,'2010'!$C$1:$R$1,0)),0)</f>
        <v>8</v>
      </c>
      <c r="I19" s="118">
        <f>_xlfn.IFNA(INDEX('2010'!$C$6:$R$55,MATCH(I$4,'2010'!$B$6:$B$55,0),MATCH($B19,'2010'!$C$1:$R$1,0)),0)</f>
        <v>0</v>
      </c>
      <c r="J19" s="118">
        <f>_xlfn.IFNA(INDEX('2010'!$C$6:$R$55,MATCH(J$4,'2010'!$B$6:$B$55,0),MATCH($B19,'2010'!$C$1:$R$1,0)),0)</f>
        <v>384</v>
      </c>
      <c r="K19" s="118">
        <f>_xlfn.IFNA(INDEX('2010'!$C$6:$R$55,MATCH(K$4,'2010'!$B$6:$B$55,0),MATCH($B19,'2010'!$C$1:$R$1,0)),0)</f>
        <v>2134</v>
      </c>
      <c r="L19" s="118">
        <f>_xlfn.IFNA(INDEX('2010'!$C$6:$R$55,MATCH(L$4,'2010'!$B$6:$B$55,0),MATCH($B19,'2010'!$C$1:$R$1,0)),0)</f>
        <v>0</v>
      </c>
      <c r="M19" s="118">
        <f>_xlfn.IFNA(INDEX('2010'!$C$6:$R$55,MATCH(M$4,'2010'!$B$6:$B$55,0),MATCH($B19,'2010'!$C$1:$R$1,0)),0)</f>
        <v>0</v>
      </c>
      <c r="N19" s="118">
        <f>_xlfn.IFNA(INDEX('2010'!$C$6:$R$55,MATCH(N$4,'2010'!$B$6:$B$55,0),MATCH($B19,'2010'!$C$1:$R$1,0)),0)</f>
        <v>0</v>
      </c>
      <c r="O19" s="118">
        <f>_xlfn.IFNA(INDEX('2010'!$C$6:$R$55,MATCH(O$4,'2010'!$B$6:$B$55,0),MATCH($B19,'2010'!$C$1:$R$1,0)),0)</f>
        <v>5</v>
      </c>
      <c r="P19" s="118">
        <f t="shared" si="0"/>
        <v>42652</v>
      </c>
      <c r="R19" s="128">
        <f>1-R18</f>
        <v>0.8</v>
      </c>
      <c r="S19" s="128" t="s">
        <v>500</v>
      </c>
    </row>
    <row r="20" spans="2:19" ht="12.75" customHeight="1">
      <c r="B20" s="129" t="s">
        <v>50</v>
      </c>
      <c r="C20" s="118">
        <f>_xlfn.IFNA(INDEX('2010'!$C$6:$R$55,MATCH(C$4,'2010'!$B$6:$B$55,0),MATCH($B20,'2010'!$C$1:$R$1,0)),0)</f>
        <v>97534.8</v>
      </c>
      <c r="D20" s="118">
        <f>_xlfn.IFNA(INDEX('2010'!$C$6:$R$55,MATCH(D$4,'2010'!$B$6:$B$55,0),MATCH($B20,'2010'!$C$1:$R$1,0)),0)</f>
        <v>188413.2</v>
      </c>
      <c r="E20" s="118">
        <f>_xlfn.IFNA(INDEX('2010'!$C$6:$R$55,MATCH(E$4,'2010'!$B$6:$B$55,0),MATCH($B20,'2010'!$C$1:$R$1,0)),0)</f>
        <v>49122</v>
      </c>
      <c r="F20" s="118">
        <f>_xlfn.IFNA(INDEX('2010'!$C$6:$R$55,MATCH(F$4,'2010'!$B$6:$B$55,0),MATCH($B20,'2010'!$C$1:$R$1,0)),0)</f>
        <v>44042.400000000001</v>
      </c>
      <c r="G20" s="118">
        <f>_xlfn.IFNA(INDEX('2010'!$C$6:$R$55,MATCH(G$4,'2010'!$B$6:$B$55,0),MATCH($B20,'2010'!$C$1:$R$1,0)),0)</f>
        <v>64216.800000000003</v>
      </c>
      <c r="H20" s="118">
        <f>_xlfn.IFNA(INDEX('2010'!$C$6:$R$55,MATCH(H$4,'2010'!$B$6:$B$55,0),MATCH($B20,'2010'!$C$1:$R$1,0)),0)</f>
        <v>118476</v>
      </c>
      <c r="I20" s="118">
        <f>_xlfn.IFNA(INDEX('2010'!$C$6:$R$55,MATCH(I$4,'2010'!$B$6:$B$55,0),MATCH($B20,'2010'!$C$1:$R$1,0)),0)</f>
        <v>7768.8</v>
      </c>
      <c r="J20" s="118">
        <f>_xlfn.IFNA(INDEX('2010'!$C$6:$R$55,MATCH(J$4,'2010'!$B$6:$B$55,0),MATCH($B20,'2010'!$C$1:$R$1,0)),0)</f>
        <v>63090</v>
      </c>
      <c r="K20" s="118">
        <f>_xlfn.IFNA(INDEX('2010'!$C$6:$R$55,MATCH(K$4,'2010'!$B$6:$B$55,0),MATCH($B20,'2010'!$C$1:$R$1,0)),0)</f>
        <v>87469.2</v>
      </c>
      <c r="L20" s="118">
        <f>_xlfn.IFNA(INDEX('2010'!$C$6:$R$55,MATCH(L$4,'2010'!$B$6:$B$55,0),MATCH($B20,'2010'!$C$1:$R$1,0)),0)</f>
        <v>16236</v>
      </c>
      <c r="M20" s="118">
        <f>_xlfn.IFNA(INDEX('2010'!$C$6:$R$55,MATCH(M$4,'2010'!$B$6:$B$55,0),MATCH($B20,'2010'!$C$1:$R$1,0)),0)</f>
        <v>8935.2000000000007</v>
      </c>
      <c r="N20" s="118">
        <f>_xlfn.IFNA(INDEX('2010'!$C$6:$R$55,MATCH(N$4,'2010'!$B$6:$B$55,0),MATCH($B20,'2010'!$C$1:$R$1,0)),0)</f>
        <v>14310</v>
      </c>
      <c r="O20" s="118">
        <f>_xlfn.IFNA(INDEX('2010'!$C$6:$R$55,MATCH(O$4,'2010'!$B$6:$B$55,0),MATCH($B20,'2010'!$C$1:$R$1,0)),0)</f>
        <v>63003.6</v>
      </c>
      <c r="P20" s="118">
        <f t="shared" si="0"/>
        <v>822617.99999999988</v>
      </c>
    </row>
    <row r="21" spans="2:19" ht="12.75" customHeight="1">
      <c r="B21" s="130" t="s">
        <v>52</v>
      </c>
      <c r="C21" s="118">
        <f>_xlfn.IFNA(INDEX('2010'!$C$6:$R$55,MATCH(C$4,'2010'!$B$6:$B$55,0),MATCH($B21,'2010'!$C$1:$R$1,0)),0)</f>
        <v>1774</v>
      </c>
      <c r="D21" s="118">
        <f>_xlfn.IFNA(INDEX('2010'!$C$6:$R$55,MATCH(D$4,'2010'!$B$6:$B$55,0),MATCH($B21,'2010'!$C$1:$R$1,0)),0)</f>
        <v>75475</v>
      </c>
      <c r="E21" s="118">
        <f>_xlfn.IFNA(INDEX('2010'!$C$6:$R$55,MATCH(E$4,'2010'!$B$6:$B$55,0),MATCH($B21,'2010'!$C$1:$R$1,0)),0)</f>
        <v>2571</v>
      </c>
      <c r="F21" s="118">
        <f>_xlfn.IFNA(INDEX('2010'!$C$6:$R$55,MATCH(F$4,'2010'!$B$6:$B$55,0),MATCH($B21,'2010'!$C$1:$R$1,0)),0)</f>
        <v>608</v>
      </c>
      <c r="G21" s="118">
        <f>_xlfn.IFNA(INDEX('2010'!$C$6:$R$55,MATCH(G$4,'2010'!$B$6:$B$55,0),MATCH($B21,'2010'!$C$1:$R$1,0)),0)</f>
        <v>15937</v>
      </c>
      <c r="H21" s="118">
        <f>_xlfn.IFNA(INDEX('2010'!$C$6:$R$55,MATCH(H$4,'2010'!$B$6:$B$55,0),MATCH($B21,'2010'!$C$1:$R$1,0)),0)</f>
        <v>13136</v>
      </c>
      <c r="I21" s="118">
        <f>_xlfn.IFNA(INDEX('2010'!$C$6:$R$55,MATCH(I$4,'2010'!$B$6:$B$55,0),MATCH($B21,'2010'!$C$1:$R$1,0)),0)</f>
        <v>56</v>
      </c>
      <c r="J21" s="118">
        <f>_xlfn.IFNA(INDEX('2010'!$C$6:$R$55,MATCH(J$4,'2010'!$B$6:$B$55,0),MATCH($B21,'2010'!$C$1:$R$1,0)),0)</f>
        <v>5601</v>
      </c>
      <c r="K21" s="118">
        <f>_xlfn.IFNA(INDEX('2010'!$C$6:$R$55,MATCH(K$4,'2010'!$B$6:$B$55,0),MATCH($B21,'2010'!$C$1:$R$1,0)),0)</f>
        <v>17725</v>
      </c>
      <c r="L21" s="118">
        <f>_xlfn.IFNA(INDEX('2010'!$C$6:$R$55,MATCH(L$4,'2010'!$B$6:$B$55,0),MATCH($B21,'2010'!$C$1:$R$1,0)),0)</f>
        <v>4184</v>
      </c>
      <c r="M21" s="118">
        <f>_xlfn.IFNA(INDEX('2010'!$C$6:$R$55,MATCH(M$4,'2010'!$B$6:$B$55,0),MATCH($B21,'2010'!$C$1:$R$1,0)),0)</f>
        <v>2521</v>
      </c>
      <c r="N21" s="118">
        <f>_xlfn.IFNA(INDEX('2010'!$C$6:$R$55,MATCH(N$4,'2010'!$B$6:$B$55,0),MATCH($B21,'2010'!$C$1:$R$1,0)),0)</f>
        <v>0</v>
      </c>
      <c r="O21" s="118">
        <f>_xlfn.IFNA(INDEX('2010'!$C$6:$R$55,MATCH(O$4,'2010'!$B$6:$B$55,0),MATCH($B21,'2010'!$C$1:$R$1,0)),0)</f>
        <v>6434</v>
      </c>
      <c r="P21" s="118">
        <f t="shared" si="0"/>
        <v>146022</v>
      </c>
    </row>
    <row r="22" spans="2:19" ht="12.75" customHeight="1">
      <c r="B22" s="129" t="s">
        <v>434</v>
      </c>
      <c r="C22" s="118">
        <f>SUM(C13:C19)</f>
        <v>134.768</v>
      </c>
      <c r="D22" s="118">
        <f t="shared" ref="D22:P22" si="3">SUM(D13:D19)</f>
        <v>13253.46</v>
      </c>
      <c r="E22" s="118">
        <f t="shared" si="3"/>
        <v>329</v>
      </c>
      <c r="F22" s="118">
        <f t="shared" si="3"/>
        <v>40433.836000000003</v>
      </c>
      <c r="G22" s="118">
        <f t="shared" si="3"/>
        <v>340.07600000000002</v>
      </c>
      <c r="H22" s="118">
        <f t="shared" si="3"/>
        <v>1857.46</v>
      </c>
      <c r="I22" s="118">
        <f t="shared" si="3"/>
        <v>638.38400000000001</v>
      </c>
      <c r="J22" s="118">
        <f t="shared" si="3"/>
        <v>2386.8440000000001</v>
      </c>
      <c r="K22" s="118">
        <f t="shared" si="3"/>
        <v>42786</v>
      </c>
      <c r="L22" s="118">
        <f t="shared" si="3"/>
        <v>45952</v>
      </c>
      <c r="M22" s="118">
        <f t="shared" si="3"/>
        <v>103</v>
      </c>
      <c r="N22" s="118">
        <f t="shared" si="3"/>
        <v>0</v>
      </c>
      <c r="O22" s="118">
        <f t="shared" si="3"/>
        <v>4089.692</v>
      </c>
      <c r="P22" s="118">
        <f t="shared" si="3"/>
        <v>152304.52000000002</v>
      </c>
    </row>
    <row r="23" spans="2:19" ht="12.75" customHeight="1">
      <c r="B23" s="118" t="s">
        <v>499</v>
      </c>
      <c r="C23" s="118">
        <f t="shared" ref="C23:O23" si="4">SUM(C5:C21)</f>
        <v>330679.84200000006</v>
      </c>
      <c r="D23" s="118">
        <f t="shared" si="4"/>
        <v>588419.79900000012</v>
      </c>
      <c r="E23" s="118">
        <f t="shared" si="4"/>
        <v>87781.460999999996</v>
      </c>
      <c r="F23" s="118">
        <f t="shared" si="4"/>
        <v>265634.53200000001</v>
      </c>
      <c r="G23" s="118">
        <f t="shared" si="4"/>
        <v>123559.23300000001</v>
      </c>
      <c r="H23" s="118">
        <f t="shared" si="4"/>
        <v>232370.024</v>
      </c>
      <c r="I23" s="118">
        <f t="shared" si="4"/>
        <v>18408.965</v>
      </c>
      <c r="J23" s="118">
        <f t="shared" si="4"/>
        <v>201710.19500000001</v>
      </c>
      <c r="K23" s="118">
        <f t="shared" si="4"/>
        <v>262418.07900000003</v>
      </c>
      <c r="L23" s="118">
        <f t="shared" si="4"/>
        <v>75463.909</v>
      </c>
      <c r="M23" s="118">
        <f t="shared" si="4"/>
        <v>24704.762000000002</v>
      </c>
      <c r="N23" s="118">
        <f t="shared" si="4"/>
        <v>36138.853999999999</v>
      </c>
      <c r="O23" s="118">
        <f t="shared" si="4"/>
        <v>116083.533</v>
      </c>
      <c r="P23" s="118">
        <f>SUM(C23:O23)</f>
        <v>2363373.1880000001</v>
      </c>
    </row>
    <row r="24" spans="2:19" ht="12.75" customHeight="1">
      <c r="B24" s="118" t="s">
        <v>57</v>
      </c>
      <c r="C24" s="118">
        <f>_xlfn.IFNA(INDEX('2010'!$C$6:$S$55,MATCH(C$4,'2010'!$B$6:$B$55,0),MATCH($B24,'2010'!$C$1:$S$1,0)),0)</f>
        <v>330774.06900000002</v>
      </c>
      <c r="D24" s="118">
        <f>_xlfn.IFNA(INDEX('2010'!$C$6:$S$55,MATCH(D$4,'2010'!$B$6:$B$55,0),MATCH($B24,'2010'!$C$1:$S$1,0)),0)</f>
        <v>588419.77899999998</v>
      </c>
      <c r="E24" s="118">
        <f>_xlfn.IFNA(INDEX('2010'!$C$6:$S$55,MATCH(E$4,'2010'!$B$6:$B$55,0),MATCH($B24,'2010'!$C$1:$S$1,0)),0)</f>
        <v>89446.138000000006</v>
      </c>
      <c r="F24" s="118">
        <f>_xlfn.IFNA(INDEX('2010'!$C$6:$S$55,MATCH(F$4,'2010'!$B$6:$B$55,0),MATCH($B24,'2010'!$C$1:$S$1,0)),0)</f>
        <v>272879.16200000001</v>
      </c>
      <c r="G24" s="118">
        <f>_xlfn.IFNA(INDEX('2010'!$C$6:$S$55,MATCH(G$4,'2010'!$B$6:$B$55,0),MATCH($B24,'2010'!$C$1:$S$1,0)),0)</f>
        <v>123559.23300000001</v>
      </c>
      <c r="H24" s="118">
        <f>_xlfn.IFNA(INDEX('2010'!$C$6:$S$55,MATCH(H$4,'2010'!$B$6:$B$55,0),MATCH($B24,'2010'!$C$1:$S$1,0)),0)</f>
        <v>232432.842</v>
      </c>
      <c r="I24" s="118">
        <f>_xlfn.IFNA(INDEX('2010'!$C$6:$S$55,MATCH(I$4,'2010'!$B$6:$B$55,0),MATCH($B24,'2010'!$C$1:$S$1,0)),0)</f>
        <v>18503.191999999999</v>
      </c>
      <c r="J24" s="118">
        <f>_xlfn.IFNA(INDEX('2010'!$C$6:$S$55,MATCH(J$4,'2010'!$B$6:$B$55,0),MATCH($B24,'2010'!$C$1:$S$1,0)),0)</f>
        <v>201710.19500000001</v>
      </c>
      <c r="K24" s="118">
        <f>_xlfn.IFNA(INDEX('2010'!$C$6:$S$55,MATCH(K$4,'2010'!$B$6:$B$55,0),MATCH($B24,'2010'!$C$1:$S$1,0)),0)</f>
        <v>262458.24100000004</v>
      </c>
      <c r="L24" s="118">
        <f>_xlfn.IFNA(INDEX('2010'!$C$6:$S$55,MATCH(L$4,'2010'!$B$6:$B$55,0),MATCH($B24,'2010'!$C$1:$S$1,0)),0)</f>
        <v>75463.908999999985</v>
      </c>
      <c r="M24" s="118">
        <f>_xlfn.IFNA(INDEX('2010'!$C$6:$S$55,MATCH(M$4,'2010'!$B$6:$B$55,0),MATCH($B24,'2010'!$C$1:$S$1,0)),0)</f>
        <v>24704.761999999999</v>
      </c>
      <c r="N24" s="118">
        <f>_xlfn.IFNA(INDEX('2010'!$C$6:$S$55,MATCH(N$4,'2010'!$B$6:$B$55,0),MATCH($B24,'2010'!$C$1:$S$1,0)),0)</f>
        <v>36138.853999999999</v>
      </c>
      <c r="O24" s="118">
        <f>_xlfn.IFNA(INDEX('2010'!$C$6:$S$55,MATCH(O$4,'2010'!$B$6:$B$55,0),MATCH($B24,'2010'!$C$1:$S$1,0)),0)</f>
        <v>116123.679</v>
      </c>
      <c r="P24" s="118">
        <f>SUM(C24:O24)</f>
        <v>2372614.0550000002</v>
      </c>
    </row>
    <row r="25" spans="2:19" ht="12.75" customHeight="1">
      <c r="B25"/>
      <c r="C25"/>
      <c r="D25"/>
      <c r="E25"/>
      <c r="F25"/>
      <c r="G25"/>
      <c r="H25"/>
    </row>
    <row r="28" spans="2:19" ht="12.75" customHeight="1">
      <c r="B28" s="115">
        <v>2015</v>
      </c>
      <c r="C28" s="285"/>
      <c r="D28" s="286"/>
      <c r="E28" s="285"/>
      <c r="F28" s="286"/>
      <c r="G28" s="285"/>
      <c r="H28" s="285"/>
      <c r="I28" s="285"/>
      <c r="J28" s="285"/>
      <c r="K28" s="285"/>
      <c r="L28" s="285"/>
      <c r="M28" s="285"/>
      <c r="N28" s="285"/>
    </row>
    <row r="29" spans="2:19" ht="12.75" customHeight="1">
      <c r="B29" s="119"/>
      <c r="C29" s="120" t="s">
        <v>467</v>
      </c>
      <c r="D29" s="120" t="s">
        <v>468</v>
      </c>
      <c r="E29" s="120" t="s">
        <v>469</v>
      </c>
      <c r="F29" s="120" t="s">
        <v>470</v>
      </c>
      <c r="G29" s="120" t="s">
        <v>471</v>
      </c>
      <c r="H29" s="120" t="s">
        <v>342</v>
      </c>
      <c r="I29" s="120" t="s">
        <v>472</v>
      </c>
      <c r="J29" s="120" t="s">
        <v>473</v>
      </c>
      <c r="K29" s="120" t="s">
        <v>474</v>
      </c>
      <c r="L29" s="120" t="s">
        <v>475</v>
      </c>
      <c r="M29" s="120" t="s">
        <v>476</v>
      </c>
      <c r="N29" s="120" t="s">
        <v>253</v>
      </c>
      <c r="O29" s="120" t="s">
        <v>477</v>
      </c>
      <c r="P29" s="120" t="s">
        <v>150</v>
      </c>
    </row>
    <row r="30" spans="2:19" ht="12.75" customHeight="1">
      <c r="B30" s="129" t="s">
        <v>55</v>
      </c>
      <c r="C30" s="118">
        <f>_xlfn.IFNA(INDEX('2015'!$C$6:$R$55,MATCH(C$4,'2015'!$B$6:$B$55,0),MATCH($B30,'2015'!$C$1:$R$1,0)),0)</f>
        <v>38292.796000000002</v>
      </c>
      <c r="D30" s="118">
        <f>_xlfn.IFNA(INDEX('2015'!$C$6:$R$55,MATCH(D$4,'2015'!$B$6:$B$55,0),MATCH($B30,'2015'!$C$1:$R$1,0)),0)</f>
        <v>41000.930999999997</v>
      </c>
      <c r="E30" s="118">
        <f>_xlfn.IFNA(INDEX('2015'!$C$6:$R$55,MATCH(E$4,'2015'!$B$6:$B$55,0),MATCH($B30,'2015'!$C$1:$R$1,0)),0)</f>
        <v>1343.058</v>
      </c>
      <c r="F30" s="118">
        <f>_xlfn.IFNA(INDEX('2015'!$C$6:$R$55,MATCH(F$4,'2015'!$B$6:$B$55,0),MATCH($B30,'2015'!$C$1:$R$1,0)),0)</f>
        <v>57791.9</v>
      </c>
      <c r="G30" s="118">
        <f>_xlfn.IFNA(INDEX('2015'!$C$6:$R$55,MATCH(G$4,'2015'!$B$6:$B$55,0),MATCH($B30,'2015'!$C$1:$R$1,0)),0)</f>
        <v>126.816</v>
      </c>
      <c r="H30" s="118">
        <f>_xlfn.IFNA(INDEX('2015'!$C$6:$R$55,MATCH(H$4,'2015'!$B$6:$B$55,0),MATCH($B30,'2015'!$C$1:$R$1,0)),0)</f>
        <v>336.67700000000002</v>
      </c>
      <c r="I30" s="118">
        <f>_xlfn.IFNA(INDEX('2015'!$C$6:$R$55,MATCH(I$4,'2015'!$B$6:$B$55,0),MATCH($B30,'2015'!$C$1:$R$1,0)),0)</f>
        <v>2557.4859999999999</v>
      </c>
      <c r="J30" s="118">
        <f>_xlfn.IFNA(INDEX('2015'!$C$6:$R$55,MATCH(J$4,'2015'!$B$6:$B$55,0),MATCH($B30,'2015'!$C$1:$R$1,0)),0)</f>
        <v>8783.3140000000003</v>
      </c>
      <c r="K30" s="118">
        <f>_xlfn.IFNA(INDEX('2015'!$C$6:$R$55,MATCH(K$4,'2015'!$B$6:$B$55,0),MATCH($B30,'2015'!$C$1:$R$1,0)),0)</f>
        <v>15391.97</v>
      </c>
      <c r="L30" s="118">
        <f>_xlfn.IFNA(INDEX('2015'!$C$6:$R$55,MATCH(L$4,'2015'!$B$6:$B$55,0),MATCH($B30,'2015'!$C$1:$R$1,0)),0)</f>
        <v>0</v>
      </c>
      <c r="M30" s="118">
        <f>_xlfn.IFNA(INDEX('2015'!$C$6:$R$55,MATCH(M$4,'2015'!$B$6:$B$55,0),MATCH($B30,'2015'!$C$1:$R$1,0)),0)</f>
        <v>253.63200000000001</v>
      </c>
      <c r="N30" s="118">
        <f>_xlfn.IFNA(INDEX('2015'!$C$6:$R$55,MATCH(N$4,'2015'!$B$6:$B$55,0),MATCH($B30,'2015'!$C$1:$R$1,0)),0)</f>
        <v>0</v>
      </c>
      <c r="O30" s="118">
        <f>_xlfn.IFNA(INDEX('2015'!$C$6:$R$55,MATCH(O$4,'2015'!$B$6:$B$55,0),MATCH($B30,'2015'!$C$1:$R$1,0)),0)</f>
        <v>107.63500000000001</v>
      </c>
      <c r="P30" s="118">
        <f>SUM(C30:O30)</f>
        <v>165986.21500000003</v>
      </c>
    </row>
    <row r="31" spans="2:19" ht="12.75" customHeight="1">
      <c r="B31" s="129" t="s">
        <v>54</v>
      </c>
      <c r="C31" s="118">
        <f>_xlfn.IFNA(INDEX('2015'!$C$6:$R$55,MATCH(C$4,'2015'!$B$6:$B$55,0),MATCH($B31,'2015'!$C$1:$R$1,0)),0)</f>
        <v>0</v>
      </c>
      <c r="D31" s="118">
        <f>_xlfn.IFNA(INDEX('2015'!$C$6:$R$55,MATCH(D$4,'2015'!$B$6:$B$55,0),MATCH($B31,'2015'!$C$1:$R$1,0)),0)</f>
        <v>53525.79</v>
      </c>
      <c r="E31" s="118">
        <f>_xlfn.IFNA(INDEX('2015'!$C$6:$R$55,MATCH(E$4,'2015'!$B$6:$B$55,0),MATCH($B31,'2015'!$C$1:$R$1,0)),0)</f>
        <v>1222.05</v>
      </c>
      <c r="F31" s="118">
        <f>_xlfn.IFNA(INDEX('2015'!$C$6:$R$55,MATCH(F$4,'2015'!$B$6:$B$55,0),MATCH($B31,'2015'!$C$1:$R$1,0)),0)</f>
        <v>3462.4749999999999</v>
      </c>
      <c r="G31" s="118">
        <f>_xlfn.IFNA(INDEX('2015'!$C$6:$R$55,MATCH(G$4,'2015'!$B$6:$B$55,0),MATCH($B31,'2015'!$C$1:$R$1,0)),0)</f>
        <v>0</v>
      </c>
      <c r="H31" s="118">
        <f>_xlfn.IFNA(INDEX('2015'!$C$6:$R$55,MATCH(H$4,'2015'!$B$6:$B$55,0),MATCH($B31,'2015'!$C$1:$R$1,0)),0)</f>
        <v>40.734999999999999</v>
      </c>
      <c r="I31" s="118">
        <f>_xlfn.IFNA(INDEX('2015'!$C$6:$R$55,MATCH(I$4,'2015'!$B$6:$B$55,0),MATCH($B31,'2015'!$C$1:$R$1,0)),0)</f>
        <v>40.734999999999999</v>
      </c>
      <c r="J31" s="118">
        <f>_xlfn.IFNA(INDEX('2015'!$C$6:$R$55,MATCH(J$4,'2015'!$B$6:$B$55,0),MATCH($B31,'2015'!$C$1:$R$1,0)),0)</f>
        <v>1059.1099999999999</v>
      </c>
      <c r="K31" s="118">
        <f>_xlfn.IFNA(INDEX('2015'!$C$6:$R$55,MATCH(K$4,'2015'!$B$6:$B$55,0),MATCH($B31,'2015'!$C$1:$R$1,0)),0)</f>
        <v>366.61500000000001</v>
      </c>
      <c r="L31" s="118">
        <f>_xlfn.IFNA(INDEX('2015'!$C$6:$R$55,MATCH(L$4,'2015'!$B$6:$B$55,0),MATCH($B31,'2015'!$C$1:$R$1,0)),0)</f>
        <v>40.734999999999999</v>
      </c>
      <c r="M31" s="118">
        <f>_xlfn.IFNA(INDEX('2015'!$C$6:$R$55,MATCH(M$4,'2015'!$B$6:$B$55,0),MATCH($B31,'2015'!$C$1:$R$1,0)),0)</f>
        <v>81.47</v>
      </c>
      <c r="N31" s="118">
        <f>_xlfn.IFNA(INDEX('2015'!$C$6:$R$55,MATCH(N$4,'2015'!$B$6:$B$55,0),MATCH($B31,'2015'!$C$1:$R$1,0)),0)</f>
        <v>0</v>
      </c>
      <c r="O31" s="118">
        <f>_xlfn.IFNA(INDEX('2015'!$C$6:$R$55,MATCH(O$4,'2015'!$B$6:$B$55,0),MATCH($B31,'2015'!$C$1:$R$1,0)),0)</f>
        <v>81.47</v>
      </c>
      <c r="P31" s="118">
        <f t="shared" ref="P31:P42" si="5">SUM(C31:O31)</f>
        <v>59921.185000000005</v>
      </c>
    </row>
    <row r="32" spans="2:19" ht="12.75" customHeight="1">
      <c r="B32" s="129" t="s">
        <v>68</v>
      </c>
      <c r="C32" s="118">
        <f>_xlfn.IFNA(INDEX('2015'!$C$6:$R$55,MATCH(C$4,'2015'!$B$6:$B$55,0),MATCH($B32,'2015'!$C$1:$R$1,0)),0)</f>
        <v>3382.306</v>
      </c>
      <c r="D32" s="118">
        <f>_xlfn.IFNA(INDEX('2015'!$C$6:$R$55,MATCH(D$4,'2015'!$B$6:$B$55,0),MATCH($B32,'2015'!$C$1:$R$1,0)),0)</f>
        <v>813.46600000000001</v>
      </c>
      <c r="E32" s="118">
        <f>_xlfn.IFNA(INDEX('2015'!$C$6:$R$55,MATCH(E$4,'2015'!$B$6:$B$55,0),MATCH($B32,'2015'!$C$1:$R$1,0)),0)</f>
        <v>642.21</v>
      </c>
      <c r="F32" s="118">
        <f>_xlfn.IFNA(INDEX('2015'!$C$6:$R$55,MATCH(F$4,'2015'!$B$6:$B$55,0),MATCH($B32,'2015'!$C$1:$R$1,0)),0)</f>
        <v>3339.4920000000002</v>
      </c>
      <c r="G32" s="118">
        <f>_xlfn.IFNA(INDEX('2015'!$C$6:$R$55,MATCH(G$4,'2015'!$B$6:$B$55,0),MATCH($B32,'2015'!$C$1:$R$1,0)),0)</f>
        <v>1626.932</v>
      </c>
      <c r="H32" s="118">
        <f>_xlfn.IFNA(INDEX('2015'!$C$6:$R$55,MATCH(H$4,'2015'!$B$6:$B$55,0),MATCH($B32,'2015'!$C$1:$R$1,0)),0)</f>
        <v>8263.1020000000008</v>
      </c>
      <c r="I32" s="118">
        <f>_xlfn.IFNA(INDEX('2015'!$C$6:$R$55,MATCH(I$4,'2015'!$B$6:$B$55,0),MATCH($B32,'2015'!$C$1:$R$1,0)),0)</f>
        <v>642.21</v>
      </c>
      <c r="J32" s="118">
        <f>_xlfn.IFNA(INDEX('2015'!$C$6:$R$55,MATCH(J$4,'2015'!$B$6:$B$55,0),MATCH($B32,'2015'!$C$1:$R$1,0)),0)</f>
        <v>6464.9139999999998</v>
      </c>
      <c r="K32" s="118">
        <f>_xlfn.IFNA(INDEX('2015'!$C$6:$R$55,MATCH(K$4,'2015'!$B$6:$B$55,0),MATCH($B32,'2015'!$C$1:$R$1,0)),0)</f>
        <v>1070.3499999999999</v>
      </c>
      <c r="L32" s="118">
        <f>_xlfn.IFNA(INDEX('2015'!$C$6:$R$55,MATCH(L$4,'2015'!$B$6:$B$55,0),MATCH($B32,'2015'!$C$1:$R$1,0)),0)</f>
        <v>470.95400000000001</v>
      </c>
      <c r="M32" s="118">
        <f>_xlfn.IFNA(INDEX('2015'!$C$6:$R$55,MATCH(M$4,'2015'!$B$6:$B$55,0),MATCH($B32,'2015'!$C$1:$R$1,0)),0)</f>
        <v>813.46600000000001</v>
      </c>
      <c r="N32" s="118">
        <f>_xlfn.IFNA(INDEX('2015'!$C$6:$R$55,MATCH(N$4,'2015'!$B$6:$B$55,0),MATCH($B32,'2015'!$C$1:$R$1,0)),0)</f>
        <v>0</v>
      </c>
      <c r="O32" s="118">
        <f>_xlfn.IFNA(INDEX('2015'!$C$6:$R$55,MATCH(O$4,'2015'!$B$6:$B$55,0),MATCH($B32,'2015'!$C$1:$R$1,0)),0)</f>
        <v>3896.0740000000001</v>
      </c>
      <c r="P32" s="118">
        <f t="shared" si="5"/>
        <v>31425.476000000002</v>
      </c>
    </row>
    <row r="33" spans="2:19" ht="12.75" customHeight="1">
      <c r="B33" s="129" t="s">
        <v>79</v>
      </c>
      <c r="C33" s="118">
        <f>_xlfn.IFNA(INDEX('2015'!$C$6:$R$55,MATCH(C$4,'2015'!$B$6:$B$55,0),MATCH($B33,'2015'!$C$1:$R$1,0)),0)</f>
        <v>0</v>
      </c>
      <c r="D33" s="118">
        <f>_xlfn.IFNA(INDEX('2015'!$C$6:$R$55,MATCH(D$4,'2015'!$B$6:$B$55,0),MATCH($B33,'2015'!$C$1:$R$1,0)),0)</f>
        <v>0</v>
      </c>
      <c r="E33" s="118">
        <f>_xlfn.IFNA(INDEX('2015'!$C$6:$R$55,MATCH(E$4,'2015'!$B$6:$B$55,0),MATCH($B33,'2015'!$C$1:$R$1,0)),0)</f>
        <v>0</v>
      </c>
      <c r="F33" s="118">
        <f>_xlfn.IFNA(INDEX('2015'!$C$6:$R$55,MATCH(F$4,'2015'!$B$6:$B$55,0),MATCH($B33,'2015'!$C$1:$R$1,0)),0)</f>
        <v>0</v>
      </c>
      <c r="G33" s="118">
        <f>_xlfn.IFNA(INDEX('2015'!$C$6:$R$55,MATCH(G$4,'2015'!$B$6:$B$55,0),MATCH($B33,'2015'!$C$1:$R$1,0)),0)</f>
        <v>0</v>
      </c>
      <c r="H33" s="118">
        <f>_xlfn.IFNA(INDEX('2015'!$C$6:$R$55,MATCH(H$4,'2015'!$B$6:$B$55,0),MATCH($B33,'2015'!$C$1:$R$1,0)),0)</f>
        <v>0</v>
      </c>
      <c r="I33" s="118">
        <f>_xlfn.IFNA(INDEX('2015'!$C$6:$R$55,MATCH(I$4,'2015'!$B$6:$B$55,0),MATCH($B33,'2015'!$C$1:$R$1,0)),0)</f>
        <v>0</v>
      </c>
      <c r="J33" s="118">
        <f>_xlfn.IFNA(INDEX('2015'!$C$6:$R$55,MATCH(J$4,'2015'!$B$6:$B$55,0),MATCH($B33,'2015'!$C$1:$R$1,0)),0)</f>
        <v>0</v>
      </c>
      <c r="K33" s="118">
        <f>_xlfn.IFNA(INDEX('2015'!$C$6:$R$55,MATCH(K$4,'2015'!$B$6:$B$55,0),MATCH($B33,'2015'!$C$1:$R$1,0)),0)</f>
        <v>0</v>
      </c>
      <c r="L33" s="118">
        <f>_xlfn.IFNA(INDEX('2015'!$C$6:$R$55,MATCH(L$4,'2015'!$B$6:$B$55,0),MATCH($B33,'2015'!$C$1:$R$1,0)),0)</f>
        <v>0</v>
      </c>
      <c r="M33" s="118">
        <f>_xlfn.IFNA(INDEX('2015'!$C$6:$R$55,MATCH(M$4,'2015'!$B$6:$B$55,0),MATCH($B33,'2015'!$C$1:$R$1,0)),0)</f>
        <v>0</v>
      </c>
      <c r="N33" s="118">
        <f>_xlfn.IFNA(INDEX('2015'!$C$6:$R$55,MATCH(N$4,'2015'!$B$6:$B$55,0),MATCH($B33,'2015'!$C$1:$R$1,0)),0)</f>
        <v>0</v>
      </c>
      <c r="O33" s="118">
        <f>_xlfn.IFNA(INDEX('2015'!$C$6:$R$55,MATCH(O$4,'2015'!$B$6:$B$55,0),MATCH($B33,'2015'!$C$1:$R$1,0)),0)</f>
        <v>0</v>
      </c>
      <c r="P33" s="118">
        <f t="shared" si="5"/>
        <v>0</v>
      </c>
    </row>
    <row r="34" spans="2:19" ht="21" customHeight="1" thickBot="1">
      <c r="B34" s="623" t="s">
        <v>586</v>
      </c>
      <c r="C34" s="118">
        <f>_xlfn.IFNA(INDEX('2015'!$C$6:$R$55,MATCH(C$4,'2015'!$B$6:$B$55,0),MATCH($B34,'2015'!$C$1:$R$1,0)),0)</f>
        <v>0</v>
      </c>
      <c r="D34" s="118">
        <f>_xlfn.IFNA(INDEX('2015'!$C$6:$R$55,MATCH(D$4,'2015'!$B$6:$B$55,0),MATCH($B34,'2015'!$C$1:$R$1,0)),0)</f>
        <v>0</v>
      </c>
      <c r="E34" s="118">
        <f>_xlfn.IFNA(INDEX('2015'!$C$6:$R$55,MATCH(E$4,'2015'!$B$6:$B$55,0),MATCH($B34,'2015'!$C$1:$R$1,0)),0)</f>
        <v>0</v>
      </c>
      <c r="F34" s="118">
        <f>_xlfn.IFNA(INDEX('2015'!$C$6:$R$55,MATCH(F$4,'2015'!$B$6:$B$55,0),MATCH($B34,'2015'!$C$1:$R$1,0)),0)</f>
        <v>0</v>
      </c>
      <c r="G34" s="118">
        <f>_xlfn.IFNA(INDEX('2015'!$C$6:$R$55,MATCH(G$4,'2015'!$B$6:$B$55,0),MATCH($B34,'2015'!$C$1:$R$1,0)),0)</f>
        <v>0</v>
      </c>
      <c r="H34" s="118">
        <f>_xlfn.IFNA(INDEX('2015'!$C$6:$R$55,MATCH(H$4,'2015'!$B$6:$B$55,0),MATCH($B34,'2015'!$C$1:$R$1,0)),0)</f>
        <v>0</v>
      </c>
      <c r="I34" s="118">
        <f>_xlfn.IFNA(INDEX('2015'!$C$6:$R$55,MATCH(I$4,'2015'!$B$6:$B$55,0),MATCH($B34,'2015'!$C$1:$R$1,0)),0)</f>
        <v>0</v>
      </c>
      <c r="J34" s="118">
        <f>_xlfn.IFNA(INDEX('2015'!$C$6:$R$55,MATCH(J$4,'2015'!$B$6:$B$55,0),MATCH($B34,'2015'!$C$1:$R$1,0)),0)</f>
        <v>0</v>
      </c>
      <c r="K34" s="118">
        <f>_xlfn.IFNA(INDEX('2015'!$C$6:$R$55,MATCH(K$4,'2015'!$B$6:$B$55,0),MATCH($B34,'2015'!$C$1:$R$1,0)),0)</f>
        <v>0</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row>
    <row r="35" spans="2:19" ht="12.75" customHeight="1">
      <c r="B35" s="129" t="s">
        <v>53</v>
      </c>
      <c r="C35" s="118">
        <f>_xlfn.IFNA(INDEX('2015'!$C$6:$R$55,MATCH(C$4,'2015'!$B$6:$B$55,0),MATCH($B35,'2015'!$C$1:$R$1,0)),0)</f>
        <v>45.366</v>
      </c>
      <c r="D35" s="118">
        <f>_xlfn.IFNA(INDEX('2015'!$C$6:$R$55,MATCH(D$4,'2015'!$B$6:$B$55,0),MATCH($B35,'2015'!$C$1:$R$1,0)),0)</f>
        <v>0</v>
      </c>
      <c r="E35" s="118">
        <f>_xlfn.IFNA(INDEX('2015'!$C$6:$R$55,MATCH(E$4,'2015'!$B$6:$B$55,0),MATCH($B35,'2015'!$C$1:$R$1,0)),0)</f>
        <v>90.731999999999999</v>
      </c>
      <c r="F35" s="118">
        <f>_xlfn.IFNA(INDEX('2015'!$C$6:$R$55,MATCH(F$4,'2015'!$B$6:$B$55,0),MATCH($B35,'2015'!$C$1:$R$1,0)),0)</f>
        <v>453.66</v>
      </c>
      <c r="G35" s="118">
        <f>_xlfn.IFNA(INDEX('2015'!$C$6:$R$55,MATCH(G$4,'2015'!$B$6:$B$55,0),MATCH($B35,'2015'!$C$1:$R$1,0)),0)</f>
        <v>136.09800000000001</v>
      </c>
      <c r="H35" s="118">
        <f>_xlfn.IFNA(INDEX('2015'!$C$6:$R$55,MATCH(H$4,'2015'!$B$6:$B$55,0),MATCH($B35,'2015'!$C$1:$R$1,0)),0)</f>
        <v>1497.078</v>
      </c>
      <c r="I35" s="118">
        <f>_xlfn.IFNA(INDEX('2015'!$C$6:$R$55,MATCH(I$4,'2015'!$B$6:$B$55,0),MATCH($B35,'2015'!$C$1:$R$1,0)),0)</f>
        <v>317.56200000000001</v>
      </c>
      <c r="J35" s="118">
        <f>_xlfn.IFNA(INDEX('2015'!$C$6:$R$55,MATCH(J$4,'2015'!$B$6:$B$55,0),MATCH($B35,'2015'!$C$1:$R$1,0)),0)</f>
        <v>226.83</v>
      </c>
      <c r="K35" s="118">
        <f>_xlfn.IFNA(INDEX('2015'!$C$6:$R$55,MATCH(K$4,'2015'!$B$6:$B$55,0),MATCH($B35,'2015'!$C$1:$R$1,0)),0)</f>
        <v>680.49</v>
      </c>
      <c r="L35" s="118">
        <f>_xlfn.IFNA(INDEX('2015'!$C$6:$R$55,MATCH(L$4,'2015'!$B$6:$B$55,0),MATCH($B35,'2015'!$C$1:$R$1,0)),0)</f>
        <v>45.366</v>
      </c>
      <c r="M35" s="118">
        <f>_xlfn.IFNA(INDEX('2015'!$C$6:$R$55,MATCH(M$4,'2015'!$B$6:$B$55,0),MATCH($B35,'2015'!$C$1:$R$1,0)),0)</f>
        <v>45.366</v>
      </c>
      <c r="N35" s="118">
        <f>_xlfn.IFNA(INDEX('2015'!$C$6:$R$55,MATCH(N$4,'2015'!$B$6:$B$55,0),MATCH($B35,'2015'!$C$1:$R$1,0)),0)</f>
        <v>0</v>
      </c>
      <c r="O35" s="118">
        <f>_xlfn.IFNA(INDEX('2015'!$C$6:$R$55,MATCH(O$4,'2015'!$B$6:$B$55,0),MATCH($B35,'2015'!$C$1:$R$1,0)),0)</f>
        <v>272.19600000000003</v>
      </c>
      <c r="P35" s="118">
        <f t="shared" si="5"/>
        <v>3810.7439999999997</v>
      </c>
    </row>
    <row r="36" spans="2:19" ht="12.75" customHeight="1">
      <c r="B36" s="129" t="s">
        <v>580</v>
      </c>
      <c r="C36" s="118">
        <f>_xlfn.IFNA(INDEX('2015'!$C$6:$R$55,MATCH(C$4,'2015'!$B$6:$B$55,0),MATCH($B36,'2015'!$C$1:$R$1,0)),0)</f>
        <v>98255.7</v>
      </c>
      <c r="D36" s="118">
        <f>_xlfn.IFNA(INDEX('2015'!$C$6:$R$55,MATCH(D$4,'2015'!$B$6:$B$55,0),MATCH($B36,'2015'!$C$1:$R$1,0)),0)</f>
        <v>2525.4</v>
      </c>
      <c r="E36" s="118">
        <f>_xlfn.IFNA(INDEX('2015'!$C$6:$R$55,MATCH(E$4,'2015'!$B$6:$B$55,0),MATCH($B36,'2015'!$C$1:$R$1,0)),0)</f>
        <v>0</v>
      </c>
      <c r="F36" s="118">
        <f>_xlfn.IFNA(INDEX('2015'!$C$6:$R$55,MATCH(F$4,'2015'!$B$6:$B$55,0),MATCH($B36,'2015'!$C$1:$R$1,0)),0)</f>
        <v>0</v>
      </c>
      <c r="G36" s="118">
        <f>_xlfn.IFNA(INDEX('2015'!$C$6:$R$55,MATCH(G$4,'2015'!$B$6:$B$55,0),MATCH($B36,'2015'!$C$1:$R$1,0)),0)</f>
        <v>1664.1</v>
      </c>
      <c r="H36" s="118">
        <f>_xlfn.IFNA(INDEX('2015'!$C$6:$R$55,MATCH(H$4,'2015'!$B$6:$B$55,0),MATCH($B36,'2015'!$C$1:$R$1,0)),0)</f>
        <v>613.79999999999995</v>
      </c>
      <c r="I36" s="118">
        <f>_xlfn.IFNA(INDEX('2015'!$C$6:$R$55,MATCH(I$4,'2015'!$B$6:$B$55,0),MATCH($B36,'2015'!$C$1:$R$1,0)),0)</f>
        <v>0</v>
      </c>
      <c r="J36" s="118">
        <f>_xlfn.IFNA(INDEX('2015'!$C$6:$R$55,MATCH(J$4,'2015'!$B$6:$B$55,0),MATCH($B36,'2015'!$C$1:$R$1,0)),0)</f>
        <v>0</v>
      </c>
      <c r="K36" s="118">
        <f>_xlfn.IFNA(INDEX('2015'!$C$6:$R$55,MATCH(K$4,'2015'!$B$6:$B$55,0),MATCH($B36,'2015'!$C$1:$R$1,0)),0)</f>
        <v>0</v>
      </c>
      <c r="L36" s="118">
        <f>_xlfn.IFNA(INDEX('2015'!$C$6:$R$55,MATCH(L$4,'2015'!$B$6:$B$55,0),MATCH($B36,'2015'!$C$1:$R$1,0)),0)</f>
        <v>0</v>
      </c>
      <c r="M36" s="118">
        <f>_xlfn.IFNA(INDEX('2015'!$C$6:$R$55,MATCH(M$4,'2015'!$B$6:$B$55,0),MATCH($B36,'2015'!$C$1:$R$1,0)),0)</f>
        <v>0</v>
      </c>
      <c r="N36" s="118">
        <f>_xlfn.IFNA(INDEX('2015'!$C$6:$R$55,MATCH(N$4,'2015'!$B$6:$B$55,0),MATCH($B36,'2015'!$C$1:$R$1,0)),0)</f>
        <v>0</v>
      </c>
      <c r="O36" s="118">
        <f>_xlfn.IFNA(INDEX('2015'!$C$6:$R$55,MATCH(O$4,'2015'!$B$6:$B$55,0),MATCH($B36,'2015'!$C$1:$R$1,0)),0)</f>
        <v>21.6</v>
      </c>
      <c r="P36" s="118">
        <f t="shared" si="5"/>
        <v>103080.6</v>
      </c>
    </row>
    <row r="37" spans="2:19" ht="12.75" customHeight="1">
      <c r="B37" s="129" t="s">
        <v>51</v>
      </c>
      <c r="C37" s="118">
        <f>_xlfn.IFNA(INDEX('2015'!$C$6:$R$55,MATCH(C$4,'2015'!$B$6:$B$55,0),MATCH($B37,'2015'!$C$1:$R$1,0)),0)</f>
        <v>88242.3</v>
      </c>
      <c r="D37" s="118">
        <f>_xlfn.IFNA(INDEX('2015'!$C$6:$R$55,MATCH(D$4,'2015'!$B$6:$B$55,0),MATCH($B37,'2015'!$C$1:$R$1,0)),0)</f>
        <v>218454.02100000001</v>
      </c>
      <c r="E37" s="118">
        <f>_xlfn.IFNA(INDEX('2015'!$C$6:$R$55,MATCH(E$4,'2015'!$B$6:$B$55,0),MATCH($B37,'2015'!$C$1:$R$1,0)),0)</f>
        <v>33843.599999999999</v>
      </c>
      <c r="F37" s="118">
        <f>_xlfn.IFNA(INDEX('2015'!$C$6:$R$55,MATCH(F$4,'2015'!$B$6:$B$55,0),MATCH($B37,'2015'!$C$1:$R$1,0)),0)</f>
        <v>104013</v>
      </c>
      <c r="G37" s="118">
        <f>_xlfn.IFNA(INDEX('2015'!$C$6:$R$55,MATCH(G$4,'2015'!$B$6:$B$55,0),MATCH($B37,'2015'!$C$1:$R$1,0)),0)</f>
        <v>36487.800000000003</v>
      </c>
      <c r="H37" s="118">
        <f>_xlfn.IFNA(INDEX('2015'!$C$6:$R$55,MATCH(H$4,'2015'!$B$6:$B$55,0),MATCH($B37,'2015'!$C$1:$R$1,0)),0)</f>
        <v>71144.100000000006</v>
      </c>
      <c r="I37" s="118">
        <f>_xlfn.IFNA(INDEX('2015'!$C$6:$R$55,MATCH(I$4,'2015'!$B$6:$B$55,0),MATCH($B37,'2015'!$C$1:$R$1,0)),0)</f>
        <v>4308.3</v>
      </c>
      <c r="J37" s="118">
        <f>_xlfn.IFNA(INDEX('2015'!$C$6:$R$55,MATCH(J$4,'2015'!$B$6:$B$55,0),MATCH($B37,'2015'!$C$1:$R$1,0)),0)</f>
        <v>110628.9</v>
      </c>
      <c r="K37" s="118">
        <f>_xlfn.IFNA(INDEX('2015'!$C$6:$R$55,MATCH(K$4,'2015'!$B$6:$B$55,0),MATCH($B37,'2015'!$C$1:$R$1,0)),0)</f>
        <v>86829.3</v>
      </c>
      <c r="L37" s="118">
        <f>_xlfn.IFNA(INDEX('2015'!$C$6:$R$55,MATCH(L$4,'2015'!$B$6:$B$55,0),MATCH($B37,'2015'!$C$1:$R$1,0)),0)</f>
        <v>5130</v>
      </c>
      <c r="M37" s="118">
        <f>_xlfn.IFNA(INDEX('2015'!$C$6:$R$55,MATCH(M$4,'2015'!$B$6:$B$55,0),MATCH($B37,'2015'!$C$1:$R$1,0)),0)</f>
        <v>9849.6</v>
      </c>
      <c r="N37" s="118">
        <f>_xlfn.IFNA(INDEX('2015'!$C$6:$R$55,MATCH(N$4,'2015'!$B$6:$B$55,0),MATCH($B37,'2015'!$C$1:$R$1,0)),0)</f>
        <v>20875.5</v>
      </c>
      <c r="O37" s="118">
        <f>_xlfn.IFNA(INDEX('2015'!$C$6:$R$55,MATCH(O$4,'2015'!$B$6:$B$55,0),MATCH($B37,'2015'!$C$1:$R$1,0)),0)</f>
        <v>31370.048999999999</v>
      </c>
      <c r="P37" s="118">
        <f t="shared" si="5"/>
        <v>821176.47000000009</v>
      </c>
    </row>
    <row r="38" spans="2:19" ht="12.75" customHeight="1">
      <c r="B38" s="129" t="s">
        <v>77</v>
      </c>
      <c r="C38" s="118">
        <f>_xlfn.IFNA(INDEX('2015'!$C$6:$R$55,MATCH(C$4,'2015'!$B$6:$B$55,0),MATCH($B38,'2015'!$C$1:$R$1,0)),0)</f>
        <v>1</v>
      </c>
      <c r="D38" s="118">
        <f>_xlfn.IFNA(INDEX('2015'!$C$6:$R$55,MATCH(D$4,'2015'!$B$6:$B$55,0),MATCH($B38,'2015'!$C$1:$R$1,0)),0)</f>
        <v>381</v>
      </c>
      <c r="E38" s="118">
        <f>_xlfn.IFNA(INDEX('2015'!$C$6:$R$55,MATCH(E$4,'2015'!$B$6:$B$55,0),MATCH($B38,'2015'!$C$1:$R$1,0)),0)</f>
        <v>13</v>
      </c>
      <c r="F38" s="118">
        <f>_xlfn.IFNA(INDEX('2015'!$C$6:$R$55,MATCH(F$4,'2015'!$B$6:$B$55,0),MATCH($B38,'2015'!$C$1:$R$1,0)),0)</f>
        <v>22</v>
      </c>
      <c r="G38" s="118">
        <f>_xlfn.IFNA(INDEX('2015'!$C$6:$R$55,MATCH(G$4,'2015'!$B$6:$B$55,0),MATCH($B38,'2015'!$C$1:$R$1,0)),0)</f>
        <v>0</v>
      </c>
      <c r="H38" s="118">
        <f>_xlfn.IFNA(INDEX('2015'!$C$6:$R$55,MATCH(H$4,'2015'!$B$6:$B$55,0),MATCH($B38,'2015'!$C$1:$R$1,0)),0)</f>
        <v>371</v>
      </c>
      <c r="I38" s="118">
        <f>_xlfn.IFNA(INDEX('2015'!$C$6:$R$55,MATCH(I$4,'2015'!$B$6:$B$55,0),MATCH($B38,'2015'!$C$1:$R$1,0)),0)</f>
        <v>50</v>
      </c>
      <c r="J38" s="118">
        <f>_xlfn.IFNA(INDEX('2015'!$C$6:$R$55,MATCH(J$4,'2015'!$B$6:$B$55,0),MATCH($B38,'2015'!$C$1:$R$1,0)),0)</f>
        <v>695</v>
      </c>
      <c r="K38" s="118">
        <f>_xlfn.IFNA(INDEX('2015'!$C$6:$R$55,MATCH(K$4,'2015'!$B$6:$B$55,0),MATCH($B38,'2015'!$C$1:$R$1,0)),0)</f>
        <v>924</v>
      </c>
      <c r="L38" s="118">
        <f>_xlfn.IFNA(INDEX('2015'!$C$6:$R$55,MATCH(L$4,'2015'!$B$6:$B$55,0),MATCH($B38,'2015'!$C$1:$R$1,0)),0)</f>
        <v>11</v>
      </c>
      <c r="M38" s="118">
        <f>_xlfn.IFNA(INDEX('2015'!$C$6:$R$55,MATCH(M$4,'2015'!$B$6:$B$55,0),MATCH($B38,'2015'!$C$1:$R$1,0)),0)</f>
        <v>0</v>
      </c>
      <c r="N38" s="118">
        <f>_xlfn.IFNA(INDEX('2015'!$C$6:$R$55,MATCH(N$4,'2015'!$B$6:$B$55,0),MATCH($B38,'2015'!$C$1:$R$1,0)),0)</f>
        <v>0</v>
      </c>
      <c r="O38" s="118">
        <f>_xlfn.IFNA(INDEX('2015'!$C$6:$R$55,MATCH(O$4,'2015'!$B$6:$B$55,0),MATCH($B38,'2015'!$C$1:$R$1,0)),0)</f>
        <v>58</v>
      </c>
      <c r="P38" s="118">
        <f t="shared" si="5"/>
        <v>2526</v>
      </c>
    </row>
    <row r="39" spans="2:19" ht="12.75" customHeight="1">
      <c r="B39" s="625" t="s">
        <v>581</v>
      </c>
      <c r="C39" s="118">
        <f>_xlfn.IFNA(INDEX('2015'!$C$6:$R$55,MATCH(C$4,'2015'!$B$6:$B$55,0),MATCH($B39,'2015'!$C$1:$R$1,0)),0)</f>
        <v>0</v>
      </c>
      <c r="D39" s="118">
        <f>_xlfn.IFNA(INDEX('2015'!$C$6:$R$55,MATCH(D$4,'2015'!$B$6:$B$55,0),MATCH($B39,'2015'!$C$1:$R$1,0)),0)</f>
        <v>0</v>
      </c>
      <c r="E39" s="118">
        <f>_xlfn.IFNA(INDEX('2015'!$C$6:$R$55,MATCH(E$4,'2015'!$B$6:$B$55,0),MATCH($B39,'2015'!$C$1:$R$1,0)),0)</f>
        <v>0</v>
      </c>
      <c r="F39" s="118">
        <f>_xlfn.IFNA(INDEX('2015'!$C$6:$R$55,MATCH(F$4,'2015'!$B$6:$B$55,0),MATCH($B39,'2015'!$C$1:$R$1,0)),0)</f>
        <v>0</v>
      </c>
      <c r="G39" s="118">
        <f>_xlfn.IFNA(INDEX('2015'!$C$6:$R$55,MATCH(G$4,'2015'!$B$6:$B$55,0),MATCH($B39,'2015'!$C$1:$R$1,0)),0)</f>
        <v>0</v>
      </c>
      <c r="H39" s="118">
        <f>_xlfn.IFNA(INDEX('2015'!$C$6:$R$55,MATCH(H$4,'2015'!$B$6:$B$55,0),MATCH($B39,'2015'!$C$1:$R$1,0)),0)</f>
        <v>0</v>
      </c>
      <c r="I39" s="118">
        <f>_xlfn.IFNA(INDEX('2015'!$C$6:$R$55,MATCH(I$4,'2015'!$B$6:$B$55,0),MATCH($B39,'2015'!$C$1:$R$1,0)),0)</f>
        <v>0</v>
      </c>
      <c r="J39" s="118">
        <f>_xlfn.IFNA(INDEX('2015'!$C$6:$R$55,MATCH(J$4,'2015'!$B$6:$B$55,0),MATCH($B39,'2015'!$C$1:$R$1,0)),0)</f>
        <v>0</v>
      </c>
      <c r="K39" s="118">
        <f>_xlfn.IFNA(INDEX('2015'!$C$6:$R$55,MATCH(K$4,'2015'!$B$6:$B$55,0),MATCH($B39,'2015'!$C$1:$R$1,0)),0)</f>
        <v>0</v>
      </c>
      <c r="L39" s="118">
        <f>_xlfn.IFNA(INDEX('2015'!$C$6:$R$55,MATCH(L$4,'2015'!$B$6:$B$55,0),MATCH($B39,'2015'!$C$1:$R$1,0)),0)</f>
        <v>0</v>
      </c>
      <c r="M39" s="118">
        <f>_xlfn.IFNA(INDEX('2015'!$C$6:$R$55,MATCH(M$4,'2015'!$B$6:$B$55,0),MATCH($B39,'2015'!$C$1:$R$1,0)),0)</f>
        <v>0</v>
      </c>
      <c r="N39" s="118">
        <f>_xlfn.IFNA(INDEX('2015'!$C$6:$R$55,MATCH(N$4,'2015'!$B$6:$B$55,0),MATCH($B39,'2015'!$C$1:$R$1,0)),0)</f>
        <v>0</v>
      </c>
      <c r="O39" s="118">
        <f>_xlfn.IFNA(INDEX('2015'!$C$6:$R$55,MATCH(O$4,'2015'!$B$6:$B$55,0),MATCH($B39,'2015'!$C$1:$R$1,0)),0)</f>
        <v>0</v>
      </c>
      <c r="P39" s="118">
        <f t="shared" si="5"/>
        <v>0</v>
      </c>
    </row>
    <row r="40" spans="2:19" ht="12.75" customHeight="1">
      <c r="B40" s="625" t="s">
        <v>582</v>
      </c>
      <c r="C40" s="118">
        <f>_xlfn.IFNA(INDEX('2015'!$C$6:$R$55,MATCH(C$4,'2015'!$B$6:$B$55,0),MATCH($B40,'2015'!$C$1:$R$1,0)),0)</f>
        <v>0</v>
      </c>
      <c r="D40" s="118">
        <f>_xlfn.IFNA(INDEX('2015'!$C$6:$R$55,MATCH(D$4,'2015'!$B$6:$B$55,0),MATCH($B40,'2015'!$C$1:$R$1,0)),0)</f>
        <v>356.03399999999999</v>
      </c>
      <c r="E40" s="118">
        <f>_xlfn.IFNA(INDEX('2015'!$C$6:$R$55,MATCH(E$4,'2015'!$B$6:$B$55,0),MATCH($B40,'2015'!$C$1:$R$1,0)),0)</f>
        <v>0</v>
      </c>
      <c r="F40" s="118">
        <f>_xlfn.IFNA(INDEX('2015'!$C$6:$R$55,MATCH(F$4,'2015'!$B$6:$B$55,0),MATCH($B40,'2015'!$C$1:$R$1,0)),0)</f>
        <v>152.58600000000001</v>
      </c>
      <c r="G40" s="118">
        <f>_xlfn.IFNA(INDEX('2015'!$C$6:$R$55,MATCH(G$4,'2015'!$B$6:$B$55,0),MATCH($B40,'2015'!$C$1:$R$1,0)),0)</f>
        <v>50.862000000000002</v>
      </c>
      <c r="H40" s="118">
        <f>_xlfn.IFNA(INDEX('2015'!$C$6:$R$55,MATCH(H$4,'2015'!$B$6:$B$55,0),MATCH($B40,'2015'!$C$1:$R$1,0)),0)</f>
        <v>76.293000000000006</v>
      </c>
      <c r="I40" s="118">
        <f>_xlfn.IFNA(INDEX('2015'!$C$6:$R$55,MATCH(I$4,'2015'!$B$6:$B$55,0),MATCH($B40,'2015'!$C$1:$R$1,0)),0)</f>
        <v>0</v>
      </c>
      <c r="J40" s="118">
        <f>_xlfn.IFNA(INDEX('2015'!$C$6:$R$55,MATCH(J$4,'2015'!$B$6:$B$55,0),MATCH($B40,'2015'!$C$1:$R$1,0)),0)</f>
        <v>25.431000000000001</v>
      </c>
      <c r="K40" s="118">
        <f>_xlfn.IFNA(INDEX('2015'!$C$6:$R$55,MATCH(K$4,'2015'!$B$6:$B$55,0),MATCH($B40,'2015'!$C$1:$R$1,0)),0)</f>
        <v>127.155</v>
      </c>
      <c r="L40" s="118">
        <f>_xlfn.IFNA(INDEX('2015'!$C$6:$R$55,MATCH(L$4,'2015'!$B$6:$B$55,0),MATCH($B40,'2015'!$C$1:$R$1,0)),0)</f>
        <v>0</v>
      </c>
      <c r="M40" s="118">
        <f>_xlfn.IFNA(INDEX('2015'!$C$6:$R$55,MATCH(M$4,'2015'!$B$6:$B$55,0),MATCH($B40,'2015'!$C$1:$R$1,0)),0)</f>
        <v>0</v>
      </c>
      <c r="N40" s="118">
        <f>_xlfn.IFNA(INDEX('2015'!$C$6:$R$55,MATCH(N$4,'2015'!$B$6:$B$55,0),MATCH($B40,'2015'!$C$1:$R$1,0)),0)</f>
        <v>0</v>
      </c>
      <c r="O40" s="118">
        <f>_xlfn.IFNA(INDEX('2015'!$C$6:$R$55,MATCH(O$4,'2015'!$B$6:$B$55,0),MATCH($B40,'2015'!$C$1:$R$1,0)),0)</f>
        <v>0</v>
      </c>
      <c r="P40" s="118">
        <f t="shared" si="5"/>
        <v>788.36099999999999</v>
      </c>
    </row>
    <row r="41" spans="2:19" ht="12.75" customHeight="1">
      <c r="B41" s="625" t="s">
        <v>589</v>
      </c>
      <c r="C41" s="118">
        <f>_xlfn.IFNA(INDEX('2015'!$C$6:$R$55,MATCH(C$4,'2015'!$B$6:$B$55,0),MATCH($B41,'2015'!$C$1:$R$1,0)),0)</f>
        <v>0</v>
      </c>
      <c r="D41" s="118">
        <f>_xlfn.IFNA(INDEX('2015'!$C$6:$R$55,MATCH(D$4,'2015'!$B$6:$B$55,0),MATCH($B41,'2015'!$C$1:$R$1,0)),0)</f>
        <v>0</v>
      </c>
      <c r="E41" s="118">
        <f>_xlfn.IFNA(INDEX('2015'!$C$6:$R$55,MATCH(E$4,'2015'!$B$6:$B$55,0),MATCH($B41,'2015'!$C$1:$R$1,0)),0)</f>
        <v>0</v>
      </c>
      <c r="F41" s="118">
        <f>_xlfn.IFNA(INDEX('2015'!$C$6:$R$55,MATCH(F$4,'2015'!$B$6:$B$55,0),MATCH($B41,'2015'!$C$1:$R$1,0)),0)</f>
        <v>0</v>
      </c>
      <c r="G41" s="118">
        <f>_xlfn.IFNA(INDEX('2015'!$C$6:$R$55,MATCH(G$4,'2015'!$B$6:$B$55,0),MATCH($B41,'2015'!$C$1:$R$1,0)),0)</f>
        <v>0</v>
      </c>
      <c r="H41" s="118">
        <f>_xlfn.IFNA(INDEX('2015'!$C$6:$R$55,MATCH(H$4,'2015'!$B$6:$B$55,0),MATCH($B41,'2015'!$C$1:$R$1,0)),0)</f>
        <v>0</v>
      </c>
      <c r="I41" s="118">
        <f>_xlfn.IFNA(INDEX('2015'!$C$6:$R$55,MATCH(I$4,'2015'!$B$6:$B$55,0),MATCH($B41,'2015'!$C$1:$R$1,0)),0)</f>
        <v>0</v>
      </c>
      <c r="J41" s="118">
        <f>_xlfn.IFNA(INDEX('2015'!$C$6:$R$55,MATCH(J$4,'2015'!$B$6:$B$55,0),MATCH($B41,'2015'!$C$1:$R$1,0)),0)</f>
        <v>0</v>
      </c>
      <c r="K41" s="118">
        <f>_xlfn.IFNA(INDEX('2015'!$C$6:$R$55,MATCH(K$4,'2015'!$B$6:$B$55,0),MATCH($B41,'2015'!$C$1:$R$1,0)),0)</f>
        <v>0</v>
      </c>
      <c r="L41" s="118">
        <f>_xlfn.IFNA(INDEX('2015'!$C$6:$R$55,MATCH(L$4,'2015'!$B$6:$B$55,0),MATCH($B41,'2015'!$C$1:$R$1,0)),0)</f>
        <v>0</v>
      </c>
      <c r="M41" s="118">
        <f>_xlfn.IFNA(INDEX('2015'!$C$6:$R$55,MATCH(M$4,'2015'!$B$6:$B$55,0),MATCH($B41,'2015'!$C$1:$R$1,0)),0)</f>
        <v>0</v>
      </c>
      <c r="N41" s="118">
        <f>_xlfn.IFNA(INDEX('2015'!$C$6:$R$55,MATCH(N$4,'2015'!$B$6:$B$55,0),MATCH($B41,'2015'!$C$1:$R$1,0)),0)</f>
        <v>0</v>
      </c>
      <c r="O41" s="118">
        <f>_xlfn.IFNA(INDEX('2015'!$C$6:$R$55,MATCH(O$4,'2015'!$B$6:$B$55,0),MATCH($B41,'2015'!$C$1:$R$1,0)),0)</f>
        <v>0</v>
      </c>
      <c r="P41" s="118">
        <f t="shared" si="5"/>
        <v>0</v>
      </c>
    </row>
    <row r="42" spans="2:19" ht="12.75" customHeight="1">
      <c r="B42" s="625" t="s">
        <v>583</v>
      </c>
      <c r="C42" s="118">
        <f>_xlfn.IFNA(INDEX('2015'!$C$6:$R$55,MATCH(C$4,'2015'!$B$6:$B$55,0),MATCH($B42,'2015'!$C$1:$R$1,0)),0)</f>
        <v>0</v>
      </c>
      <c r="D42" s="118">
        <f>_xlfn.IFNA(INDEX('2015'!$C$6:$R$55,MATCH(D$4,'2015'!$B$6:$B$55,0),MATCH($B42,'2015'!$C$1:$R$1,0)),0)</f>
        <v>0</v>
      </c>
      <c r="E42" s="118">
        <f>_xlfn.IFNA(INDEX('2015'!$C$6:$R$55,MATCH(E$4,'2015'!$B$6:$B$55,0),MATCH($B42,'2015'!$C$1:$R$1,0)),0)</f>
        <v>0</v>
      </c>
      <c r="F42" s="118">
        <f>_xlfn.IFNA(INDEX('2015'!$C$6:$R$55,MATCH(F$4,'2015'!$B$6:$B$55,0),MATCH($B42,'2015'!$C$1:$R$1,0)),0)</f>
        <v>0</v>
      </c>
      <c r="G42" s="118">
        <f>_xlfn.IFNA(INDEX('2015'!$C$6:$R$55,MATCH(G$4,'2015'!$B$6:$B$55,0),MATCH($B42,'2015'!$C$1:$R$1,0)),0)</f>
        <v>0</v>
      </c>
      <c r="H42" s="118">
        <f>_xlfn.IFNA(INDEX('2015'!$C$6:$R$55,MATCH(H$4,'2015'!$B$6:$B$55,0),MATCH($B42,'2015'!$C$1:$R$1,0)),0)</f>
        <v>0</v>
      </c>
      <c r="I42" s="118">
        <f>_xlfn.IFNA(INDEX('2015'!$C$6:$R$55,MATCH(I$4,'2015'!$B$6:$B$55,0),MATCH($B42,'2015'!$C$1:$R$1,0)),0)</f>
        <v>0</v>
      </c>
      <c r="J42" s="118">
        <f>_xlfn.IFNA(INDEX('2015'!$C$6:$R$55,MATCH(J$4,'2015'!$B$6:$B$55,0),MATCH($B42,'2015'!$C$1:$R$1,0)),0)</f>
        <v>0</v>
      </c>
      <c r="K42" s="118">
        <f>_xlfn.IFNA(INDEX('2015'!$C$6:$R$55,MATCH(K$4,'2015'!$B$6:$B$55,0),MATCH($B42,'2015'!$C$1:$R$1,0)),0)</f>
        <v>0</v>
      </c>
      <c r="L42" s="118">
        <f>_xlfn.IFNA(INDEX('2015'!$C$6:$R$55,MATCH(L$4,'2015'!$B$6:$B$55,0),MATCH($B42,'2015'!$C$1:$R$1,0)),0)</f>
        <v>0</v>
      </c>
      <c r="M42" s="118">
        <f>_xlfn.IFNA(INDEX('2015'!$C$6:$R$55,MATCH(M$4,'2015'!$B$6:$B$55,0),MATCH($B42,'2015'!$C$1:$R$1,0)),0)</f>
        <v>0</v>
      </c>
      <c r="N42" s="118">
        <f>_xlfn.IFNA(INDEX('2015'!$C$6:$R$55,MATCH(N$4,'2015'!$B$6:$B$55,0),MATCH($B42,'2015'!$C$1:$R$1,0)),0)</f>
        <v>0</v>
      </c>
      <c r="O42" s="118">
        <f>_xlfn.IFNA(INDEX('2015'!$C$6:$R$55,MATCH(O$4,'2015'!$B$6:$B$55,0),MATCH($B42,'2015'!$C$1:$R$1,0)),0)</f>
        <v>0</v>
      </c>
      <c r="P42" s="118">
        <f t="shared" si="5"/>
        <v>0</v>
      </c>
    </row>
    <row r="43" spans="2:19" ht="12.75" customHeight="1">
      <c r="B43" s="129" t="s">
        <v>78</v>
      </c>
      <c r="C43" s="118">
        <f>_xlfn.IFNA(INDEX('2015'!$C$6:$R$55,MATCH(C$4,'2015'!$B$6:$B$55,0),MATCH($B43,'2015'!$C$1:$R$1,0)),0)</f>
        <v>63</v>
      </c>
      <c r="D43" s="118">
        <f>_xlfn.IFNA(INDEX('2015'!$C$6:$R$55,MATCH(D$4,'2015'!$B$6:$B$55,0),MATCH($B43,'2015'!$C$1:$R$1,0)),0)</f>
        <v>1409</v>
      </c>
      <c r="E43" s="118">
        <f>_xlfn.IFNA(INDEX('2015'!$C$6:$R$55,MATCH(E$4,'2015'!$B$6:$B$55,0),MATCH($B43,'2015'!$C$1:$R$1,0)),0)</f>
        <v>0</v>
      </c>
      <c r="F43" s="118">
        <f>_xlfn.IFNA(INDEX('2015'!$C$6:$R$55,MATCH(F$4,'2015'!$B$6:$B$55,0),MATCH($B43,'2015'!$C$1:$R$1,0)),0)</f>
        <v>5787</v>
      </c>
      <c r="G43" s="118">
        <f>_xlfn.IFNA(INDEX('2015'!$C$6:$R$55,MATCH(G$4,'2015'!$B$6:$B$55,0),MATCH($B43,'2015'!$C$1:$R$1,0)),0)</f>
        <v>225</v>
      </c>
      <c r="H43" s="118">
        <f>_xlfn.IFNA(INDEX('2015'!$C$6:$R$55,MATCH(H$4,'2015'!$B$6:$B$55,0),MATCH($B43,'2015'!$C$1:$R$1,0)),0)</f>
        <v>2144</v>
      </c>
      <c r="I43" s="118">
        <f>_xlfn.IFNA(INDEX('2015'!$C$6:$R$55,MATCH(I$4,'2015'!$B$6:$B$55,0),MATCH($B43,'2015'!$C$1:$R$1,0)),0)</f>
        <v>809</v>
      </c>
      <c r="J43" s="118">
        <f>_xlfn.IFNA(INDEX('2015'!$C$6:$R$55,MATCH(J$4,'2015'!$B$6:$B$55,0),MATCH($B43,'2015'!$C$1:$R$1,0)),0)</f>
        <v>1637</v>
      </c>
      <c r="K43" s="118">
        <f>_xlfn.IFNA(INDEX('2015'!$C$6:$R$55,MATCH(K$4,'2015'!$B$6:$B$55,0),MATCH($B43,'2015'!$C$1:$R$1,0)),0)</f>
        <v>22533</v>
      </c>
      <c r="L43" s="118">
        <f>_xlfn.IFNA(INDEX('2015'!$C$6:$R$55,MATCH(L$4,'2015'!$B$6:$B$55,0),MATCH($B43,'2015'!$C$1:$R$1,0)),0)</f>
        <v>50270</v>
      </c>
      <c r="M43" s="118">
        <f>_xlfn.IFNA(INDEX('2015'!$C$6:$R$55,MATCH(M$4,'2015'!$B$6:$B$55,0),MATCH($B43,'2015'!$C$1:$R$1,0)),0)</f>
        <v>96</v>
      </c>
      <c r="N43" s="118">
        <f>_xlfn.IFNA(INDEX('2015'!$C$6:$R$55,MATCH(N$4,'2015'!$B$6:$B$55,0),MATCH($B43,'2015'!$C$1:$R$1,0)),0)</f>
        <v>0</v>
      </c>
      <c r="O43" s="118">
        <f>_xlfn.IFNA(INDEX('2015'!$C$6:$R$55,MATCH(O$4,'2015'!$B$6:$B$55,0),MATCH($B43,'2015'!$C$1:$R$1,0)),0)</f>
        <v>5415</v>
      </c>
      <c r="P43" s="118">
        <f>SUM(C43:O43)</f>
        <v>90388</v>
      </c>
      <c r="R43" s="128">
        <v>0.4</v>
      </c>
      <c r="S43" s="128" t="s">
        <v>500</v>
      </c>
    </row>
    <row r="44" spans="2:19" ht="12.75" customHeight="1">
      <c r="B44" s="129" t="s">
        <v>80</v>
      </c>
      <c r="C44" s="118">
        <f>_xlfn.IFNA(INDEX('2015'!$C$6:$R$55,MATCH(C$4,'2015'!$B$6:$B$55,0),MATCH($B44,'2015'!$C$1:$R$1,0)),0)</f>
        <v>0</v>
      </c>
      <c r="D44" s="118">
        <f>_xlfn.IFNA(INDEX('2015'!$C$6:$R$55,MATCH(D$4,'2015'!$B$6:$B$55,0),MATCH($B44,'2015'!$C$1:$R$1,0)),0)</f>
        <v>8685</v>
      </c>
      <c r="E44" s="118">
        <f>_xlfn.IFNA(INDEX('2015'!$C$6:$R$55,MATCH(E$4,'2015'!$B$6:$B$55,0),MATCH($B44,'2015'!$C$1:$R$1,0)),0)</f>
        <v>256</v>
      </c>
      <c r="F44" s="118">
        <f>_xlfn.IFNA(INDEX('2015'!$C$6:$R$55,MATCH(F$4,'2015'!$B$6:$B$55,0),MATCH($B44,'2015'!$C$1:$R$1,0)),0)</f>
        <v>44429</v>
      </c>
      <c r="G44" s="118">
        <f>_xlfn.IFNA(INDEX('2015'!$C$6:$R$55,MATCH(G$4,'2015'!$B$6:$B$55,0),MATCH($B44,'2015'!$C$1:$R$1,0)),0)</f>
        <v>2</v>
      </c>
      <c r="H44" s="118">
        <f>_xlfn.IFNA(INDEX('2015'!$C$6:$R$55,MATCH(H$4,'2015'!$B$6:$B$55,0),MATCH($B44,'2015'!$C$1:$R$1,0)),0)</f>
        <v>1</v>
      </c>
      <c r="I44" s="118">
        <f>_xlfn.IFNA(INDEX('2015'!$C$6:$R$55,MATCH(I$4,'2015'!$B$6:$B$55,0),MATCH($B44,'2015'!$C$1:$R$1,0)),0)</f>
        <v>0</v>
      </c>
      <c r="J44" s="118">
        <f>_xlfn.IFNA(INDEX('2015'!$C$6:$R$55,MATCH(J$4,'2015'!$B$6:$B$55,0),MATCH($B44,'2015'!$C$1:$R$1,0)),0)</f>
        <v>0</v>
      </c>
      <c r="K44" s="118">
        <f>_xlfn.IFNA(INDEX('2015'!$C$6:$R$55,MATCH(K$4,'2015'!$B$6:$B$55,0),MATCH($B44,'2015'!$C$1:$R$1,0)),0)</f>
        <v>5482</v>
      </c>
      <c r="L44" s="118">
        <f>_xlfn.IFNA(INDEX('2015'!$C$6:$R$55,MATCH(L$4,'2015'!$B$6:$B$55,0),MATCH($B44,'2015'!$C$1:$R$1,0)),0)</f>
        <v>19</v>
      </c>
      <c r="M44" s="118">
        <f>_xlfn.IFNA(INDEX('2015'!$C$6:$R$55,MATCH(M$4,'2015'!$B$6:$B$55,0),MATCH($B44,'2015'!$C$1:$R$1,0)),0)</f>
        <v>0</v>
      </c>
      <c r="N44" s="118">
        <f>_xlfn.IFNA(INDEX('2015'!$C$6:$R$55,MATCH(N$4,'2015'!$B$6:$B$55,0),MATCH($B44,'2015'!$C$1:$R$1,0)),0)</f>
        <v>0</v>
      </c>
      <c r="O44" s="118">
        <f>_xlfn.IFNA(INDEX('2015'!$C$6:$R$55,MATCH(O$4,'2015'!$B$6:$B$55,0),MATCH($B44,'2015'!$C$1:$R$1,0)),0)</f>
        <v>0</v>
      </c>
      <c r="P44" s="118">
        <f t="shared" ref="P44:P46" si="6">SUM(C44:O44)</f>
        <v>58874</v>
      </c>
      <c r="R44" s="128">
        <f>1-R43</f>
        <v>0.6</v>
      </c>
      <c r="S44" s="128" t="s">
        <v>500</v>
      </c>
    </row>
    <row r="45" spans="2:19" ht="12.75" customHeight="1">
      <c r="B45" s="129" t="s">
        <v>50</v>
      </c>
      <c r="C45" s="118">
        <f>_xlfn.IFNA(INDEX('2015'!$C$6:$R$55,MATCH(C$4,'2015'!$B$6:$B$55,0),MATCH($B45,'2015'!$C$1:$R$1,0)),0)</f>
        <v>93826.8</v>
      </c>
      <c r="D45" s="118">
        <f>_xlfn.IFNA(INDEX('2015'!$C$6:$R$55,MATCH(D$4,'2015'!$B$6:$B$55,0),MATCH($B45,'2015'!$C$1:$R$1,0)),0)</f>
        <v>192474</v>
      </c>
      <c r="E45" s="118">
        <f>_xlfn.IFNA(INDEX('2015'!$C$6:$R$55,MATCH(E$4,'2015'!$B$6:$B$55,0),MATCH($B45,'2015'!$C$1:$R$1,0)),0)</f>
        <v>57135.6</v>
      </c>
      <c r="F45" s="118">
        <f>_xlfn.IFNA(INDEX('2015'!$C$6:$R$55,MATCH(F$4,'2015'!$B$6:$B$55,0),MATCH($B45,'2015'!$C$1:$R$1,0)),0)</f>
        <v>44265.599999999999</v>
      </c>
      <c r="G45" s="118">
        <f>_xlfn.IFNA(INDEX('2015'!$C$6:$R$55,MATCH(G$4,'2015'!$B$6:$B$55,0),MATCH($B45,'2015'!$C$1:$R$1,0)),0)</f>
        <v>66654</v>
      </c>
      <c r="H45" s="118">
        <f>_xlfn.IFNA(INDEX('2015'!$C$6:$R$55,MATCH(H$4,'2015'!$B$6:$B$55,0),MATCH($B45,'2015'!$C$1:$R$1,0)),0)</f>
        <v>120315.6</v>
      </c>
      <c r="I45" s="118">
        <f>_xlfn.IFNA(INDEX('2015'!$C$6:$R$55,MATCH(I$4,'2015'!$B$6:$B$55,0),MATCH($B45,'2015'!$C$1:$R$1,0)),0)</f>
        <v>6264</v>
      </c>
      <c r="J45" s="118">
        <f>_xlfn.IFNA(INDEX('2015'!$C$6:$R$55,MATCH(J$4,'2015'!$B$6:$B$55,0),MATCH($B45,'2015'!$C$1:$R$1,0)),0)</f>
        <v>65498.400000000001</v>
      </c>
      <c r="K45" s="118">
        <f>_xlfn.IFNA(INDEX('2015'!$C$6:$R$55,MATCH(K$4,'2015'!$B$6:$B$55,0),MATCH($B45,'2015'!$C$1:$R$1,0)),0)</f>
        <v>76762.8</v>
      </c>
      <c r="L45" s="118">
        <f>_xlfn.IFNA(INDEX('2015'!$C$6:$R$55,MATCH(L$4,'2015'!$B$6:$B$55,0),MATCH($B45,'2015'!$C$1:$R$1,0)),0)</f>
        <v>16171.2</v>
      </c>
      <c r="M45" s="118">
        <f>_xlfn.IFNA(INDEX('2015'!$C$6:$R$55,MATCH(M$4,'2015'!$B$6:$B$55,0),MATCH($B45,'2015'!$C$1:$R$1,0)),0)</f>
        <v>8132.4</v>
      </c>
      <c r="N45" s="118">
        <f>_xlfn.IFNA(INDEX('2015'!$C$6:$R$55,MATCH(N$4,'2015'!$B$6:$B$55,0),MATCH($B45,'2015'!$C$1:$R$1,0)),0)</f>
        <v>14202</v>
      </c>
      <c r="O45" s="118">
        <f>_xlfn.IFNA(INDEX('2015'!$C$6:$R$55,MATCH(O$4,'2015'!$B$6:$B$55,0),MATCH($B45,'2015'!$C$1:$R$1,0)),0)</f>
        <v>62067.6</v>
      </c>
      <c r="P45" s="118">
        <f t="shared" si="6"/>
        <v>823770</v>
      </c>
    </row>
    <row r="46" spans="2:19" ht="12.75" customHeight="1">
      <c r="B46" s="130" t="s">
        <v>52</v>
      </c>
      <c r="C46" s="118">
        <f>_xlfn.IFNA(INDEX('2015'!$C$6:$R$55,MATCH(C$4,'2015'!$B$6:$B$55,0),MATCH($B46,'2015'!$C$1:$R$1,0)),0)</f>
        <v>1520</v>
      </c>
      <c r="D46" s="118">
        <f>_xlfn.IFNA(INDEX('2015'!$C$6:$R$55,MATCH(D$4,'2015'!$B$6:$B$55,0),MATCH($B46,'2015'!$C$1:$R$1,0)),0)</f>
        <v>97183</v>
      </c>
      <c r="E46" s="118">
        <f>_xlfn.IFNA(INDEX('2015'!$C$6:$R$55,MATCH(E$4,'2015'!$B$6:$B$55,0),MATCH($B46,'2015'!$C$1:$R$1,0)),0)</f>
        <v>1109</v>
      </c>
      <c r="F46" s="118">
        <f>_xlfn.IFNA(INDEX('2015'!$C$6:$R$55,MATCH(F$4,'2015'!$B$6:$B$55,0),MATCH($B46,'2015'!$C$1:$R$1,0)),0)</f>
        <v>775</v>
      </c>
      <c r="G46" s="118">
        <f>_xlfn.IFNA(INDEX('2015'!$C$6:$R$55,MATCH(G$4,'2015'!$B$6:$B$55,0),MATCH($B46,'2015'!$C$1:$R$1,0)),0)</f>
        <v>13440</v>
      </c>
      <c r="H46" s="118">
        <f>_xlfn.IFNA(INDEX('2015'!$C$6:$R$55,MATCH(H$4,'2015'!$B$6:$B$55,0),MATCH($B46,'2015'!$C$1:$R$1,0)),0)</f>
        <v>9929</v>
      </c>
      <c r="I46" s="118">
        <f>_xlfn.IFNA(INDEX('2015'!$C$6:$R$55,MATCH(I$4,'2015'!$B$6:$B$55,0),MATCH($B46,'2015'!$C$1:$R$1,0)),0)</f>
        <v>116</v>
      </c>
      <c r="J46" s="118">
        <f>_xlfn.IFNA(INDEX('2015'!$C$6:$R$55,MATCH(J$4,'2015'!$B$6:$B$55,0),MATCH($B46,'2015'!$C$1:$R$1,0)),0)</f>
        <v>9825</v>
      </c>
      <c r="K46" s="118">
        <f>_xlfn.IFNA(INDEX('2015'!$C$6:$R$55,MATCH(K$4,'2015'!$B$6:$B$55,0),MATCH($B46,'2015'!$C$1:$R$1,0)),0)</f>
        <v>27747</v>
      </c>
      <c r="L46" s="118">
        <f>_xlfn.IFNA(INDEX('2015'!$C$6:$R$55,MATCH(L$4,'2015'!$B$6:$B$55,0),MATCH($B46,'2015'!$C$1:$R$1,0)),0)</f>
        <v>2838</v>
      </c>
      <c r="M46" s="118">
        <f>_xlfn.IFNA(INDEX('2015'!$C$6:$R$55,MATCH(M$4,'2015'!$B$6:$B$55,0),MATCH($B46,'2015'!$C$1:$R$1,0)),0)</f>
        <v>2298</v>
      </c>
      <c r="N46" s="118">
        <f>_xlfn.IFNA(INDEX('2015'!$C$6:$R$55,MATCH(N$4,'2015'!$B$6:$B$55,0),MATCH($B46,'2015'!$C$1:$R$1,0)),0)</f>
        <v>0</v>
      </c>
      <c r="O46" s="118">
        <f>_xlfn.IFNA(INDEX('2015'!$C$6:$R$55,MATCH(O$4,'2015'!$B$6:$B$55,0),MATCH($B46,'2015'!$C$1:$R$1,0)),0)</f>
        <v>6650</v>
      </c>
      <c r="P46" s="118">
        <f t="shared" si="6"/>
        <v>173430</v>
      </c>
    </row>
    <row r="47" spans="2:19" ht="12.75" customHeight="1">
      <c r="B47" s="129" t="s">
        <v>434</v>
      </c>
      <c r="C47" s="118">
        <f t="shared" ref="C47:P47" si="7">SUM(C43:C44)</f>
        <v>63</v>
      </c>
      <c r="D47" s="118">
        <f t="shared" si="7"/>
        <v>10094</v>
      </c>
      <c r="E47" s="118">
        <f t="shared" si="7"/>
        <v>256</v>
      </c>
      <c r="F47" s="118">
        <f t="shared" si="7"/>
        <v>50216</v>
      </c>
      <c r="G47" s="118">
        <f t="shared" si="7"/>
        <v>227</v>
      </c>
      <c r="H47" s="118">
        <f t="shared" si="7"/>
        <v>2145</v>
      </c>
      <c r="I47" s="118">
        <f t="shared" si="7"/>
        <v>809</v>
      </c>
      <c r="J47" s="118">
        <f t="shared" si="7"/>
        <v>1637</v>
      </c>
      <c r="K47" s="118">
        <f t="shared" si="7"/>
        <v>28015</v>
      </c>
      <c r="L47" s="118">
        <f t="shared" si="7"/>
        <v>50289</v>
      </c>
      <c r="M47" s="118">
        <f t="shared" si="7"/>
        <v>96</v>
      </c>
      <c r="N47" s="118">
        <f t="shared" si="7"/>
        <v>0</v>
      </c>
      <c r="O47" s="118">
        <f t="shared" si="7"/>
        <v>5415</v>
      </c>
      <c r="P47" s="118">
        <f t="shared" si="7"/>
        <v>149262</v>
      </c>
    </row>
    <row r="48" spans="2:19" ht="12.75" customHeight="1">
      <c r="B48" s="118" t="s">
        <v>499</v>
      </c>
      <c r="C48" s="118">
        <f t="shared" ref="C48:O48" si="8">SUM(C30:C46)</f>
        <v>323629.26799999998</v>
      </c>
      <c r="D48" s="118">
        <f t="shared" si="8"/>
        <v>616807.64199999999</v>
      </c>
      <c r="E48" s="118">
        <f t="shared" si="8"/>
        <v>95655.25</v>
      </c>
      <c r="F48" s="118">
        <f t="shared" si="8"/>
        <v>264491.71299999999</v>
      </c>
      <c r="G48" s="118">
        <f t="shared" si="8"/>
        <v>120413.60800000001</v>
      </c>
      <c r="H48" s="118">
        <f t="shared" si="8"/>
        <v>214732.38500000001</v>
      </c>
      <c r="I48" s="118">
        <f t="shared" si="8"/>
        <v>15105.293</v>
      </c>
      <c r="J48" s="118">
        <f t="shared" si="8"/>
        <v>204843.899</v>
      </c>
      <c r="K48" s="118">
        <f t="shared" si="8"/>
        <v>237914.68</v>
      </c>
      <c r="L48" s="118">
        <f t="shared" si="8"/>
        <v>74996.255000000005</v>
      </c>
      <c r="M48" s="118">
        <f t="shared" si="8"/>
        <v>21569.934000000001</v>
      </c>
      <c r="N48" s="118">
        <f t="shared" si="8"/>
        <v>35077.5</v>
      </c>
      <c r="O48" s="118">
        <f t="shared" si="8"/>
        <v>109939.624</v>
      </c>
      <c r="P48" s="118">
        <f>SUM(C48:O48)</f>
        <v>2335177.0509999995</v>
      </c>
    </row>
    <row r="49" spans="2:19" ht="12.75" customHeight="1">
      <c r="B49" s="118" t="s">
        <v>57</v>
      </c>
      <c r="C49" s="118">
        <f>_xlfn.IFNA(INDEX('2015'!$C$6:$S$55,MATCH(C$4,'2015'!$B$6:$B$55,0),MATCH($B49,'2015'!$C$1:$S$1,0)),0)</f>
        <v>323693.26800000004</v>
      </c>
      <c r="D49" s="118">
        <f>_xlfn.IFNA(INDEX('2015'!$C$6:$S$55,MATCH(D$4,'2015'!$B$6:$B$55,0),MATCH($B49,'2015'!$C$1:$S$1,0)),0)</f>
        <v>617383.66299999994</v>
      </c>
      <c r="E49" s="118">
        <f>_xlfn.IFNA(INDEX('2015'!$C$6:$S$55,MATCH(E$4,'2015'!$B$6:$B$55,0),MATCH($B49,'2015'!$C$1:$S$1,0)),0)</f>
        <v>96839.25</v>
      </c>
      <c r="F49" s="118">
        <f>_xlfn.IFNA(INDEX('2015'!$C$6:$S$55,MATCH(F$4,'2015'!$B$6:$B$55,0),MATCH($B49,'2015'!$C$1:$S$1,0)),0)</f>
        <v>274429.65700000001</v>
      </c>
      <c r="G49" s="118">
        <f>_xlfn.IFNA(INDEX('2015'!$C$6:$S$55,MATCH(G$4,'2015'!$B$6:$B$55,0),MATCH($B49,'2015'!$C$1:$S$1,0)),0)</f>
        <v>120490.32000000002</v>
      </c>
      <c r="H49" s="118">
        <f>_xlfn.IFNA(INDEX('2015'!$C$6:$S$55,MATCH(H$4,'2015'!$B$6:$B$55,0),MATCH($B49,'2015'!$C$1:$S$1,0)),0)</f>
        <v>214809.09700000001</v>
      </c>
      <c r="I49" s="118">
        <f>_xlfn.IFNA(INDEX('2015'!$C$6:$S$55,MATCH(I$4,'2015'!$B$6:$B$55,0),MATCH($B49,'2015'!$C$1:$S$1,0)),0)</f>
        <v>15335.649000000001</v>
      </c>
      <c r="J49" s="118">
        <f>_xlfn.IFNA(INDEX('2015'!$C$6:$S$55,MATCH(J$4,'2015'!$B$6:$B$55,0),MATCH($B49,'2015'!$C$1:$S$1,0)),0)</f>
        <v>204843.899</v>
      </c>
      <c r="K49" s="118">
        <f>_xlfn.IFNA(INDEX('2015'!$C$6:$S$55,MATCH(K$4,'2015'!$B$6:$B$55,0),MATCH($B49,'2015'!$C$1:$S$1,0)),0)</f>
        <v>237953.03599999999</v>
      </c>
      <c r="L49" s="118">
        <f>_xlfn.IFNA(INDEX('2015'!$C$6:$S$55,MATCH(L$4,'2015'!$B$6:$B$55,0),MATCH($B49,'2015'!$C$1:$S$1,0)),0)</f>
        <v>74996.255000000005</v>
      </c>
      <c r="M49" s="118">
        <f>_xlfn.IFNA(INDEX('2015'!$C$6:$S$55,MATCH(M$4,'2015'!$B$6:$B$55,0),MATCH($B49,'2015'!$C$1:$S$1,0)),0)</f>
        <v>21569.934000000001</v>
      </c>
      <c r="N49" s="118">
        <f>_xlfn.IFNA(INDEX('2015'!$C$6:$S$55,MATCH(N$4,'2015'!$B$6:$B$55,0),MATCH($B49,'2015'!$C$1:$S$1,0)),0)</f>
        <v>35077.5</v>
      </c>
      <c r="O49" s="118">
        <f>_xlfn.IFNA(INDEX('2015'!$C$6:$S$55,MATCH(O$4,'2015'!$B$6:$B$55,0),MATCH($B49,'2015'!$C$1:$S$1,0)),0)</f>
        <v>110016.38499999999</v>
      </c>
      <c r="P49" s="118">
        <f>SUM(C49:O49)</f>
        <v>2347437.9129999997</v>
      </c>
    </row>
    <row r="53" spans="2:19" ht="12.75" customHeight="1">
      <c r="B53" s="115">
        <v>2019</v>
      </c>
      <c r="C53" s="25"/>
      <c r="D53" s="25"/>
      <c r="E53" s="25"/>
      <c r="F53" s="25"/>
      <c r="G53" s="25"/>
      <c r="H53" s="25"/>
      <c r="I53" s="25"/>
      <c r="J53" s="25"/>
      <c r="K53" s="25"/>
      <c r="L53" s="25"/>
      <c r="M53" s="25"/>
      <c r="N53" s="25"/>
    </row>
    <row r="54" spans="2:19" ht="12.75" customHeight="1">
      <c r="B54" s="119"/>
      <c r="C54" s="120" t="s">
        <v>467</v>
      </c>
      <c r="D54" s="120" t="s">
        <v>468</v>
      </c>
      <c r="E54" s="120" t="s">
        <v>469</v>
      </c>
      <c r="F54" s="120" t="s">
        <v>470</v>
      </c>
      <c r="G54" s="120" t="s">
        <v>471</v>
      </c>
      <c r="H54" s="120" t="s">
        <v>342</v>
      </c>
      <c r="I54" s="120" t="s">
        <v>472</v>
      </c>
      <c r="J54" s="120" t="s">
        <v>473</v>
      </c>
      <c r="K54" s="120" t="s">
        <v>474</v>
      </c>
      <c r="L54" s="120" t="s">
        <v>475</v>
      </c>
      <c r="M54" s="120" t="s">
        <v>476</v>
      </c>
      <c r="N54" s="120" t="s">
        <v>253</v>
      </c>
      <c r="O54" s="120" t="s">
        <v>477</v>
      </c>
      <c r="P54" s="120" t="s">
        <v>150</v>
      </c>
    </row>
    <row r="55" spans="2:19" ht="12.75" customHeight="1">
      <c r="B55" s="129" t="s">
        <v>55</v>
      </c>
      <c r="C55" s="118">
        <f>_xlfn.IFNA(INDEX('2019'!$C$6:$R$55,MATCH(C$4,'2019'!$B$6:$B$55,0),MATCH($B55,'2019'!$C$1:$R$1,0)),0)</f>
        <v>28433.278999999999</v>
      </c>
      <c r="D55" s="118">
        <f>_xlfn.IFNA(INDEX('2019'!$C$6:$R$55,MATCH(D$4,'2019'!$B$6:$B$55,0),MATCH($B55,'2019'!$C$1:$R$1,0)),0)</f>
        <v>14652.936</v>
      </c>
      <c r="E55" s="118">
        <f>_xlfn.IFNA(INDEX('2019'!$C$6:$R$55,MATCH(E$4,'2019'!$B$6:$B$55,0),MATCH($B55,'2019'!$C$1:$R$1,0)),0)</f>
        <v>1097.598</v>
      </c>
      <c r="F55" s="118">
        <f>_xlfn.IFNA(INDEX('2019'!$C$6:$R$55,MATCH(F$4,'2019'!$B$6:$B$55,0),MATCH($B55,'2019'!$C$1:$R$1,0)),0)</f>
        <v>53875.453000000001</v>
      </c>
      <c r="G55" s="118">
        <f>_xlfn.IFNA(INDEX('2019'!$C$6:$R$55,MATCH(G$4,'2019'!$B$6:$B$55,0),MATCH($B55,'2019'!$C$1:$R$1,0)),0)</f>
        <v>7161.88</v>
      </c>
      <c r="H55" s="118">
        <f>_xlfn.IFNA(INDEX('2019'!$C$6:$R$55,MATCH(H$4,'2019'!$B$6:$B$55,0),MATCH($B55,'2019'!$C$1:$R$1,0)),0)</f>
        <v>574.64200000000005</v>
      </c>
      <c r="I55" s="118">
        <f>_xlfn.IFNA(INDEX('2019'!$C$6:$R$55,MATCH(I$4,'2019'!$B$6:$B$55,0),MATCH($B55,'2019'!$C$1:$R$1,0)),0)</f>
        <v>2624.08</v>
      </c>
      <c r="J55" s="118">
        <f>_xlfn.IFNA(INDEX('2019'!$C$6:$R$55,MATCH(J$4,'2019'!$B$6:$B$55,0),MATCH($B55,'2019'!$C$1:$R$1,0)),0)</f>
        <v>7846.0739999999996</v>
      </c>
      <c r="K55" s="118">
        <f>_xlfn.IFNA(INDEX('2019'!$C$6:$R$55,MATCH(K$4,'2019'!$B$6:$B$55,0),MATCH($B55,'2019'!$C$1:$R$1,0)),0)</f>
        <v>10776.85</v>
      </c>
      <c r="L55" s="118">
        <f>_xlfn.IFNA(INDEX('2019'!$C$6:$R$55,MATCH(L$4,'2019'!$B$6:$B$55,0),MATCH($B55,'2019'!$C$1:$R$1,0)),0)</f>
        <v>0</v>
      </c>
      <c r="M55" s="118">
        <f>_xlfn.IFNA(INDEX('2019'!$C$6:$R$55,MATCH(M$4,'2019'!$B$6:$B$55,0),MATCH($B55,'2019'!$C$1:$R$1,0)),0)</f>
        <v>180.55199999999999</v>
      </c>
      <c r="N55" s="118">
        <f>_xlfn.IFNA(INDEX('2019'!$C$6:$R$55,MATCH(N$4,'2019'!$B$6:$B$55,0),MATCH($B55,'2019'!$C$1:$R$1,0)),0)</f>
        <v>0</v>
      </c>
      <c r="O55" s="118">
        <f>_xlfn.IFNA(INDEX('2019'!$C$6:$R$55,MATCH(O$4,'2019'!$B$6:$B$55,0),MATCH($B55,'2019'!$C$1:$R$1,0)),0)</f>
        <v>1474.5050000000001</v>
      </c>
      <c r="P55" s="118">
        <f>SUM(C55:O55)</f>
        <v>128697.84900000002</v>
      </c>
    </row>
    <row r="56" spans="2:19" ht="12.75" customHeight="1">
      <c r="B56" s="129" t="s">
        <v>54</v>
      </c>
      <c r="C56" s="118">
        <f>_xlfn.IFNA(INDEX('2019'!$C$6:$R$55,MATCH(C$4,'2019'!$B$6:$B$55,0),MATCH($B56,'2019'!$C$1:$R$1,0)),0)</f>
        <v>0</v>
      </c>
      <c r="D56" s="118">
        <f>_xlfn.IFNA(INDEX('2019'!$C$6:$R$55,MATCH(D$4,'2019'!$B$6:$B$55,0),MATCH($B56,'2019'!$C$1:$R$1,0)),0)</f>
        <v>21139.732</v>
      </c>
      <c r="E56" s="118">
        <f>_xlfn.IFNA(INDEX('2019'!$C$6:$R$55,MATCH(E$4,'2019'!$B$6:$B$55,0),MATCH($B56,'2019'!$C$1:$R$1,0)),0)</f>
        <v>685.83100000000002</v>
      </c>
      <c r="F56" s="118">
        <f>_xlfn.IFNA(INDEX('2019'!$C$6:$R$55,MATCH(F$4,'2019'!$B$6:$B$55,0),MATCH($B56,'2019'!$C$1:$R$1,0)),0)</f>
        <v>2339.8939999999998</v>
      </c>
      <c r="G56" s="118">
        <f>_xlfn.IFNA(INDEX('2019'!$C$6:$R$55,MATCH(G$4,'2019'!$B$6:$B$55,0),MATCH($B56,'2019'!$C$1:$R$1,0)),0)</f>
        <v>0</v>
      </c>
      <c r="H56" s="118">
        <f>_xlfn.IFNA(INDEX('2019'!$C$6:$R$55,MATCH(H$4,'2019'!$B$6:$B$55,0),MATCH($B56,'2019'!$C$1:$R$1,0)),0)</f>
        <v>40.343000000000004</v>
      </c>
      <c r="I56" s="118">
        <f>_xlfn.IFNA(INDEX('2019'!$C$6:$R$55,MATCH(I$4,'2019'!$B$6:$B$55,0),MATCH($B56,'2019'!$C$1:$R$1,0)),0)</f>
        <v>40.343000000000004</v>
      </c>
      <c r="J56" s="118">
        <f>_xlfn.IFNA(INDEX('2019'!$C$6:$R$55,MATCH(J$4,'2019'!$B$6:$B$55,0),MATCH($B56,'2019'!$C$1:$R$1,0)),0)</f>
        <v>1210.29</v>
      </c>
      <c r="K56" s="118">
        <f>_xlfn.IFNA(INDEX('2019'!$C$6:$R$55,MATCH(K$4,'2019'!$B$6:$B$55,0),MATCH($B56,'2019'!$C$1:$R$1,0)),0)</f>
        <v>403.43</v>
      </c>
      <c r="L56" s="118">
        <f>_xlfn.IFNA(INDEX('2019'!$C$6:$R$55,MATCH(L$4,'2019'!$B$6:$B$55,0),MATCH($B56,'2019'!$C$1:$R$1,0)),0)</f>
        <v>40.343000000000004</v>
      </c>
      <c r="M56" s="118">
        <f>_xlfn.IFNA(INDEX('2019'!$C$6:$R$55,MATCH(M$4,'2019'!$B$6:$B$55,0),MATCH($B56,'2019'!$C$1:$R$1,0)),0)</f>
        <v>0</v>
      </c>
      <c r="N56" s="118">
        <f>_xlfn.IFNA(INDEX('2019'!$C$6:$R$55,MATCH(N$4,'2019'!$B$6:$B$55,0),MATCH($B56,'2019'!$C$1:$R$1,0)),0)</f>
        <v>0</v>
      </c>
      <c r="O56" s="118">
        <f>_xlfn.IFNA(INDEX('2019'!$C$6:$R$55,MATCH(O$4,'2019'!$B$6:$B$55,0),MATCH($B56,'2019'!$C$1:$R$1,0)),0)</f>
        <v>40.343000000000004</v>
      </c>
      <c r="P56" s="118">
        <f t="shared" ref="P56:P67" si="9">SUM(C56:O56)</f>
        <v>25940.549000000003</v>
      </c>
    </row>
    <row r="57" spans="2:19" ht="12.75" customHeight="1">
      <c r="B57" s="129" t="s">
        <v>68</v>
      </c>
      <c r="C57" s="118">
        <f>_xlfn.IFNA(INDEX('2019'!$C$6:$R$55,MATCH(C$4,'2019'!$B$6:$B$55,0),MATCH($B57,'2019'!$C$1:$R$1,0)),0)</f>
        <v>429.27</v>
      </c>
      <c r="D57" s="118">
        <f>_xlfn.IFNA(INDEX('2019'!$C$6:$R$55,MATCH(D$4,'2019'!$B$6:$B$55,0),MATCH($B57,'2019'!$C$1:$R$1,0)),0)</f>
        <v>1588.299</v>
      </c>
      <c r="E57" s="118">
        <f>_xlfn.IFNA(INDEX('2019'!$C$6:$R$55,MATCH(E$4,'2019'!$B$6:$B$55,0),MATCH($B57,'2019'!$C$1:$R$1,0)),0)</f>
        <v>472.197</v>
      </c>
      <c r="F57" s="118">
        <f>_xlfn.IFNA(INDEX('2019'!$C$6:$R$55,MATCH(F$4,'2019'!$B$6:$B$55,0),MATCH($B57,'2019'!$C$1:$R$1,0)),0)</f>
        <v>3176.598</v>
      </c>
      <c r="G57" s="118">
        <f>_xlfn.IFNA(INDEX('2019'!$C$6:$R$55,MATCH(G$4,'2019'!$B$6:$B$55,0),MATCH($B57,'2019'!$C$1:$R$1,0)),0)</f>
        <v>1373.664</v>
      </c>
      <c r="H57" s="118">
        <f>_xlfn.IFNA(INDEX('2019'!$C$6:$R$55,MATCH(H$4,'2019'!$B$6:$B$55,0),MATCH($B57,'2019'!$C$1:$R$1,0)),0)</f>
        <v>7469.2979999999998</v>
      </c>
      <c r="I57" s="118">
        <f>_xlfn.IFNA(INDEX('2019'!$C$6:$R$55,MATCH(I$4,'2019'!$B$6:$B$55,0),MATCH($B57,'2019'!$C$1:$R$1,0)),0)</f>
        <v>729.75900000000001</v>
      </c>
      <c r="J57" s="118">
        <f>_xlfn.IFNA(INDEX('2019'!$C$6:$R$55,MATCH(J$4,'2019'!$B$6:$B$55,0),MATCH($B57,'2019'!$C$1:$R$1,0)),0)</f>
        <v>5365.875</v>
      </c>
      <c r="K57" s="118">
        <f>_xlfn.IFNA(INDEX('2019'!$C$6:$R$55,MATCH(K$4,'2019'!$B$6:$B$55,0),MATCH($B57,'2019'!$C$1:$R$1,0)),0)</f>
        <v>1116.1020000000001</v>
      </c>
      <c r="L57" s="118">
        <f>_xlfn.IFNA(INDEX('2019'!$C$6:$R$55,MATCH(L$4,'2019'!$B$6:$B$55,0),MATCH($B57,'2019'!$C$1:$R$1,0)),0)</f>
        <v>558.05100000000004</v>
      </c>
      <c r="M57" s="118">
        <f>_xlfn.IFNA(INDEX('2019'!$C$6:$R$55,MATCH(M$4,'2019'!$B$6:$B$55,0),MATCH($B57,'2019'!$C$1:$R$1,0)),0)</f>
        <v>558.05100000000004</v>
      </c>
      <c r="N57" s="118">
        <f>_xlfn.IFNA(INDEX('2019'!$C$6:$R$55,MATCH(N$4,'2019'!$B$6:$B$55,0),MATCH($B57,'2019'!$C$1:$R$1,0)),0)</f>
        <v>53229.48</v>
      </c>
      <c r="O57" s="118">
        <f>_xlfn.IFNA(INDEX('2019'!$C$6:$R$55,MATCH(O$4,'2019'!$B$6:$B$55,0),MATCH($B57,'2019'!$C$1:$R$1,0)),0)</f>
        <v>3219.5250000000001</v>
      </c>
      <c r="P57" s="118">
        <f t="shared" si="9"/>
        <v>79286.168999999994</v>
      </c>
    </row>
    <row r="58" spans="2:19" ht="12.75" customHeight="1">
      <c r="B58" s="129" t="s">
        <v>79</v>
      </c>
      <c r="C58" s="118">
        <f>_xlfn.IFNA(INDEX('2019'!$C$6:$R$55,MATCH(C$4,'2019'!$B$6:$B$55,0),MATCH($B58,'2019'!$C$1:$R$1,0)),0)</f>
        <v>0</v>
      </c>
      <c r="D58" s="118">
        <f>_xlfn.IFNA(INDEX('2019'!$C$6:$R$55,MATCH(D$4,'2019'!$B$6:$B$55,0),MATCH($B58,'2019'!$C$1:$R$1,0)),0)</f>
        <v>0</v>
      </c>
      <c r="E58" s="118">
        <f>_xlfn.IFNA(INDEX('2019'!$C$6:$R$55,MATCH(E$4,'2019'!$B$6:$B$55,0),MATCH($B58,'2019'!$C$1:$R$1,0)),0)</f>
        <v>0</v>
      </c>
      <c r="F58" s="118">
        <f>_xlfn.IFNA(INDEX('2019'!$C$6:$R$55,MATCH(F$4,'2019'!$B$6:$B$55,0),MATCH($B58,'2019'!$C$1:$R$1,0)),0)</f>
        <v>0</v>
      </c>
      <c r="G58" s="118">
        <f>_xlfn.IFNA(INDEX('2019'!$C$6:$R$55,MATCH(G$4,'2019'!$B$6:$B$55,0),MATCH($B58,'2019'!$C$1:$R$1,0)),0)</f>
        <v>0</v>
      </c>
      <c r="H58" s="118">
        <f>_xlfn.IFNA(INDEX('2019'!$C$6:$R$55,MATCH(H$4,'2019'!$B$6:$B$55,0),MATCH($B58,'2019'!$C$1:$R$1,0)),0)</f>
        <v>0</v>
      </c>
      <c r="I58" s="118">
        <f>_xlfn.IFNA(INDEX('2019'!$C$6:$R$55,MATCH(I$4,'2019'!$B$6:$B$55,0),MATCH($B58,'2019'!$C$1:$R$1,0)),0)</f>
        <v>0</v>
      </c>
      <c r="J58" s="118">
        <f>_xlfn.IFNA(INDEX('2019'!$C$6:$R$55,MATCH(J$4,'2019'!$B$6:$B$55,0),MATCH($B58,'2019'!$C$1:$R$1,0)),0)</f>
        <v>0</v>
      </c>
      <c r="K58" s="118">
        <f>_xlfn.IFNA(INDEX('2019'!$C$6:$R$55,MATCH(K$4,'2019'!$B$6:$B$55,0),MATCH($B58,'2019'!$C$1:$R$1,0)),0)</f>
        <v>0</v>
      </c>
      <c r="L58" s="118">
        <f>_xlfn.IFNA(INDEX('2019'!$C$6:$R$55,MATCH(L$4,'2019'!$B$6:$B$55,0),MATCH($B58,'2019'!$C$1:$R$1,0)),0)</f>
        <v>0</v>
      </c>
      <c r="M58" s="118">
        <f>_xlfn.IFNA(INDEX('2019'!$C$6:$R$55,MATCH(M$4,'2019'!$B$6:$B$55,0),MATCH($B58,'2019'!$C$1:$R$1,0)),0)</f>
        <v>0</v>
      </c>
      <c r="N58" s="118">
        <f>_xlfn.IFNA(INDEX('2019'!$C$6:$R$55,MATCH(N$4,'2019'!$B$6:$B$55,0),MATCH($B58,'2019'!$C$1:$R$1,0)),0)</f>
        <v>3086.5129999999999</v>
      </c>
      <c r="O58" s="118">
        <f>_xlfn.IFNA(INDEX('2019'!$C$6:$R$55,MATCH(O$4,'2019'!$B$6:$B$55,0),MATCH($B58,'2019'!$C$1:$R$1,0)),0)</f>
        <v>0</v>
      </c>
      <c r="P58" s="118">
        <f t="shared" si="9"/>
        <v>3086.5129999999999</v>
      </c>
    </row>
    <row r="59" spans="2:19" ht="29" customHeight="1" thickBot="1">
      <c r="B59" s="623" t="s">
        <v>586</v>
      </c>
      <c r="C59" s="118">
        <f>_xlfn.IFNA(INDEX('2019'!$C$6:$R$55,MATCH(C$4,'2019'!$B$6:$B$55,0),MATCH($B59,'2019'!$C$1:$R$1,0)),0)</f>
        <v>0</v>
      </c>
      <c r="D59" s="118">
        <f>_xlfn.IFNA(INDEX('2019'!$C$6:$R$55,MATCH(D$4,'2019'!$B$6:$B$55,0),MATCH($B59,'2019'!$C$1:$R$1,0)),0)</f>
        <v>0</v>
      </c>
      <c r="E59" s="118">
        <f>_xlfn.IFNA(INDEX('2019'!$C$6:$R$55,MATCH(E$4,'2019'!$B$6:$B$55,0),MATCH($B59,'2019'!$C$1:$R$1,0)),0)</f>
        <v>0</v>
      </c>
      <c r="F59" s="118">
        <f>_xlfn.IFNA(INDEX('2019'!$C$6:$R$55,MATCH(F$4,'2019'!$B$6:$B$55,0),MATCH($B59,'2019'!$C$1:$R$1,0)),0)</f>
        <v>0</v>
      </c>
      <c r="G59" s="118">
        <f>_xlfn.IFNA(INDEX('2019'!$C$6:$R$55,MATCH(G$4,'2019'!$B$6:$B$55,0),MATCH($B59,'2019'!$C$1:$R$1,0)),0)</f>
        <v>0</v>
      </c>
      <c r="H59" s="118">
        <f>_xlfn.IFNA(INDEX('2019'!$C$6:$R$55,MATCH(H$4,'2019'!$B$6:$B$55,0),MATCH($B59,'2019'!$C$1:$R$1,0)),0)</f>
        <v>0</v>
      </c>
      <c r="I59" s="118">
        <f>_xlfn.IFNA(INDEX('2019'!$C$6:$R$55,MATCH(I$4,'2019'!$B$6:$B$55,0),MATCH($B59,'2019'!$C$1:$R$1,0)),0)</f>
        <v>0</v>
      </c>
      <c r="J59" s="118">
        <f>_xlfn.IFNA(INDEX('2019'!$C$6:$R$55,MATCH(J$4,'2019'!$B$6:$B$55,0),MATCH($B59,'2019'!$C$1:$R$1,0)),0)</f>
        <v>0</v>
      </c>
      <c r="K59" s="118">
        <f>_xlfn.IFNA(INDEX('2019'!$C$6:$R$55,MATCH(K$4,'2019'!$B$6:$B$55,0),MATCH($B59,'2019'!$C$1:$R$1,0)),0)</f>
        <v>0</v>
      </c>
      <c r="L59" s="118">
        <f>_xlfn.IFNA(INDEX('2019'!$C$6:$R$55,MATCH(L$4,'2019'!$B$6:$B$55,0),MATCH($B59,'2019'!$C$1:$R$1,0)),0)</f>
        <v>0</v>
      </c>
      <c r="M59" s="118">
        <f>_xlfn.IFNA(INDEX('2019'!$C$6:$R$55,MATCH(M$4,'2019'!$B$6:$B$55,0),MATCH($B59,'2019'!$C$1:$R$1,0)),0)</f>
        <v>0</v>
      </c>
      <c r="N59" s="118">
        <f>_xlfn.IFNA(INDEX('2019'!$C$6:$R$55,MATCH(N$4,'2019'!$B$6:$B$55,0),MATCH($B59,'2019'!$C$1:$R$1,0)),0)</f>
        <v>0</v>
      </c>
      <c r="O59" s="118">
        <f>_xlfn.IFNA(INDEX('2019'!$C$6:$R$55,MATCH(O$4,'2019'!$B$6:$B$55,0),MATCH($B59,'2019'!$C$1:$R$1,0)),0)</f>
        <v>0</v>
      </c>
      <c r="P59" s="118"/>
    </row>
    <row r="60" spans="2:19" ht="12.75" customHeight="1">
      <c r="B60" s="129" t="s">
        <v>53</v>
      </c>
      <c r="C60" s="118">
        <f>_xlfn.IFNA(INDEX('2019'!$C$6:$R$55,MATCH(C$4,'2019'!$B$6:$B$55,0),MATCH($B60,'2019'!$C$1:$R$1,0)),0)</f>
        <v>43.073999999999998</v>
      </c>
      <c r="D60" s="118">
        <f>_xlfn.IFNA(INDEX('2019'!$C$6:$R$55,MATCH(D$4,'2019'!$B$6:$B$55,0),MATCH($B60,'2019'!$C$1:$R$1,0)),0)</f>
        <v>0</v>
      </c>
      <c r="E60" s="118">
        <f>_xlfn.IFNA(INDEX('2019'!$C$6:$R$55,MATCH(E$4,'2019'!$B$6:$B$55,0),MATCH($B60,'2019'!$C$1:$R$1,0)),0)</f>
        <v>86.147999999999996</v>
      </c>
      <c r="F60" s="118">
        <f>_xlfn.IFNA(INDEX('2019'!$C$6:$R$55,MATCH(F$4,'2019'!$B$6:$B$55,0),MATCH($B60,'2019'!$C$1:$R$1,0)),0)</f>
        <v>516.88800000000003</v>
      </c>
      <c r="G60" s="118">
        <f>_xlfn.IFNA(INDEX('2019'!$C$6:$R$55,MATCH(G$4,'2019'!$B$6:$B$55,0),MATCH($B60,'2019'!$C$1:$R$1,0)),0)</f>
        <v>215.37</v>
      </c>
      <c r="H60" s="118">
        <f>_xlfn.IFNA(INDEX('2019'!$C$6:$R$55,MATCH(H$4,'2019'!$B$6:$B$55,0),MATCH($B60,'2019'!$C$1:$R$1,0)),0)</f>
        <v>947.62800000000004</v>
      </c>
      <c r="I60" s="118">
        <f>_xlfn.IFNA(INDEX('2019'!$C$6:$R$55,MATCH(I$4,'2019'!$B$6:$B$55,0),MATCH($B60,'2019'!$C$1:$R$1,0)),0)</f>
        <v>129.22200000000001</v>
      </c>
      <c r="J60" s="118">
        <f>_xlfn.IFNA(INDEX('2019'!$C$6:$R$55,MATCH(J$4,'2019'!$B$6:$B$55,0),MATCH($B60,'2019'!$C$1:$R$1,0)),0)</f>
        <v>258.44400000000002</v>
      </c>
      <c r="K60" s="118">
        <f>_xlfn.IFNA(INDEX('2019'!$C$6:$R$55,MATCH(K$4,'2019'!$B$6:$B$55,0),MATCH($B60,'2019'!$C$1:$R$1,0)),0)</f>
        <v>86.147999999999996</v>
      </c>
      <c r="L60" s="118">
        <f>_xlfn.IFNA(INDEX('2019'!$C$6:$R$55,MATCH(L$4,'2019'!$B$6:$B$55,0),MATCH($B60,'2019'!$C$1:$R$1,0)),0)</f>
        <v>43.073999999999998</v>
      </c>
      <c r="M60" s="118">
        <f>_xlfn.IFNA(INDEX('2019'!$C$6:$R$55,MATCH(M$4,'2019'!$B$6:$B$55,0),MATCH($B60,'2019'!$C$1:$R$1,0)),0)</f>
        <v>43.073999999999998</v>
      </c>
      <c r="N60" s="118">
        <f>_xlfn.IFNA(INDEX('2019'!$C$6:$R$55,MATCH(N$4,'2019'!$B$6:$B$55,0),MATCH($B60,'2019'!$C$1:$R$1,0)),0)</f>
        <v>0</v>
      </c>
      <c r="O60" s="118">
        <f>_xlfn.IFNA(INDEX('2019'!$C$6:$R$55,MATCH(O$4,'2019'!$B$6:$B$55,0),MATCH($B60,'2019'!$C$1:$R$1,0)),0)</f>
        <v>430.74</v>
      </c>
      <c r="P60" s="118">
        <f t="shared" si="9"/>
        <v>2799.8100000000004</v>
      </c>
    </row>
    <row r="61" spans="2:19" ht="12.75" customHeight="1">
      <c r="B61" s="129" t="s">
        <v>580</v>
      </c>
      <c r="C61" s="118">
        <f>_xlfn.IFNA(INDEX('2019'!$C$6:$R$55,MATCH(C$4,'2019'!$B$6:$B$55,0),MATCH($B61,'2019'!$C$1:$R$1,0)),0)</f>
        <v>93782.1</v>
      </c>
      <c r="D61" s="118">
        <f>_xlfn.IFNA(INDEX('2019'!$C$6:$R$55,MATCH(D$4,'2019'!$B$6:$B$55,0),MATCH($B61,'2019'!$C$1:$R$1,0)),0)</f>
        <v>1692</v>
      </c>
      <c r="E61" s="118">
        <f>_xlfn.IFNA(INDEX('2019'!$C$6:$R$55,MATCH(E$4,'2019'!$B$6:$B$55,0),MATCH($B61,'2019'!$C$1:$R$1,0)),0)</f>
        <v>0</v>
      </c>
      <c r="F61" s="118">
        <f>_xlfn.IFNA(INDEX('2019'!$C$6:$R$55,MATCH(F$4,'2019'!$B$6:$B$55,0),MATCH($B61,'2019'!$C$1:$R$1,0)),0)</f>
        <v>0</v>
      </c>
      <c r="G61" s="118">
        <f>_xlfn.IFNA(INDEX('2019'!$C$6:$R$55,MATCH(G$4,'2019'!$B$6:$B$55,0),MATCH($B61,'2019'!$C$1:$R$1,0)),0)</f>
        <v>1139.4000000000001</v>
      </c>
      <c r="H61" s="118">
        <f>_xlfn.IFNA(INDEX('2019'!$C$6:$R$55,MATCH(H$4,'2019'!$B$6:$B$55,0),MATCH($B61,'2019'!$C$1:$R$1,0)),0)</f>
        <v>365.4</v>
      </c>
      <c r="I61" s="118">
        <f>_xlfn.IFNA(INDEX('2019'!$C$6:$R$55,MATCH(I$4,'2019'!$B$6:$B$55,0),MATCH($B61,'2019'!$C$1:$R$1,0)),0)</f>
        <v>0</v>
      </c>
      <c r="J61" s="118">
        <f>_xlfn.IFNA(INDEX('2019'!$C$6:$R$55,MATCH(J$4,'2019'!$B$6:$B$55,0),MATCH($B61,'2019'!$C$1:$R$1,0)),0)</f>
        <v>0</v>
      </c>
      <c r="K61" s="118">
        <f>_xlfn.IFNA(INDEX('2019'!$C$6:$R$55,MATCH(K$4,'2019'!$B$6:$B$55,0),MATCH($B61,'2019'!$C$1:$R$1,0)),0)</f>
        <v>0</v>
      </c>
      <c r="L61" s="118">
        <f>_xlfn.IFNA(INDEX('2019'!$C$6:$R$55,MATCH(L$4,'2019'!$B$6:$B$55,0),MATCH($B61,'2019'!$C$1:$R$1,0)),0)</f>
        <v>0</v>
      </c>
      <c r="M61" s="118">
        <f>_xlfn.IFNA(INDEX('2019'!$C$6:$R$55,MATCH(M$4,'2019'!$B$6:$B$55,0),MATCH($B61,'2019'!$C$1:$R$1,0)),0)</f>
        <v>0</v>
      </c>
      <c r="N61" s="118">
        <f>_xlfn.IFNA(INDEX('2019'!$C$6:$R$55,MATCH(N$4,'2019'!$B$6:$B$55,0),MATCH($B61,'2019'!$C$1:$R$1,0)),0)</f>
        <v>0</v>
      </c>
      <c r="O61" s="118">
        <f>_xlfn.IFNA(INDEX('2019'!$C$6:$R$55,MATCH(O$4,'2019'!$B$6:$B$55,0),MATCH($B61,'2019'!$C$1:$R$1,0)),0)</f>
        <v>13.5</v>
      </c>
      <c r="P61" s="118">
        <f t="shared" si="9"/>
        <v>96992.4</v>
      </c>
    </row>
    <row r="62" spans="2:19" ht="12.75" customHeight="1">
      <c r="B62" s="129" t="s">
        <v>51</v>
      </c>
      <c r="C62" s="118">
        <f>_xlfn.IFNA(INDEX('2019'!$C$6:$R$55,MATCH(C$4,'2019'!$B$6:$B$55,0),MATCH($B62,'2019'!$C$1:$R$1,0)),0)</f>
        <v>86104.111999999994</v>
      </c>
      <c r="D62" s="118">
        <f>_xlfn.IFNA(INDEX('2019'!$C$6:$R$55,MATCH(D$4,'2019'!$B$6:$B$55,0),MATCH($B62,'2019'!$C$1:$R$1,0)),0)</f>
        <v>222522.37600000002</v>
      </c>
      <c r="E62" s="118">
        <f>_xlfn.IFNA(INDEX('2019'!$C$6:$R$55,MATCH(E$4,'2019'!$B$6:$B$55,0),MATCH($B62,'2019'!$C$1:$R$1,0)),0)</f>
        <v>35464.18</v>
      </c>
      <c r="F62" s="118">
        <f>_xlfn.IFNA(INDEX('2019'!$C$6:$R$55,MATCH(F$4,'2019'!$B$6:$B$55,0),MATCH($B62,'2019'!$C$1:$R$1,0)),0)</f>
        <v>105073.03</v>
      </c>
      <c r="G62" s="118">
        <f>_xlfn.IFNA(INDEX('2019'!$C$6:$R$55,MATCH(G$4,'2019'!$B$6:$B$55,0),MATCH($B62,'2019'!$C$1:$R$1,0)),0)</f>
        <v>36605.161</v>
      </c>
      <c r="H62" s="118">
        <f>_xlfn.IFNA(INDEX('2019'!$C$6:$R$55,MATCH(H$4,'2019'!$B$6:$B$55,0),MATCH($B62,'2019'!$C$1:$R$1,0)),0)</f>
        <v>73810.733999999997</v>
      </c>
      <c r="I62" s="118">
        <f>_xlfn.IFNA(INDEX('2019'!$C$6:$R$55,MATCH(I$4,'2019'!$B$6:$B$55,0),MATCH($B62,'2019'!$C$1:$R$1,0)),0)</f>
        <v>3917.636</v>
      </c>
      <c r="J62" s="118">
        <f>_xlfn.IFNA(INDEX('2019'!$C$6:$R$55,MATCH(J$4,'2019'!$B$6:$B$55,0),MATCH($B62,'2019'!$C$1:$R$1,0)),0)</f>
        <v>116593.553</v>
      </c>
      <c r="K62" s="118">
        <f>_xlfn.IFNA(INDEX('2019'!$C$6:$R$55,MATCH(K$4,'2019'!$B$6:$B$55,0),MATCH($B62,'2019'!$C$1:$R$1,0)),0)</f>
        <v>78489.357000000004</v>
      </c>
      <c r="L62" s="118">
        <f>_xlfn.IFNA(INDEX('2019'!$C$6:$R$55,MATCH(L$4,'2019'!$B$6:$B$55,0),MATCH($B62,'2019'!$C$1:$R$1,0)),0)</f>
        <v>4556.9449999999997</v>
      </c>
      <c r="M62" s="118">
        <f>_xlfn.IFNA(INDEX('2019'!$C$6:$R$55,MATCH(M$4,'2019'!$B$6:$B$55,0),MATCH($B62,'2019'!$C$1:$R$1,0)),0)</f>
        <v>8865.5460000000003</v>
      </c>
      <c r="N62" s="118">
        <f>_xlfn.IFNA(INDEX('2019'!$C$6:$R$55,MATCH(N$4,'2019'!$B$6:$B$55,0),MATCH($B62,'2019'!$C$1:$R$1,0)),0)</f>
        <v>26449.200000000001</v>
      </c>
      <c r="O62" s="118">
        <f>_xlfn.IFNA(INDEX('2019'!$C$6:$R$55,MATCH(O$4,'2019'!$B$6:$B$55,0),MATCH($B62,'2019'!$C$1:$R$1,0)),0)</f>
        <v>31468.631999999998</v>
      </c>
      <c r="P62" s="118">
        <f t="shared" si="9"/>
        <v>829920.46199999982</v>
      </c>
    </row>
    <row r="63" spans="2:19" ht="12.75" customHeight="1">
      <c r="B63" s="129" t="s">
        <v>77</v>
      </c>
      <c r="C63" s="118">
        <f>_xlfn.IFNA(INDEX('2019'!$C$6:$R$55,MATCH(C$4,'2019'!$B$6:$B$55,0),MATCH($B63,'2019'!$C$1:$R$1,0)),0)</f>
        <v>0</v>
      </c>
      <c r="D63" s="118">
        <f>_xlfn.IFNA(INDEX('2019'!$C$6:$R$55,MATCH(D$4,'2019'!$B$6:$B$55,0),MATCH($B63,'2019'!$C$1:$R$1,0)),0)</f>
        <v>682</v>
      </c>
      <c r="E63" s="118">
        <f>_xlfn.IFNA(INDEX('2019'!$C$6:$R$55,MATCH(E$4,'2019'!$B$6:$B$55,0),MATCH($B63,'2019'!$C$1:$R$1,0)),0)</f>
        <v>10</v>
      </c>
      <c r="F63" s="118">
        <f>_xlfn.IFNA(INDEX('2019'!$C$6:$R$55,MATCH(F$4,'2019'!$B$6:$B$55,0),MATCH($B63,'2019'!$C$1:$R$1,0)),0)</f>
        <v>12</v>
      </c>
      <c r="G63" s="118">
        <f>_xlfn.IFNA(INDEX('2019'!$C$6:$R$55,MATCH(G$4,'2019'!$B$6:$B$55,0),MATCH($B63,'2019'!$C$1:$R$1,0)),0)</f>
        <v>119</v>
      </c>
      <c r="H63" s="118">
        <f>_xlfn.IFNA(INDEX('2019'!$C$6:$R$55,MATCH(H$4,'2019'!$B$6:$B$55,0),MATCH($B63,'2019'!$C$1:$R$1,0)),0)</f>
        <v>103</v>
      </c>
      <c r="I63" s="118">
        <f>_xlfn.IFNA(INDEX('2019'!$C$6:$R$55,MATCH(I$4,'2019'!$B$6:$B$55,0),MATCH($B63,'2019'!$C$1:$R$1,0)),0)</f>
        <v>73</v>
      </c>
      <c r="J63" s="118">
        <f>_xlfn.IFNA(INDEX('2019'!$C$6:$R$55,MATCH(J$4,'2019'!$B$6:$B$55,0),MATCH($B63,'2019'!$C$1:$R$1,0)),0)</f>
        <v>844</v>
      </c>
      <c r="K63" s="118">
        <f>_xlfn.IFNA(INDEX('2019'!$C$6:$R$55,MATCH(K$4,'2019'!$B$6:$B$55,0),MATCH($B63,'2019'!$C$1:$R$1,0)),0)</f>
        <v>1340</v>
      </c>
      <c r="L63" s="118">
        <f>_xlfn.IFNA(INDEX('2019'!$C$6:$R$55,MATCH(L$4,'2019'!$B$6:$B$55,0),MATCH($B63,'2019'!$C$1:$R$1,0)),0)</f>
        <v>5</v>
      </c>
      <c r="M63" s="118">
        <f>_xlfn.IFNA(INDEX('2019'!$C$6:$R$55,MATCH(M$4,'2019'!$B$6:$B$55,0),MATCH($B63,'2019'!$C$1:$R$1,0)),0)</f>
        <v>3</v>
      </c>
      <c r="N63" s="118">
        <f>_xlfn.IFNA(INDEX('2019'!$C$6:$R$55,MATCH(N$4,'2019'!$B$6:$B$55,0),MATCH($B63,'2019'!$C$1:$R$1,0)),0)</f>
        <v>0</v>
      </c>
      <c r="O63" s="118">
        <f>_xlfn.IFNA(INDEX('2019'!$C$6:$R$55,MATCH(O$4,'2019'!$B$6:$B$55,0),MATCH($B63,'2019'!$C$1:$R$1,0)),0)</f>
        <v>136</v>
      </c>
      <c r="P63" s="118">
        <f t="shared" si="9"/>
        <v>3327</v>
      </c>
      <c r="R63" s="128">
        <v>0.5</v>
      </c>
      <c r="S63" s="128" t="s">
        <v>500</v>
      </c>
    </row>
    <row r="64" spans="2:19" ht="12.75" customHeight="1">
      <c r="B64" s="625" t="s">
        <v>581</v>
      </c>
      <c r="C64" s="118">
        <f>_xlfn.IFNA(INDEX('2019'!$C$6:$R$55,MATCH(C$4,'2019'!$B$6:$B$55,0),MATCH($B64,'2019'!$C$1:$R$1,0)),0)</f>
        <v>0</v>
      </c>
      <c r="D64" s="118">
        <f>_xlfn.IFNA(INDEX('2019'!$C$6:$R$55,MATCH(D$4,'2019'!$B$6:$B$55,0),MATCH($B64,'2019'!$C$1:$R$1,0)),0)</f>
        <v>0</v>
      </c>
      <c r="E64" s="118">
        <f>_xlfn.IFNA(INDEX('2019'!$C$6:$R$55,MATCH(E$4,'2019'!$B$6:$B$55,0),MATCH($B64,'2019'!$C$1:$R$1,0)),0)</f>
        <v>0</v>
      </c>
      <c r="F64" s="118">
        <f>_xlfn.IFNA(INDEX('2019'!$C$6:$R$55,MATCH(F$4,'2019'!$B$6:$B$55,0),MATCH($B64,'2019'!$C$1:$R$1,0)),0)</f>
        <v>0</v>
      </c>
      <c r="G64" s="118">
        <f>_xlfn.IFNA(INDEX('2019'!$C$6:$R$55,MATCH(G$4,'2019'!$B$6:$B$55,0),MATCH($B64,'2019'!$C$1:$R$1,0)),0)</f>
        <v>0</v>
      </c>
      <c r="H64" s="118">
        <f>_xlfn.IFNA(INDEX('2019'!$C$6:$R$55,MATCH(H$4,'2019'!$B$6:$B$55,0),MATCH($B64,'2019'!$C$1:$R$1,0)),0)</f>
        <v>0</v>
      </c>
      <c r="I64" s="118">
        <f>_xlfn.IFNA(INDEX('2019'!$C$6:$R$55,MATCH(I$4,'2019'!$B$6:$B$55,0),MATCH($B64,'2019'!$C$1:$R$1,0)),0)</f>
        <v>0</v>
      </c>
      <c r="J64" s="118">
        <f>_xlfn.IFNA(INDEX('2019'!$C$6:$R$55,MATCH(J$4,'2019'!$B$6:$B$55,0),MATCH($B64,'2019'!$C$1:$R$1,0)),0)</f>
        <v>0</v>
      </c>
      <c r="K64" s="118">
        <f>_xlfn.IFNA(INDEX('2019'!$C$6:$R$55,MATCH(K$4,'2019'!$B$6:$B$55,0),MATCH($B64,'2019'!$C$1:$R$1,0)),0)</f>
        <v>0</v>
      </c>
      <c r="L64" s="118">
        <f>_xlfn.IFNA(INDEX('2019'!$C$6:$R$55,MATCH(L$4,'2019'!$B$6:$B$55,0),MATCH($B64,'2019'!$C$1:$R$1,0)),0)</f>
        <v>0</v>
      </c>
      <c r="M64" s="118">
        <f>_xlfn.IFNA(INDEX('2019'!$C$6:$R$55,MATCH(M$4,'2019'!$B$6:$B$55,0),MATCH($B64,'2019'!$C$1:$R$1,0)),0)</f>
        <v>0</v>
      </c>
      <c r="N64" s="118">
        <f>_xlfn.IFNA(INDEX('2019'!$C$6:$R$55,MATCH(N$4,'2019'!$B$6:$B$55,0),MATCH($B64,'2019'!$C$1:$R$1,0)),0)</f>
        <v>0</v>
      </c>
      <c r="O64" s="118">
        <f>_xlfn.IFNA(INDEX('2019'!$C$6:$R$55,MATCH(O$4,'2019'!$B$6:$B$55,0),MATCH($B64,'2019'!$C$1:$R$1,0)),0)</f>
        <v>0</v>
      </c>
      <c r="P64" s="118">
        <f t="shared" si="9"/>
        <v>0</v>
      </c>
    </row>
    <row r="65" spans="2:19" ht="12.75" customHeight="1">
      <c r="B65" s="625" t="s">
        <v>582</v>
      </c>
      <c r="C65" s="118">
        <f>_xlfn.IFNA(INDEX('2019'!$C$6:$R$55,MATCH(C$4,'2019'!$B$6:$B$55,0),MATCH($B65,'2019'!$C$1:$R$1,0)),0)</f>
        <v>0</v>
      </c>
      <c r="D65" s="118">
        <f>_xlfn.IFNA(INDEX('2019'!$C$6:$R$55,MATCH(D$4,'2019'!$B$6:$B$55,0),MATCH($B65,'2019'!$C$1:$R$1,0)),0)</f>
        <v>26.925999999999998</v>
      </c>
      <c r="E65" s="118">
        <f>_xlfn.IFNA(INDEX('2019'!$C$6:$R$55,MATCH(E$4,'2019'!$B$6:$B$55,0),MATCH($B65,'2019'!$C$1:$R$1,0)),0)</f>
        <v>0</v>
      </c>
      <c r="F65" s="118">
        <f>_xlfn.IFNA(INDEX('2019'!$C$6:$R$55,MATCH(F$4,'2019'!$B$6:$B$55,0),MATCH($B65,'2019'!$C$1:$R$1,0)),0)</f>
        <v>242.334</v>
      </c>
      <c r="G65" s="118">
        <f>_xlfn.IFNA(INDEX('2019'!$C$6:$R$55,MATCH(G$4,'2019'!$B$6:$B$55,0),MATCH($B65,'2019'!$C$1:$R$1,0)),0)</f>
        <v>26.925999999999998</v>
      </c>
      <c r="H65" s="118">
        <f>_xlfn.IFNA(INDEX('2019'!$C$6:$R$55,MATCH(H$4,'2019'!$B$6:$B$55,0),MATCH($B65,'2019'!$C$1:$R$1,0)),0)</f>
        <v>80.778000000000006</v>
      </c>
      <c r="I65" s="118">
        <f>_xlfn.IFNA(INDEX('2019'!$C$6:$R$55,MATCH(I$4,'2019'!$B$6:$B$55,0),MATCH($B65,'2019'!$C$1:$R$1,0)),0)</f>
        <v>26.925999999999998</v>
      </c>
      <c r="J65" s="118">
        <f>_xlfn.IFNA(INDEX('2019'!$C$6:$R$55,MATCH(J$4,'2019'!$B$6:$B$55,0),MATCH($B65,'2019'!$C$1:$R$1,0)),0)</f>
        <v>53.851999999999997</v>
      </c>
      <c r="K65" s="118">
        <f>_xlfn.IFNA(INDEX('2019'!$C$6:$R$55,MATCH(K$4,'2019'!$B$6:$B$55,0),MATCH($B65,'2019'!$C$1:$R$1,0)),0)</f>
        <v>134.63</v>
      </c>
      <c r="L65" s="118">
        <f>_xlfn.IFNA(INDEX('2019'!$C$6:$R$55,MATCH(L$4,'2019'!$B$6:$B$55,0),MATCH($B65,'2019'!$C$1:$R$1,0)),0)</f>
        <v>53.851999999999997</v>
      </c>
      <c r="M65" s="118">
        <f>_xlfn.IFNA(INDEX('2019'!$C$6:$R$55,MATCH(M$4,'2019'!$B$6:$B$55,0),MATCH($B65,'2019'!$C$1:$R$1,0)),0)</f>
        <v>0</v>
      </c>
      <c r="N65" s="118">
        <f>_xlfn.IFNA(INDEX('2019'!$C$6:$R$55,MATCH(N$4,'2019'!$B$6:$B$55,0),MATCH($B65,'2019'!$C$1:$R$1,0)),0)</f>
        <v>2099.4290000000001</v>
      </c>
      <c r="O65" s="118">
        <f>_xlfn.IFNA(INDEX('2019'!$C$6:$R$55,MATCH(O$4,'2019'!$B$6:$B$55,0),MATCH($B65,'2019'!$C$1:$R$1,0)),0)</f>
        <v>0</v>
      </c>
      <c r="P65" s="118">
        <f t="shared" si="9"/>
        <v>2745.6530000000002</v>
      </c>
    </row>
    <row r="66" spans="2:19" ht="12.75" customHeight="1">
      <c r="B66" s="625" t="s">
        <v>589</v>
      </c>
      <c r="C66" s="118">
        <f>_xlfn.IFNA(INDEX('2019'!$C$6:$R$55,MATCH(C$4,'2019'!$B$6:$B$55,0),MATCH($B66,'2019'!$C$1:$R$1,0)),0)</f>
        <v>0</v>
      </c>
      <c r="D66" s="118">
        <f>_xlfn.IFNA(INDEX('2019'!$C$6:$R$55,MATCH(D$4,'2019'!$B$6:$B$55,0),MATCH($B66,'2019'!$C$1:$R$1,0)),0)</f>
        <v>0</v>
      </c>
      <c r="E66" s="118">
        <f>_xlfn.IFNA(INDEX('2019'!$C$6:$R$55,MATCH(E$4,'2019'!$B$6:$B$55,0),MATCH($B66,'2019'!$C$1:$R$1,0)),0)</f>
        <v>0</v>
      </c>
      <c r="F66" s="118">
        <f>_xlfn.IFNA(INDEX('2019'!$C$6:$R$55,MATCH(F$4,'2019'!$B$6:$B$55,0),MATCH($B66,'2019'!$C$1:$R$1,0)),0)</f>
        <v>0</v>
      </c>
      <c r="G66" s="118">
        <f>_xlfn.IFNA(INDEX('2019'!$C$6:$R$55,MATCH(G$4,'2019'!$B$6:$B$55,0),MATCH($B66,'2019'!$C$1:$R$1,0)),0)</f>
        <v>0</v>
      </c>
      <c r="H66" s="118">
        <f>_xlfn.IFNA(INDEX('2019'!$C$6:$R$55,MATCH(H$4,'2019'!$B$6:$B$55,0),MATCH($B66,'2019'!$C$1:$R$1,0)),0)</f>
        <v>0</v>
      </c>
      <c r="I66" s="118">
        <f>_xlfn.IFNA(INDEX('2019'!$C$6:$R$55,MATCH(I$4,'2019'!$B$6:$B$55,0),MATCH($B66,'2019'!$C$1:$R$1,0)),0)</f>
        <v>0</v>
      </c>
      <c r="J66" s="118">
        <f>_xlfn.IFNA(INDEX('2019'!$C$6:$R$55,MATCH(J$4,'2019'!$B$6:$B$55,0),MATCH($B66,'2019'!$C$1:$R$1,0)),0)</f>
        <v>0</v>
      </c>
      <c r="K66" s="118">
        <f>_xlfn.IFNA(INDEX('2019'!$C$6:$R$55,MATCH(K$4,'2019'!$B$6:$B$55,0),MATCH($B66,'2019'!$C$1:$R$1,0)),0)</f>
        <v>0</v>
      </c>
      <c r="L66" s="118">
        <f>_xlfn.IFNA(INDEX('2019'!$C$6:$R$55,MATCH(L$4,'2019'!$B$6:$B$55,0),MATCH($B66,'2019'!$C$1:$R$1,0)),0)</f>
        <v>0</v>
      </c>
      <c r="M66" s="118">
        <f>_xlfn.IFNA(INDEX('2019'!$C$6:$R$55,MATCH(M$4,'2019'!$B$6:$B$55,0),MATCH($B66,'2019'!$C$1:$R$1,0)),0)</f>
        <v>0</v>
      </c>
      <c r="N66" s="118">
        <f>_xlfn.IFNA(INDEX('2019'!$C$6:$R$55,MATCH(N$4,'2019'!$B$6:$B$55,0),MATCH($B66,'2019'!$C$1:$R$1,0)),0)</f>
        <v>0</v>
      </c>
      <c r="O66" s="118">
        <f>_xlfn.IFNA(INDEX('2019'!$C$6:$R$55,MATCH(O$4,'2019'!$B$6:$B$55,0),MATCH($B66,'2019'!$C$1:$R$1,0)),0)</f>
        <v>0</v>
      </c>
      <c r="P66" s="118">
        <f t="shared" si="9"/>
        <v>0</v>
      </c>
    </row>
    <row r="67" spans="2:19" ht="12.75" customHeight="1">
      <c r="B67" s="625" t="s">
        <v>583</v>
      </c>
      <c r="C67" s="118">
        <f>_xlfn.IFNA(INDEX('2019'!$C$6:$R$55,MATCH(C$4,'2019'!$B$6:$B$55,0),MATCH($B67,'2019'!$C$1:$R$1,0)),0)</f>
        <v>0</v>
      </c>
      <c r="D67" s="118">
        <f>_xlfn.IFNA(INDEX('2019'!$C$6:$R$55,MATCH(D$4,'2019'!$B$6:$B$55,0),MATCH($B67,'2019'!$C$1:$R$1,0)),0)</f>
        <v>0</v>
      </c>
      <c r="E67" s="118">
        <f>_xlfn.IFNA(INDEX('2019'!$C$6:$R$55,MATCH(E$4,'2019'!$B$6:$B$55,0),MATCH($B67,'2019'!$C$1:$R$1,0)),0)</f>
        <v>0</v>
      </c>
      <c r="F67" s="118">
        <f>_xlfn.IFNA(INDEX('2019'!$C$6:$R$55,MATCH(F$4,'2019'!$B$6:$B$55,0),MATCH($B67,'2019'!$C$1:$R$1,0)),0)</f>
        <v>0</v>
      </c>
      <c r="G67" s="118">
        <f>_xlfn.IFNA(INDEX('2019'!$C$6:$R$55,MATCH(G$4,'2019'!$B$6:$B$55,0),MATCH($B67,'2019'!$C$1:$R$1,0)),0)</f>
        <v>0</v>
      </c>
      <c r="H67" s="118">
        <f>_xlfn.IFNA(INDEX('2019'!$C$6:$R$55,MATCH(H$4,'2019'!$B$6:$B$55,0),MATCH($B67,'2019'!$C$1:$R$1,0)),0)</f>
        <v>0</v>
      </c>
      <c r="I67" s="118">
        <f>_xlfn.IFNA(INDEX('2019'!$C$6:$R$55,MATCH(I$4,'2019'!$B$6:$B$55,0),MATCH($B67,'2019'!$C$1:$R$1,0)),0)</f>
        <v>0</v>
      </c>
      <c r="J67" s="118">
        <f>_xlfn.IFNA(INDEX('2019'!$C$6:$R$55,MATCH(J$4,'2019'!$B$6:$B$55,0),MATCH($B67,'2019'!$C$1:$R$1,0)),0)</f>
        <v>0</v>
      </c>
      <c r="K67" s="118">
        <f>_xlfn.IFNA(INDEX('2019'!$C$6:$R$55,MATCH(K$4,'2019'!$B$6:$B$55,0),MATCH($B67,'2019'!$C$1:$R$1,0)),0)</f>
        <v>0</v>
      </c>
      <c r="L67" s="118">
        <f>_xlfn.IFNA(INDEX('2019'!$C$6:$R$55,MATCH(L$4,'2019'!$B$6:$B$55,0),MATCH($B67,'2019'!$C$1:$R$1,0)),0)</f>
        <v>0</v>
      </c>
      <c r="M67" s="118">
        <f>_xlfn.IFNA(INDEX('2019'!$C$6:$R$55,MATCH(M$4,'2019'!$B$6:$B$55,0),MATCH($B67,'2019'!$C$1:$R$1,0)),0)</f>
        <v>0</v>
      </c>
      <c r="N67" s="118">
        <f>_xlfn.IFNA(INDEX('2019'!$C$6:$R$55,MATCH(N$4,'2019'!$B$6:$B$55,0),MATCH($B67,'2019'!$C$1:$R$1,0)),0)</f>
        <v>0</v>
      </c>
      <c r="O67" s="118">
        <f>_xlfn.IFNA(INDEX('2019'!$C$6:$R$55,MATCH(O$4,'2019'!$B$6:$B$55,0),MATCH($B67,'2019'!$C$1:$R$1,0)),0)</f>
        <v>0</v>
      </c>
      <c r="P67" s="118">
        <f t="shared" si="9"/>
        <v>0</v>
      </c>
    </row>
    <row r="68" spans="2:19" ht="12.75" customHeight="1">
      <c r="B68" s="129" t="s">
        <v>78</v>
      </c>
      <c r="C68" s="118">
        <f>_xlfn.IFNA(INDEX('2019'!$C$6:$R$55,MATCH(C$4,'2019'!$B$6:$B$55,0),MATCH($B68,'2019'!$C$1:$R$1,0)),0)</f>
        <v>4</v>
      </c>
      <c r="D68" s="118">
        <f>_xlfn.IFNA(INDEX('2019'!$C$6:$R$55,MATCH(D$4,'2019'!$B$6:$B$55,0),MATCH($B68,'2019'!$C$1:$R$1,0)),0)</f>
        <v>1113</v>
      </c>
      <c r="E68" s="118">
        <f>_xlfn.IFNA(INDEX('2019'!$C$6:$R$55,MATCH(E$4,'2019'!$B$6:$B$55,0),MATCH($B68,'2019'!$C$1:$R$1,0)),0)</f>
        <v>0</v>
      </c>
      <c r="F68" s="118">
        <f>_xlfn.IFNA(INDEX('2019'!$C$6:$R$55,MATCH(F$4,'2019'!$B$6:$B$55,0),MATCH($B68,'2019'!$C$1:$R$1,0)),0)</f>
        <v>6651</v>
      </c>
      <c r="G68" s="118">
        <f>_xlfn.IFNA(INDEX('2019'!$C$6:$R$55,MATCH(G$4,'2019'!$B$6:$B$55,0),MATCH($B68,'2019'!$C$1:$R$1,0)),0)</f>
        <v>318</v>
      </c>
      <c r="H68" s="118">
        <f>_xlfn.IFNA(INDEX('2019'!$C$6:$R$55,MATCH(H$4,'2019'!$B$6:$B$55,0),MATCH($B68,'2019'!$C$1:$R$1,0)),0)</f>
        <v>1258</v>
      </c>
      <c r="I68" s="118">
        <f>_xlfn.IFNA(INDEX('2019'!$C$6:$R$55,MATCH(I$4,'2019'!$B$6:$B$55,0),MATCH($B68,'2019'!$C$1:$R$1,0)),0)</f>
        <v>130</v>
      </c>
      <c r="J68" s="118">
        <f>_xlfn.IFNA(INDEX('2019'!$C$6:$R$55,MATCH(J$4,'2019'!$B$6:$B$55,0),MATCH($B68,'2019'!$C$1:$R$1,0)),0)</f>
        <v>2111</v>
      </c>
      <c r="K68" s="118">
        <f>_xlfn.IFNA(INDEX('2019'!$C$6:$R$55,MATCH(K$4,'2019'!$B$6:$B$55,0),MATCH($B68,'2019'!$C$1:$R$1,0)),0)</f>
        <v>21064</v>
      </c>
      <c r="L68" s="118">
        <f>_xlfn.IFNA(INDEX('2019'!$C$6:$R$55,MATCH(L$4,'2019'!$B$6:$B$55,0),MATCH($B68,'2019'!$C$1:$R$1,0)),0)</f>
        <v>48238</v>
      </c>
      <c r="M68" s="118">
        <f>_xlfn.IFNA(INDEX('2019'!$C$6:$R$55,MATCH(M$4,'2019'!$B$6:$B$55,0),MATCH($B68,'2019'!$C$1:$R$1,0)),0)</f>
        <v>120</v>
      </c>
      <c r="N68" s="118">
        <f>_xlfn.IFNA(INDEX('2019'!$C$6:$R$55,MATCH(N$4,'2019'!$B$6:$B$55,0),MATCH($B68,'2019'!$C$1:$R$1,0)),0)</f>
        <v>0</v>
      </c>
      <c r="O68" s="118">
        <f>_xlfn.IFNA(INDEX('2019'!$C$6:$R$55,MATCH(O$4,'2019'!$B$6:$B$55,0),MATCH($B68,'2019'!$C$1:$R$1,0)),0)</f>
        <v>4616</v>
      </c>
      <c r="P68" s="118">
        <f>SUM(C68:O68)</f>
        <v>85623</v>
      </c>
      <c r="R68" s="128">
        <f>1-R63</f>
        <v>0.5</v>
      </c>
      <c r="S68" s="128" t="s">
        <v>500</v>
      </c>
    </row>
    <row r="69" spans="2:19" ht="12.75" customHeight="1">
      <c r="B69" s="129" t="s">
        <v>80</v>
      </c>
      <c r="C69" s="118">
        <f>_xlfn.IFNA(INDEX('2019'!$C$6:$R$55,MATCH(C$4,'2019'!$B$6:$B$55,0),MATCH($B69,'2019'!$C$1:$R$1,0)),0)</f>
        <v>0</v>
      </c>
      <c r="D69" s="118">
        <f>_xlfn.IFNA(INDEX('2019'!$C$6:$R$55,MATCH(D$4,'2019'!$B$6:$B$55,0),MATCH($B69,'2019'!$C$1:$R$1,0)),0)</f>
        <v>8748</v>
      </c>
      <c r="E69" s="118">
        <f>_xlfn.IFNA(INDEX('2019'!$C$6:$R$55,MATCH(E$4,'2019'!$B$6:$B$55,0),MATCH($B69,'2019'!$C$1:$R$1,0)),0)</f>
        <v>238</v>
      </c>
      <c r="F69" s="118">
        <f>_xlfn.IFNA(INDEX('2019'!$C$6:$R$55,MATCH(F$4,'2019'!$B$6:$B$55,0),MATCH($B69,'2019'!$C$1:$R$1,0)),0)</f>
        <v>53692</v>
      </c>
      <c r="G69" s="118">
        <f>_xlfn.IFNA(INDEX('2019'!$C$6:$R$55,MATCH(G$4,'2019'!$B$6:$B$55,0),MATCH($B69,'2019'!$C$1:$R$1,0)),0)</f>
        <v>0</v>
      </c>
      <c r="H69" s="118">
        <f>_xlfn.IFNA(INDEX('2019'!$C$6:$R$55,MATCH(H$4,'2019'!$B$6:$B$55,0),MATCH($B69,'2019'!$C$1:$R$1,0)),0)</f>
        <v>781</v>
      </c>
      <c r="I69" s="118">
        <f>_xlfn.IFNA(INDEX('2019'!$C$6:$R$55,MATCH(I$4,'2019'!$B$6:$B$55,0),MATCH($B69,'2019'!$C$1:$R$1,0)),0)</f>
        <v>0</v>
      </c>
      <c r="J69" s="118">
        <f>_xlfn.IFNA(INDEX('2019'!$C$6:$R$55,MATCH(J$4,'2019'!$B$6:$B$55,0),MATCH($B69,'2019'!$C$1:$R$1,0)),0)</f>
        <v>0</v>
      </c>
      <c r="K69" s="118">
        <f>_xlfn.IFNA(INDEX('2019'!$C$6:$R$55,MATCH(K$4,'2019'!$B$6:$B$55,0),MATCH($B69,'2019'!$C$1:$R$1,0)),0)</f>
        <v>12446</v>
      </c>
      <c r="L69" s="118">
        <f>_xlfn.IFNA(INDEX('2019'!$C$6:$R$55,MATCH(L$4,'2019'!$B$6:$B$55,0),MATCH($B69,'2019'!$C$1:$R$1,0)),0)</f>
        <v>149</v>
      </c>
      <c r="M69" s="118">
        <f>_xlfn.IFNA(INDEX('2019'!$C$6:$R$55,MATCH(M$4,'2019'!$B$6:$B$55,0),MATCH($B69,'2019'!$C$1:$R$1,0)),0)</f>
        <v>0</v>
      </c>
      <c r="N69" s="118">
        <f>_xlfn.IFNA(INDEX('2019'!$C$6:$R$55,MATCH(N$4,'2019'!$B$6:$B$55,0),MATCH($B69,'2019'!$C$1:$R$1,0)),0)</f>
        <v>0</v>
      </c>
      <c r="O69" s="118">
        <f>_xlfn.IFNA(INDEX('2019'!$C$6:$R$55,MATCH(O$4,'2019'!$B$6:$B$55,0),MATCH($B69,'2019'!$C$1:$R$1,0)),0)</f>
        <v>3</v>
      </c>
      <c r="P69" s="118">
        <f t="shared" ref="P69:P71" si="10">SUM(C69:O69)</f>
        <v>76057</v>
      </c>
    </row>
    <row r="70" spans="2:19" ht="12.75" customHeight="1">
      <c r="B70" s="129" t="s">
        <v>50</v>
      </c>
      <c r="C70" s="118">
        <f>_xlfn.IFNA(INDEX('2019'!$C$6:$R$55,MATCH(C$4,'2019'!$B$6:$B$55,0),MATCH($B70,'2019'!$C$1:$R$1,0)),0)</f>
        <v>87739.199999999997</v>
      </c>
      <c r="D70" s="118">
        <f>_xlfn.IFNA(INDEX('2019'!$C$6:$R$55,MATCH(D$4,'2019'!$B$6:$B$55,0),MATCH($B70,'2019'!$C$1:$R$1,0)),0)</f>
        <v>189748.8</v>
      </c>
      <c r="E70" s="118">
        <f>_xlfn.IFNA(INDEX('2019'!$C$6:$R$55,MATCH(E$4,'2019'!$B$6:$B$55,0),MATCH($B70,'2019'!$C$1:$R$1,0)),0)</f>
        <v>54954</v>
      </c>
      <c r="F70" s="118">
        <f>_xlfn.IFNA(INDEX('2019'!$C$6:$R$55,MATCH(F$4,'2019'!$B$6:$B$55,0),MATCH($B70,'2019'!$C$1:$R$1,0)),0)</f>
        <v>44971.199999999997</v>
      </c>
      <c r="G70" s="118">
        <f>_xlfn.IFNA(INDEX('2019'!$C$6:$R$55,MATCH(G$4,'2019'!$B$6:$B$55,0),MATCH($B70,'2019'!$C$1:$R$1,0)),0)</f>
        <v>61120.800000000003</v>
      </c>
      <c r="H70" s="118">
        <f>_xlfn.IFNA(INDEX('2019'!$C$6:$R$55,MATCH(H$4,'2019'!$B$6:$B$55,0),MATCH($B70,'2019'!$C$1:$R$1,0)),0)</f>
        <v>118558.8</v>
      </c>
      <c r="I70" s="118">
        <f>_xlfn.IFNA(INDEX('2019'!$C$6:$R$55,MATCH(I$4,'2019'!$B$6:$B$55,0),MATCH($B70,'2019'!$C$1:$R$1,0)),0)</f>
        <v>6440.4</v>
      </c>
      <c r="J70" s="118">
        <f>_xlfn.IFNA(INDEX('2019'!$C$6:$R$55,MATCH(J$4,'2019'!$B$6:$B$55,0),MATCH($B70,'2019'!$C$1:$R$1,0)),0)</f>
        <v>67237.2</v>
      </c>
      <c r="K70" s="118">
        <f>_xlfn.IFNA(INDEX('2019'!$C$6:$R$55,MATCH(K$4,'2019'!$B$6:$B$55,0),MATCH($B70,'2019'!$C$1:$R$1,0)),0)</f>
        <v>71236.800000000003</v>
      </c>
      <c r="L70" s="118">
        <f>_xlfn.IFNA(INDEX('2019'!$C$6:$R$55,MATCH(L$4,'2019'!$B$6:$B$55,0),MATCH($B70,'2019'!$C$1:$R$1,0)),0)</f>
        <v>16434</v>
      </c>
      <c r="M70" s="118">
        <f>_xlfn.IFNA(INDEX('2019'!$C$6:$R$55,MATCH(M$4,'2019'!$B$6:$B$55,0),MATCH($B70,'2019'!$C$1:$R$1,0)),0)</f>
        <v>7005.6</v>
      </c>
      <c r="N70" s="118">
        <f>_xlfn.IFNA(INDEX('2019'!$C$6:$R$55,MATCH(N$4,'2019'!$B$6:$B$55,0),MATCH($B70,'2019'!$C$1:$R$1,0)),0)</f>
        <v>17344.8</v>
      </c>
      <c r="O70" s="118">
        <f>_xlfn.IFNA(INDEX('2019'!$C$6:$R$55,MATCH(O$4,'2019'!$B$6:$B$55,0),MATCH($B70,'2019'!$C$1:$R$1,0)),0)</f>
        <v>60969.599999999999</v>
      </c>
      <c r="P70" s="118">
        <f t="shared" si="10"/>
        <v>803761.20000000007</v>
      </c>
    </row>
    <row r="71" spans="2:19" ht="12.75" customHeight="1">
      <c r="B71" s="130" t="s">
        <v>52</v>
      </c>
      <c r="C71" s="118">
        <f>_xlfn.IFNA(INDEX('2019'!$C$6:$R$55,MATCH(C$4,'2019'!$B$6:$B$55,0),MATCH($B71,'2019'!$C$1:$R$1,0)),0)</f>
        <v>1410</v>
      </c>
      <c r="D71" s="118">
        <f>_xlfn.IFNA(INDEX('2019'!$C$6:$R$55,MATCH(D$4,'2019'!$B$6:$B$55,0),MATCH($B71,'2019'!$C$1:$R$1,0)),0)</f>
        <v>105172</v>
      </c>
      <c r="E71" s="118">
        <f>_xlfn.IFNA(INDEX('2019'!$C$6:$R$55,MATCH(E$4,'2019'!$B$6:$B$55,0),MATCH($B71,'2019'!$C$1:$R$1,0)),0)</f>
        <v>1131</v>
      </c>
      <c r="F71" s="118">
        <f>_xlfn.IFNA(INDEX('2019'!$C$6:$R$55,MATCH(F$4,'2019'!$B$6:$B$55,0),MATCH($B71,'2019'!$C$1:$R$1,0)),0)</f>
        <v>889</v>
      </c>
      <c r="G71" s="118">
        <f>_xlfn.IFNA(INDEX('2019'!$C$6:$R$55,MATCH(G$4,'2019'!$B$6:$B$55,0),MATCH($B71,'2019'!$C$1:$R$1,0)),0)</f>
        <v>12126</v>
      </c>
      <c r="H71" s="118">
        <f>_xlfn.IFNA(INDEX('2019'!$C$6:$R$55,MATCH(H$4,'2019'!$B$6:$B$55,0),MATCH($B71,'2019'!$C$1:$R$1,0)),0)</f>
        <v>10178</v>
      </c>
      <c r="I71" s="118">
        <f>_xlfn.IFNA(INDEX('2019'!$C$6:$R$55,MATCH(I$4,'2019'!$B$6:$B$55,0),MATCH($B71,'2019'!$C$1:$R$1,0)),0)</f>
        <v>194</v>
      </c>
      <c r="J71" s="118">
        <f>_xlfn.IFNA(INDEX('2019'!$C$6:$R$55,MATCH(J$4,'2019'!$B$6:$B$55,0),MATCH($B71,'2019'!$C$1:$R$1,0)),0)</f>
        <v>11956</v>
      </c>
      <c r="K71" s="118">
        <f>_xlfn.IFNA(INDEX('2019'!$C$6:$R$55,MATCH(K$4,'2019'!$B$6:$B$55,0),MATCH($B71,'2019'!$C$1:$R$1,0)),0)</f>
        <v>26801</v>
      </c>
      <c r="L71" s="118">
        <f>_xlfn.IFNA(INDEX('2019'!$C$6:$R$55,MATCH(L$4,'2019'!$B$6:$B$55,0),MATCH($B71,'2019'!$C$1:$R$1,0)),0)</f>
        <v>2227</v>
      </c>
      <c r="M71" s="118">
        <f>_xlfn.IFNA(INDEX('2019'!$C$6:$R$55,MATCH(M$4,'2019'!$B$6:$B$55,0),MATCH($B71,'2019'!$C$1:$R$1,0)),0)</f>
        <v>544</v>
      </c>
      <c r="N71" s="118">
        <f>_xlfn.IFNA(INDEX('2019'!$C$6:$R$55,MATCH(N$4,'2019'!$B$6:$B$55,0),MATCH($B71,'2019'!$C$1:$R$1,0)),0)</f>
        <v>0</v>
      </c>
      <c r="O71" s="118">
        <f>_xlfn.IFNA(INDEX('2019'!$C$6:$R$55,MATCH(O$4,'2019'!$B$6:$B$55,0),MATCH($B71,'2019'!$C$1:$R$1,0)),0)</f>
        <v>6585</v>
      </c>
      <c r="P71" s="118">
        <f t="shared" si="10"/>
        <v>179213</v>
      </c>
    </row>
    <row r="72" spans="2:19" ht="12.75" customHeight="1">
      <c r="B72" s="129" t="s">
        <v>434</v>
      </c>
      <c r="C72" s="118">
        <f>_xlfn.IFNA(INDEX('2019'!$C$6:$R$55,MATCH(C$4,'2019'!$B$6:$B$55,0),MATCH($B72,'2019'!$C$1:$R$1,0)),0)</f>
        <v>0</v>
      </c>
      <c r="D72" s="118">
        <f>_xlfn.IFNA(INDEX('2019'!$C$6:$R$55,MATCH(D$4,'2019'!$B$6:$B$55,0),MATCH($B72,'2019'!$C$1:$R$1,0)),0)</f>
        <v>0</v>
      </c>
      <c r="E72" s="118">
        <f>_xlfn.IFNA(INDEX('2019'!$C$6:$R$55,MATCH(E$4,'2019'!$B$6:$B$55,0),MATCH($B72,'2019'!$C$1:$R$1,0)),0)</f>
        <v>0</v>
      </c>
      <c r="F72" s="118">
        <f>_xlfn.IFNA(INDEX('2019'!$C$6:$R$55,MATCH(F$4,'2019'!$B$6:$B$55,0),MATCH($B72,'2019'!$C$1:$R$1,0)),0)</f>
        <v>0</v>
      </c>
      <c r="G72" s="118">
        <f>_xlfn.IFNA(INDEX('2019'!$C$6:$R$55,MATCH(G$4,'2019'!$B$6:$B$55,0),MATCH($B72,'2019'!$C$1:$R$1,0)),0)</f>
        <v>0</v>
      </c>
      <c r="H72" s="118">
        <f>_xlfn.IFNA(INDEX('2019'!$C$6:$R$55,MATCH(H$4,'2019'!$B$6:$B$55,0),MATCH($B72,'2019'!$C$1:$R$1,0)),0)</f>
        <v>0</v>
      </c>
      <c r="I72" s="118">
        <f>_xlfn.IFNA(INDEX('2019'!$C$6:$R$55,MATCH(I$4,'2019'!$B$6:$B$55,0),MATCH($B72,'2019'!$C$1:$R$1,0)),0)</f>
        <v>0</v>
      </c>
      <c r="J72" s="118">
        <f>_xlfn.IFNA(INDEX('2019'!$C$6:$R$55,MATCH(J$4,'2019'!$B$6:$B$55,0),MATCH($B72,'2019'!$C$1:$R$1,0)),0)</f>
        <v>0</v>
      </c>
      <c r="K72" s="118">
        <f>_xlfn.IFNA(INDEX('2019'!$C$6:$R$55,MATCH(K$4,'2019'!$B$6:$B$55,0),MATCH($B72,'2019'!$C$1:$R$1,0)),0)</f>
        <v>0</v>
      </c>
      <c r="L72" s="118">
        <f>_xlfn.IFNA(INDEX('2019'!$C$6:$R$55,MATCH(L$4,'2019'!$B$6:$B$55,0),MATCH($B72,'2019'!$C$1:$R$1,0)),0)</f>
        <v>0</v>
      </c>
      <c r="M72" s="118">
        <f>_xlfn.IFNA(INDEX('2019'!$C$6:$R$55,MATCH(M$4,'2019'!$B$6:$B$55,0),MATCH($B72,'2019'!$C$1:$R$1,0)),0)</f>
        <v>0</v>
      </c>
      <c r="N72" s="118">
        <f>_xlfn.IFNA(INDEX('2019'!$C$6:$R$55,MATCH(N$4,'2019'!$B$6:$B$55,0),MATCH($B72,'2019'!$C$1:$R$1,0)),0)</f>
        <v>0</v>
      </c>
      <c r="O72" s="118">
        <f>_xlfn.IFNA(INDEX('2019'!$C$6:$R$55,MATCH(O$4,'2019'!$B$6:$B$55,0),MATCH($B72,'2019'!$C$1:$R$1,0)),0)</f>
        <v>0</v>
      </c>
      <c r="P72" s="118">
        <f t="shared" ref="P72" si="11">SUM(P63:P69)</f>
        <v>167752.65299999999</v>
      </c>
    </row>
    <row r="73" spans="2:19" ht="12.75" customHeight="1">
      <c r="B73" s="118" t="s">
        <v>499</v>
      </c>
      <c r="C73" s="118">
        <f t="shared" ref="C73:O73" si="12">SUM(C55:C71)</f>
        <v>297945.03499999997</v>
      </c>
      <c r="D73" s="118">
        <f t="shared" si="12"/>
        <v>567086.0689999999</v>
      </c>
      <c r="E73" s="118">
        <f t="shared" si="12"/>
        <v>94138.953999999998</v>
      </c>
      <c r="F73" s="118">
        <f t="shared" si="12"/>
        <v>271439.397</v>
      </c>
      <c r="G73" s="118">
        <f t="shared" si="12"/>
        <v>120206.201</v>
      </c>
      <c r="H73" s="118">
        <f t="shared" si="12"/>
        <v>214167.62300000002</v>
      </c>
      <c r="I73" s="118">
        <f t="shared" si="12"/>
        <v>14305.366</v>
      </c>
      <c r="J73" s="118">
        <f t="shared" si="12"/>
        <v>213476.288</v>
      </c>
      <c r="K73" s="118">
        <f t="shared" si="12"/>
        <v>223894.31700000001</v>
      </c>
      <c r="L73" s="118">
        <f t="shared" si="12"/>
        <v>72305.264999999999</v>
      </c>
      <c r="M73" s="118">
        <f t="shared" si="12"/>
        <v>17319.823</v>
      </c>
      <c r="N73" s="118">
        <f t="shared" si="12"/>
        <v>102209.42200000001</v>
      </c>
      <c r="O73" s="118">
        <f t="shared" si="12"/>
        <v>108956.845</v>
      </c>
      <c r="P73" s="118">
        <f>SUM(C73:O73)</f>
        <v>2317450.605</v>
      </c>
    </row>
    <row r="74" spans="2:19" ht="12.75" customHeight="1">
      <c r="B74" s="118" t="s">
        <v>57</v>
      </c>
      <c r="C74" s="118">
        <f>_xlfn.IFNA(INDEX('2019'!$C$6:$S$55,MATCH(C$4,'2019'!$B$6:$B$55,0),MATCH($B74,'2019'!$C$1:$S$1,0)),0)</f>
        <v>298073.03499999997</v>
      </c>
      <c r="D74" s="118">
        <f>_xlfn.IFNA(INDEX('2019'!$C$6:$S$55,MATCH(D$4,'2019'!$B$6:$B$55,0),MATCH($B74,'2019'!$C$1:$S$1,0)),0)</f>
        <v>567566.0689999999</v>
      </c>
      <c r="E74" s="118">
        <f>_xlfn.IFNA(INDEX('2019'!$C$6:$S$55,MATCH(E$4,'2019'!$B$6:$B$55,0),MATCH($B74,'2019'!$C$1:$S$1,0)),0)</f>
        <v>94496.459000000003</v>
      </c>
      <c r="F74" s="118">
        <f>_xlfn.IFNA(INDEX('2019'!$C$6:$S$55,MATCH(F$4,'2019'!$B$6:$B$55,0),MATCH($B74,'2019'!$C$1:$S$1,0)),0)</f>
        <v>281834.08399999997</v>
      </c>
      <c r="G74" s="118">
        <f>_xlfn.IFNA(INDEX('2019'!$C$6:$S$55,MATCH(G$4,'2019'!$B$6:$B$55,0),MATCH($B74,'2019'!$C$1:$S$1,0)),0)</f>
        <v>120245.702</v>
      </c>
      <c r="H74" s="118">
        <f>_xlfn.IFNA(INDEX('2019'!$C$6:$S$55,MATCH(H$4,'2019'!$B$6:$B$55,0),MATCH($B74,'2019'!$C$1:$S$1,0)),0)</f>
        <v>214286.12599999999</v>
      </c>
      <c r="I74" s="118">
        <f>_xlfn.IFNA(INDEX('2019'!$C$6:$S$55,MATCH(I$4,'2019'!$B$6:$B$55,0),MATCH($B74,'2019'!$C$1:$S$1,0)),0)</f>
        <v>14600.867</v>
      </c>
      <c r="J74" s="118">
        <f>_xlfn.IFNA(INDEX('2019'!$C$6:$S$55,MATCH(J$4,'2019'!$B$6:$B$55,0),MATCH($B74,'2019'!$C$1:$S$1,0)),0)</f>
        <v>213476.28799999997</v>
      </c>
      <c r="K74" s="118">
        <f>_xlfn.IFNA(INDEX('2019'!$C$6:$S$55,MATCH(K$4,'2019'!$B$6:$B$55,0),MATCH($B74,'2019'!$C$1:$S$1,0)),0)</f>
        <v>223933.818</v>
      </c>
      <c r="L74" s="118">
        <f>_xlfn.IFNA(INDEX('2019'!$C$6:$S$55,MATCH(L$4,'2019'!$B$6:$B$55,0),MATCH($B74,'2019'!$C$1:$S$1,0)),0)</f>
        <v>72305.264999999999</v>
      </c>
      <c r="M74" s="118">
        <f>_xlfn.IFNA(INDEX('2019'!$C$6:$S$55,MATCH(M$4,'2019'!$B$6:$B$55,0),MATCH($B74,'2019'!$C$1:$S$1,0)),0)</f>
        <v>17319.823</v>
      </c>
      <c r="N74" s="118">
        <f>_xlfn.IFNA(INDEX('2019'!$C$6:$S$55,MATCH(N$4,'2019'!$B$6:$B$55,0),MATCH($B74,'2019'!$C$1:$S$1,0)),0)</f>
        <v>102209.42200000001</v>
      </c>
      <c r="O74" s="118">
        <f>_xlfn.IFNA(INDEX('2019'!$C$6:$S$55,MATCH(O$4,'2019'!$B$6:$B$55,0),MATCH($B74,'2019'!$C$1:$S$1,0)),0)</f>
        <v>109114.849</v>
      </c>
      <c r="P74" s="118">
        <f>SUM(C74:O74)</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518</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538</v>
      </c>
      <c r="C9" s="411" t="str">
        <f>B9</f>
        <v>01 Iron and steel</v>
      </c>
      <c r="D9" s="411" t="str">
        <f>C9</f>
        <v>01 Iron and steel</v>
      </c>
      <c r="E9" s="411" t="s">
        <v>539</v>
      </c>
      <c r="F9" s="411" t="str">
        <f>E9</f>
        <v>02 Chemical and petrochemical</v>
      </c>
      <c r="G9" s="411" t="str">
        <f>F9</f>
        <v>02 Chemical and petrochemical</v>
      </c>
      <c r="H9" s="411" t="s">
        <v>540</v>
      </c>
      <c r="I9" s="411" t="str">
        <f>H9</f>
        <v>03 Non-ferrous metal</v>
      </c>
      <c r="J9" s="411" t="str">
        <f>I9</f>
        <v>03 Non-ferrous metal</v>
      </c>
      <c r="K9" s="411" t="s">
        <v>541</v>
      </c>
      <c r="L9" s="411" t="str">
        <f>K9</f>
        <v>04 Non-metallic minerals</v>
      </c>
      <c r="M9" s="411" t="str">
        <f>L9</f>
        <v>04 Non-metallic minerals</v>
      </c>
      <c r="N9" s="411" t="s">
        <v>542</v>
      </c>
      <c r="O9" s="411" t="str">
        <f>N9</f>
        <v>05 Transport equipment</v>
      </c>
      <c r="P9" s="411" t="str">
        <f>O9</f>
        <v>05 Transport equipment</v>
      </c>
      <c r="Q9" s="411" t="s">
        <v>543</v>
      </c>
      <c r="R9" s="411" t="str">
        <f>Q9</f>
        <v>06 Machinery</v>
      </c>
      <c r="S9" s="411" t="str">
        <f>R9</f>
        <v>06 Machinery</v>
      </c>
      <c r="T9" s="411" t="s">
        <v>544</v>
      </c>
      <c r="U9" s="411" t="str">
        <f>T9</f>
        <v>07 Mining and quarrying</v>
      </c>
      <c r="V9" s="411" t="str">
        <f>U9</f>
        <v>07 Mining and quarrying</v>
      </c>
      <c r="W9" s="411" t="s">
        <v>545</v>
      </c>
      <c r="X9" s="411" t="str">
        <f>W9</f>
        <v>08 Food and tobacco</v>
      </c>
      <c r="Y9" s="411" t="str">
        <f>X9</f>
        <v>08 Food and tobacco</v>
      </c>
      <c r="Z9" s="411" t="s">
        <v>546</v>
      </c>
      <c r="AA9" s="411" t="str">
        <f>Z9</f>
        <v>09 Paper, pulp and printing</v>
      </c>
      <c r="AB9" s="411" t="str">
        <f>AA9</f>
        <v>09 Paper, pulp and printing</v>
      </c>
      <c r="AC9" s="411" t="s">
        <v>547</v>
      </c>
      <c r="AD9" s="411" t="str">
        <f>AC9</f>
        <v>010 Wood and wood products</v>
      </c>
      <c r="AE9" s="411" t="str">
        <f>AD9</f>
        <v>010 Wood and wood products</v>
      </c>
      <c r="AF9" s="411" t="s">
        <v>548</v>
      </c>
      <c r="AG9" s="411" t="str">
        <f>AF9</f>
        <v>011 Textile and leather</v>
      </c>
      <c r="AH9" s="411" t="str">
        <f>AG9</f>
        <v>011 Textile and leather</v>
      </c>
      <c r="AI9" s="411" t="s">
        <v>549</v>
      </c>
      <c r="AJ9" s="411" t="str">
        <f>AI9</f>
        <v>012 Construction</v>
      </c>
      <c r="AK9" s="411" t="str">
        <f>AJ9</f>
        <v>012 Construction</v>
      </c>
      <c r="AL9" s="411" t="s">
        <v>550</v>
      </c>
      <c r="AM9" s="411" t="str">
        <f>AL9</f>
        <v>013 Non-specified</v>
      </c>
      <c r="AN9" s="411" t="str">
        <f>AM9</f>
        <v>013 Non-specified</v>
      </c>
    </row>
    <row r="14" spans="1:40" s="443" customFormat="1"/>
    <row r="15" spans="1:40" ht="15" customHeight="1">
      <c r="C15" s="661" t="s">
        <v>366</v>
      </c>
      <c r="D15" s="661"/>
      <c r="E15" s="661" t="s">
        <v>367</v>
      </c>
      <c r="F15" s="661"/>
      <c r="G15" s="412"/>
      <c r="H15" s="661" t="s">
        <v>368</v>
      </c>
      <c r="I15" s="661"/>
      <c r="J15" s="661"/>
      <c r="L15" s="661" t="s">
        <v>369</v>
      </c>
      <c r="M15" s="661"/>
      <c r="N15" s="661"/>
      <c r="P15" s="661" t="s">
        <v>370</v>
      </c>
      <c r="Q15" s="661"/>
      <c r="R15" s="661"/>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63"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63"/>
      <c r="B18" s="415" t="s">
        <v>373</v>
      </c>
      <c r="C18" s="662">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63"/>
      <c r="B19" s="415" t="s">
        <v>374</v>
      </c>
      <c r="C19" s="662"/>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63"/>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63"/>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63"/>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63"/>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63"/>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63"/>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63"/>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63"/>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63"/>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64"/>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65"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63"/>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63"/>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63"/>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63"/>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63"/>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59"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59"/>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60" t="s">
        <v>396</v>
      </c>
      <c r="B41" s="411" t="s">
        <v>397</v>
      </c>
      <c r="C41" s="411">
        <v>14.391</v>
      </c>
      <c r="D41" s="411">
        <v>13.577999999999999</v>
      </c>
    </row>
    <row r="42" spans="1:18">
      <c r="A42" s="660"/>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W55"/>
  <sheetViews>
    <sheetView showGridLines="0" zoomScale="85" zoomScaleNormal="85" workbookViewId="0">
      <pane xSplit="3" ySplit="5" topLeftCell="L24" activePane="bottomRight" state="frozen"/>
      <selection activeCell="B2" sqref="B2:AA2"/>
      <selection pane="topRight" activeCell="B2" sqref="B2:AA2"/>
      <selection pane="bottomLeft" activeCell="B2" sqref="B2:AA2"/>
      <selection pane="bottomRight" activeCell="U45" sqref="U45"/>
    </sheetView>
  </sheetViews>
  <sheetFormatPr baseColWidth="10" defaultColWidth="9.1640625" defaultRowHeight="14"/>
  <cols>
    <col min="1" max="1" width="5.6640625" style="461" customWidth="1"/>
    <col min="2" max="2" width="35.6640625" style="461" customWidth="1"/>
    <col min="3" max="18" width="11.6640625" style="461" customWidth="1"/>
    <col min="19" max="19" width="14.33203125" style="461" customWidth="1"/>
    <col min="20" max="254" width="9.1640625" style="461"/>
    <col min="255" max="255" width="5.6640625" style="461" customWidth="1"/>
    <col min="256" max="256" width="35.6640625" style="461" customWidth="1"/>
    <col min="257" max="274" width="11.6640625" style="461" customWidth="1"/>
    <col min="275" max="510" width="9.1640625" style="461"/>
    <col min="511" max="511" width="5.6640625" style="461" customWidth="1"/>
    <col min="512" max="512" width="35.6640625" style="461" customWidth="1"/>
    <col min="513" max="530" width="11.6640625" style="461" customWidth="1"/>
    <col min="531" max="766" width="9.1640625" style="461"/>
    <col min="767" max="767" width="5.6640625" style="461" customWidth="1"/>
    <col min="768" max="768" width="35.6640625" style="461" customWidth="1"/>
    <col min="769" max="786" width="11.6640625" style="461" customWidth="1"/>
    <col min="787" max="1022" width="9.1640625" style="461"/>
    <col min="1023" max="1023" width="5.6640625" style="461" customWidth="1"/>
    <col min="1024" max="1024" width="35.6640625" style="461" customWidth="1"/>
    <col min="1025" max="1042" width="11.6640625" style="461" customWidth="1"/>
    <col min="1043" max="1278" width="9.1640625" style="461"/>
    <col min="1279" max="1279" width="5.6640625" style="461" customWidth="1"/>
    <col min="1280" max="1280" width="35.6640625" style="461" customWidth="1"/>
    <col min="1281" max="1298" width="11.6640625" style="461" customWidth="1"/>
    <col min="1299" max="1534" width="9.1640625" style="461"/>
    <col min="1535" max="1535" width="5.6640625" style="461" customWidth="1"/>
    <col min="1536" max="1536" width="35.6640625" style="461" customWidth="1"/>
    <col min="1537" max="1554" width="11.6640625" style="461" customWidth="1"/>
    <col min="1555" max="1790" width="9.1640625" style="461"/>
    <col min="1791" max="1791" width="5.6640625" style="461" customWidth="1"/>
    <col min="1792" max="1792" width="35.6640625" style="461" customWidth="1"/>
    <col min="1793" max="1810" width="11.6640625" style="461" customWidth="1"/>
    <col min="1811" max="2046" width="9.1640625" style="461"/>
    <col min="2047" max="2047" width="5.6640625" style="461" customWidth="1"/>
    <col min="2048" max="2048" width="35.6640625" style="461" customWidth="1"/>
    <col min="2049" max="2066" width="11.6640625" style="461" customWidth="1"/>
    <col min="2067" max="2302" width="9.1640625" style="461"/>
    <col min="2303" max="2303" width="5.6640625" style="461" customWidth="1"/>
    <col min="2304" max="2304" width="35.6640625" style="461" customWidth="1"/>
    <col min="2305" max="2322" width="11.6640625" style="461" customWidth="1"/>
    <col min="2323" max="2558" width="9.1640625" style="461"/>
    <col min="2559" max="2559" width="5.6640625" style="461" customWidth="1"/>
    <col min="2560" max="2560" width="35.6640625" style="461" customWidth="1"/>
    <col min="2561" max="2578" width="11.6640625" style="461" customWidth="1"/>
    <col min="2579" max="2814" width="9.1640625" style="461"/>
    <col min="2815" max="2815" width="5.6640625" style="461" customWidth="1"/>
    <col min="2816" max="2816" width="35.6640625" style="461" customWidth="1"/>
    <col min="2817" max="2834" width="11.6640625" style="461" customWidth="1"/>
    <col min="2835" max="3070" width="9.1640625" style="461"/>
    <col min="3071" max="3071" width="5.6640625" style="461" customWidth="1"/>
    <col min="3072" max="3072" width="35.6640625" style="461" customWidth="1"/>
    <col min="3073" max="3090" width="11.6640625" style="461" customWidth="1"/>
    <col min="3091" max="3326" width="9.1640625" style="461"/>
    <col min="3327" max="3327" width="5.6640625" style="461" customWidth="1"/>
    <col min="3328" max="3328" width="35.6640625" style="461" customWidth="1"/>
    <col min="3329" max="3346" width="11.6640625" style="461" customWidth="1"/>
    <col min="3347" max="3582" width="9.1640625" style="461"/>
    <col min="3583" max="3583" width="5.6640625" style="461" customWidth="1"/>
    <col min="3584" max="3584" width="35.6640625" style="461" customWidth="1"/>
    <col min="3585" max="3602" width="11.6640625" style="461" customWidth="1"/>
    <col min="3603" max="3838" width="9.1640625" style="461"/>
    <col min="3839" max="3839" width="5.6640625" style="461" customWidth="1"/>
    <col min="3840" max="3840" width="35.6640625" style="461" customWidth="1"/>
    <col min="3841" max="3858" width="11.6640625" style="461" customWidth="1"/>
    <col min="3859" max="4094" width="9.1640625" style="461"/>
    <col min="4095" max="4095" width="5.6640625" style="461" customWidth="1"/>
    <col min="4096" max="4096" width="35.6640625" style="461" customWidth="1"/>
    <col min="4097" max="4114" width="11.6640625" style="461" customWidth="1"/>
    <col min="4115" max="4350" width="9.1640625" style="461"/>
    <col min="4351" max="4351" width="5.6640625" style="461" customWidth="1"/>
    <col min="4352" max="4352" width="35.6640625" style="461" customWidth="1"/>
    <col min="4353" max="4370" width="11.6640625" style="461" customWidth="1"/>
    <col min="4371" max="4606" width="9.1640625" style="461"/>
    <col min="4607" max="4607" width="5.6640625" style="461" customWidth="1"/>
    <col min="4608" max="4608" width="35.6640625" style="461" customWidth="1"/>
    <col min="4609" max="4626" width="11.6640625" style="461" customWidth="1"/>
    <col min="4627" max="4862" width="9.1640625" style="461"/>
    <col min="4863" max="4863" width="5.6640625" style="461" customWidth="1"/>
    <col min="4864" max="4864" width="35.6640625" style="461" customWidth="1"/>
    <col min="4865" max="4882" width="11.6640625" style="461" customWidth="1"/>
    <col min="4883" max="5118" width="9.1640625" style="461"/>
    <col min="5119" max="5119" width="5.6640625" style="461" customWidth="1"/>
    <col min="5120" max="5120" width="35.6640625" style="461" customWidth="1"/>
    <col min="5121" max="5138" width="11.6640625" style="461" customWidth="1"/>
    <col min="5139" max="5374" width="9.1640625" style="461"/>
    <col min="5375" max="5375" width="5.6640625" style="461" customWidth="1"/>
    <col min="5376" max="5376" width="35.6640625" style="461" customWidth="1"/>
    <col min="5377" max="5394" width="11.6640625" style="461" customWidth="1"/>
    <col min="5395" max="5630" width="9.1640625" style="461"/>
    <col min="5631" max="5631" width="5.6640625" style="461" customWidth="1"/>
    <col min="5632" max="5632" width="35.6640625" style="461" customWidth="1"/>
    <col min="5633" max="5650" width="11.6640625" style="461" customWidth="1"/>
    <col min="5651" max="5886" width="9.1640625" style="461"/>
    <col min="5887" max="5887" width="5.6640625" style="461" customWidth="1"/>
    <col min="5888" max="5888" width="35.6640625" style="461" customWidth="1"/>
    <col min="5889" max="5906" width="11.6640625" style="461" customWidth="1"/>
    <col min="5907" max="6142" width="9.1640625" style="461"/>
    <col min="6143" max="6143" width="5.6640625" style="461" customWidth="1"/>
    <col min="6144" max="6144" width="35.6640625" style="461" customWidth="1"/>
    <col min="6145" max="6162" width="11.6640625" style="461" customWidth="1"/>
    <col min="6163" max="6398" width="9.1640625" style="461"/>
    <col min="6399" max="6399" width="5.6640625" style="461" customWidth="1"/>
    <col min="6400" max="6400" width="35.6640625" style="461" customWidth="1"/>
    <col min="6401" max="6418" width="11.6640625" style="461" customWidth="1"/>
    <col min="6419" max="6654" width="9.1640625" style="461"/>
    <col min="6655" max="6655" width="5.6640625" style="461" customWidth="1"/>
    <col min="6656" max="6656" width="35.6640625" style="461" customWidth="1"/>
    <col min="6657" max="6674" width="11.6640625" style="461" customWidth="1"/>
    <col min="6675" max="6910" width="9.1640625" style="461"/>
    <col min="6911" max="6911" width="5.6640625" style="461" customWidth="1"/>
    <col min="6912" max="6912" width="35.6640625" style="461" customWidth="1"/>
    <col min="6913" max="6930" width="11.6640625" style="461" customWidth="1"/>
    <col min="6931" max="7166" width="9.1640625" style="461"/>
    <col min="7167" max="7167" width="5.6640625" style="461" customWidth="1"/>
    <col min="7168" max="7168" width="35.6640625" style="461" customWidth="1"/>
    <col min="7169" max="7186" width="11.6640625" style="461" customWidth="1"/>
    <col min="7187" max="7422" width="9.1640625" style="461"/>
    <col min="7423" max="7423" width="5.6640625" style="461" customWidth="1"/>
    <col min="7424" max="7424" width="35.6640625" style="461" customWidth="1"/>
    <col min="7425" max="7442" width="11.6640625" style="461" customWidth="1"/>
    <col min="7443" max="7678" width="9.1640625" style="461"/>
    <col min="7679" max="7679" width="5.6640625" style="461" customWidth="1"/>
    <col min="7680" max="7680" width="35.6640625" style="461" customWidth="1"/>
    <col min="7681" max="7698" width="11.6640625" style="461" customWidth="1"/>
    <col min="7699" max="7934" width="9.1640625" style="461"/>
    <col min="7935" max="7935" width="5.6640625" style="461" customWidth="1"/>
    <col min="7936" max="7936" width="35.6640625" style="461" customWidth="1"/>
    <col min="7937" max="7954" width="11.6640625" style="461" customWidth="1"/>
    <col min="7955" max="8190" width="9.1640625" style="461"/>
    <col min="8191" max="8191" width="5.6640625" style="461" customWidth="1"/>
    <col min="8192" max="8192" width="35.6640625" style="461" customWidth="1"/>
    <col min="8193" max="8210" width="11.6640625" style="461" customWidth="1"/>
    <col min="8211" max="8446" width="9.1640625" style="461"/>
    <col min="8447" max="8447" width="5.6640625" style="461" customWidth="1"/>
    <col min="8448" max="8448" width="35.6640625" style="461" customWidth="1"/>
    <col min="8449" max="8466" width="11.6640625" style="461" customWidth="1"/>
    <col min="8467" max="8702" width="9.1640625" style="461"/>
    <col min="8703" max="8703" width="5.6640625" style="461" customWidth="1"/>
    <col min="8704" max="8704" width="35.6640625" style="461" customWidth="1"/>
    <col min="8705" max="8722" width="11.6640625" style="461" customWidth="1"/>
    <col min="8723" max="8958" width="9.1640625" style="461"/>
    <col min="8959" max="8959" width="5.6640625" style="461" customWidth="1"/>
    <col min="8960" max="8960" width="35.6640625" style="461" customWidth="1"/>
    <col min="8961" max="8978" width="11.6640625" style="461" customWidth="1"/>
    <col min="8979" max="9214" width="9.1640625" style="461"/>
    <col min="9215" max="9215" width="5.6640625" style="461" customWidth="1"/>
    <col min="9216" max="9216" width="35.6640625" style="461" customWidth="1"/>
    <col min="9217" max="9234" width="11.6640625" style="461" customWidth="1"/>
    <col min="9235" max="9470" width="9.1640625" style="461"/>
    <col min="9471" max="9471" width="5.6640625" style="461" customWidth="1"/>
    <col min="9472" max="9472" width="35.6640625" style="461" customWidth="1"/>
    <col min="9473" max="9490" width="11.6640625" style="461" customWidth="1"/>
    <col min="9491" max="9726" width="9.1640625" style="461"/>
    <col min="9727" max="9727" width="5.6640625" style="461" customWidth="1"/>
    <col min="9728" max="9728" width="35.6640625" style="461" customWidth="1"/>
    <col min="9729" max="9746" width="11.6640625" style="461" customWidth="1"/>
    <col min="9747" max="9982" width="9.1640625" style="461"/>
    <col min="9983" max="9983" width="5.6640625" style="461" customWidth="1"/>
    <col min="9984" max="9984" width="35.6640625" style="461" customWidth="1"/>
    <col min="9985" max="10002" width="11.6640625" style="461" customWidth="1"/>
    <col min="10003" max="10238" width="9.1640625" style="461"/>
    <col min="10239" max="10239" width="5.6640625" style="461" customWidth="1"/>
    <col min="10240" max="10240" width="35.6640625" style="461" customWidth="1"/>
    <col min="10241" max="10258" width="11.6640625" style="461" customWidth="1"/>
    <col min="10259" max="10494" width="9.1640625" style="461"/>
    <col min="10495" max="10495" width="5.6640625" style="461" customWidth="1"/>
    <col min="10496" max="10496" width="35.6640625" style="461" customWidth="1"/>
    <col min="10497" max="10514" width="11.6640625" style="461" customWidth="1"/>
    <col min="10515" max="10750" width="9.1640625" style="461"/>
    <col min="10751" max="10751" width="5.6640625" style="461" customWidth="1"/>
    <col min="10752" max="10752" width="35.6640625" style="461" customWidth="1"/>
    <col min="10753" max="10770" width="11.6640625" style="461" customWidth="1"/>
    <col min="10771" max="11006" width="9.1640625" style="461"/>
    <col min="11007" max="11007" width="5.6640625" style="461" customWidth="1"/>
    <col min="11008" max="11008" width="35.6640625" style="461" customWidth="1"/>
    <col min="11009" max="11026" width="11.6640625" style="461" customWidth="1"/>
    <col min="11027" max="11262" width="9.1640625" style="461"/>
    <col min="11263" max="11263" width="5.6640625" style="461" customWidth="1"/>
    <col min="11264" max="11264" width="35.6640625" style="461" customWidth="1"/>
    <col min="11265" max="11282" width="11.6640625" style="461" customWidth="1"/>
    <col min="11283" max="11518" width="9.1640625" style="461"/>
    <col min="11519" max="11519" width="5.6640625" style="461" customWidth="1"/>
    <col min="11520" max="11520" width="35.6640625" style="461" customWidth="1"/>
    <col min="11521" max="11538" width="11.6640625" style="461" customWidth="1"/>
    <col min="11539" max="11774" width="9.1640625" style="461"/>
    <col min="11775" max="11775" width="5.6640625" style="461" customWidth="1"/>
    <col min="11776" max="11776" width="35.6640625" style="461" customWidth="1"/>
    <col min="11777" max="11794" width="11.6640625" style="461" customWidth="1"/>
    <col min="11795" max="12030" width="9.1640625" style="461"/>
    <col min="12031" max="12031" width="5.6640625" style="461" customWidth="1"/>
    <col min="12032" max="12032" width="35.6640625" style="461" customWidth="1"/>
    <col min="12033" max="12050" width="11.6640625" style="461" customWidth="1"/>
    <col min="12051" max="12286" width="9.1640625" style="461"/>
    <col min="12287" max="12287" width="5.6640625" style="461" customWidth="1"/>
    <col min="12288" max="12288" width="35.6640625" style="461" customWidth="1"/>
    <col min="12289" max="12306" width="11.6640625" style="461" customWidth="1"/>
    <col min="12307" max="12542" width="9.1640625" style="461"/>
    <col min="12543" max="12543" width="5.6640625" style="461" customWidth="1"/>
    <col min="12544" max="12544" width="35.6640625" style="461" customWidth="1"/>
    <col min="12545" max="12562" width="11.6640625" style="461" customWidth="1"/>
    <col min="12563" max="12798" width="9.1640625" style="461"/>
    <col min="12799" max="12799" width="5.6640625" style="461" customWidth="1"/>
    <col min="12800" max="12800" width="35.6640625" style="461" customWidth="1"/>
    <col min="12801" max="12818" width="11.6640625" style="461" customWidth="1"/>
    <col min="12819" max="13054" width="9.1640625" style="461"/>
    <col min="13055" max="13055" width="5.6640625" style="461" customWidth="1"/>
    <col min="13056" max="13056" width="35.6640625" style="461" customWidth="1"/>
    <col min="13057" max="13074" width="11.6640625" style="461" customWidth="1"/>
    <col min="13075" max="13310" width="9.1640625" style="461"/>
    <col min="13311" max="13311" width="5.6640625" style="461" customWidth="1"/>
    <col min="13312" max="13312" width="35.6640625" style="461" customWidth="1"/>
    <col min="13313" max="13330" width="11.6640625" style="461" customWidth="1"/>
    <col min="13331" max="13566" width="9.1640625" style="461"/>
    <col min="13567" max="13567" width="5.6640625" style="461" customWidth="1"/>
    <col min="13568" max="13568" width="35.6640625" style="461" customWidth="1"/>
    <col min="13569" max="13586" width="11.6640625" style="461" customWidth="1"/>
    <col min="13587" max="13822" width="9.1640625" style="461"/>
    <col min="13823" max="13823" width="5.6640625" style="461" customWidth="1"/>
    <col min="13824" max="13824" width="35.6640625" style="461" customWidth="1"/>
    <col min="13825" max="13842" width="11.6640625" style="461" customWidth="1"/>
    <col min="13843" max="14078" width="9.1640625" style="461"/>
    <col min="14079" max="14079" width="5.6640625" style="461" customWidth="1"/>
    <col min="14080" max="14080" width="35.6640625" style="461" customWidth="1"/>
    <col min="14081" max="14098" width="11.6640625" style="461" customWidth="1"/>
    <col min="14099" max="14334" width="9.1640625" style="461"/>
    <col min="14335" max="14335" width="5.6640625" style="461" customWidth="1"/>
    <col min="14336" max="14336" width="35.6640625" style="461" customWidth="1"/>
    <col min="14337" max="14354" width="11.6640625" style="461" customWidth="1"/>
    <col min="14355" max="14590" width="9.1640625" style="461"/>
    <col min="14591" max="14591" width="5.6640625" style="461" customWidth="1"/>
    <col min="14592" max="14592" width="35.6640625" style="461" customWidth="1"/>
    <col min="14593" max="14610" width="11.6640625" style="461" customWidth="1"/>
    <col min="14611" max="14846" width="9.1640625" style="461"/>
    <col min="14847" max="14847" width="5.6640625" style="461" customWidth="1"/>
    <col min="14848" max="14848" width="35.6640625" style="461" customWidth="1"/>
    <col min="14849" max="14866" width="11.6640625" style="461" customWidth="1"/>
    <col min="14867" max="15102" width="9.1640625" style="461"/>
    <col min="15103" max="15103" width="5.6640625" style="461" customWidth="1"/>
    <col min="15104" max="15104" width="35.6640625" style="461" customWidth="1"/>
    <col min="15105" max="15122" width="11.6640625" style="461" customWidth="1"/>
    <col min="15123" max="15358" width="9.1640625" style="461"/>
    <col min="15359" max="15359" width="5.6640625" style="461" customWidth="1"/>
    <col min="15360" max="15360" width="35.6640625" style="461" customWidth="1"/>
    <col min="15361" max="15378" width="11.6640625" style="461" customWidth="1"/>
    <col min="15379" max="15614" width="9.1640625" style="461"/>
    <col min="15615" max="15615" width="5.6640625" style="461" customWidth="1"/>
    <col min="15616" max="15616" width="35.6640625" style="461" customWidth="1"/>
    <col min="15617" max="15634" width="11.6640625" style="461" customWidth="1"/>
    <col min="15635" max="15870" width="9.1640625" style="461"/>
    <col min="15871" max="15871" width="5.6640625" style="461" customWidth="1"/>
    <col min="15872" max="15872" width="35.6640625" style="461" customWidth="1"/>
    <col min="15873" max="15890" width="11.6640625" style="461" customWidth="1"/>
    <col min="15891" max="16126" width="9.1640625" style="461"/>
    <col min="16127" max="16127" width="5.6640625" style="461" customWidth="1"/>
    <col min="16128" max="16128" width="35.6640625" style="461" customWidth="1"/>
    <col min="16129" max="16146" width="11.6640625" style="461" customWidth="1"/>
    <col min="16147" max="16384" width="9.1640625" style="461"/>
  </cols>
  <sheetData>
    <row r="1" spans="1:23" ht="46" thickBot="1">
      <c r="A1" s="461" t="s">
        <v>443</v>
      </c>
      <c r="C1" s="461" t="s">
        <v>443</v>
      </c>
      <c r="D1" s="461" t="s">
        <v>55</v>
      </c>
      <c r="E1" s="461" t="s">
        <v>443</v>
      </c>
      <c r="F1" s="461" t="s">
        <v>53</v>
      </c>
      <c r="G1" s="461" t="s">
        <v>79</v>
      </c>
      <c r="H1" s="461" t="s">
        <v>68</v>
      </c>
      <c r="I1" s="461" t="s">
        <v>54</v>
      </c>
      <c r="J1" s="623" t="s">
        <v>441</v>
      </c>
      <c r="K1" s="461" t="s">
        <v>51</v>
      </c>
      <c r="L1" s="625" t="s">
        <v>77</v>
      </c>
      <c r="M1" s="625" t="s">
        <v>582</v>
      </c>
      <c r="N1" s="625" t="s">
        <v>78</v>
      </c>
      <c r="O1" s="625" t="s">
        <v>80</v>
      </c>
      <c r="P1" s="461" t="s">
        <v>52</v>
      </c>
      <c r="Q1" s="461" t="s">
        <v>50</v>
      </c>
      <c r="R1" s="461" t="s">
        <v>587</v>
      </c>
      <c r="S1" s="461" t="s">
        <v>57</v>
      </c>
      <c r="W1" s="461" t="s">
        <v>590</v>
      </c>
    </row>
    <row r="2" spans="1:23">
      <c r="B2" s="666" t="s">
        <v>429</v>
      </c>
      <c r="C2" s="666"/>
      <c r="D2" s="666"/>
      <c r="E2" s="666"/>
      <c r="F2" s="666"/>
      <c r="G2" s="666"/>
      <c r="H2" s="666"/>
      <c r="I2" s="666"/>
      <c r="J2" s="666"/>
      <c r="K2" s="666"/>
      <c r="L2" s="666"/>
      <c r="M2" s="666"/>
      <c r="N2" s="666"/>
      <c r="O2" s="666"/>
      <c r="P2" s="666"/>
      <c r="Q2" s="666"/>
      <c r="R2" s="666"/>
    </row>
    <row r="3" spans="1:23" ht="15" thickBot="1">
      <c r="B3" s="667" t="s">
        <v>430</v>
      </c>
      <c r="C3" s="667"/>
      <c r="D3" s="667"/>
      <c r="E3" s="667"/>
      <c r="F3" s="667"/>
      <c r="G3" s="667"/>
      <c r="H3" s="667"/>
      <c r="I3" s="667"/>
      <c r="J3" s="667"/>
      <c r="K3" s="667"/>
      <c r="L3" s="667"/>
      <c r="M3" s="667"/>
      <c r="N3" s="667"/>
      <c r="O3" s="667"/>
      <c r="P3" s="667"/>
      <c r="Q3" s="667"/>
      <c r="R3" s="667"/>
    </row>
    <row r="4" spans="1:23" s="462" customFormat="1" ht="19.5" customHeight="1">
      <c r="B4" s="686"/>
      <c r="C4" s="684" t="s">
        <v>431</v>
      </c>
      <c r="D4" s="621"/>
      <c r="E4" s="684" t="s">
        <v>432</v>
      </c>
      <c r="F4" s="649"/>
      <c r="G4" s="649"/>
      <c r="H4" s="649"/>
      <c r="I4" s="649"/>
      <c r="J4" s="649"/>
      <c r="K4" s="684" t="s">
        <v>433</v>
      </c>
      <c r="L4" s="645"/>
      <c r="M4" s="645"/>
      <c r="N4" s="645"/>
      <c r="O4" s="645"/>
      <c r="P4" s="684" t="s">
        <v>435</v>
      </c>
      <c r="Q4" s="684" t="s">
        <v>436</v>
      </c>
      <c r="R4" s="690" t="s">
        <v>580</v>
      </c>
      <c r="S4" s="688" t="s">
        <v>57</v>
      </c>
    </row>
    <row r="5" spans="1:23" s="462" customFormat="1" ht="49.5" customHeight="1" thickBot="1">
      <c r="B5" s="687"/>
      <c r="C5" s="685"/>
      <c r="D5" s="622" t="s">
        <v>579</v>
      </c>
      <c r="E5" s="685"/>
      <c r="F5" s="623" t="s">
        <v>437</v>
      </c>
      <c r="G5" s="623" t="s">
        <v>438</v>
      </c>
      <c r="H5" s="623" t="s">
        <v>439</v>
      </c>
      <c r="I5" s="623" t="s">
        <v>440</v>
      </c>
      <c r="J5" s="623" t="s">
        <v>441</v>
      </c>
      <c r="K5" s="685"/>
      <c r="L5" s="625" t="s">
        <v>77</v>
      </c>
      <c r="M5" s="625" t="s">
        <v>582</v>
      </c>
      <c r="N5" s="625" t="s">
        <v>78</v>
      </c>
      <c r="O5" s="625" t="s">
        <v>80</v>
      </c>
      <c r="P5" s="685"/>
      <c r="Q5" s="685"/>
      <c r="R5" s="691"/>
      <c r="S5" s="689"/>
    </row>
    <row r="6" spans="1:23" ht="15">
      <c r="B6" s="463" t="s">
        <v>442</v>
      </c>
      <c r="C6" s="464">
        <v>2858233.9</v>
      </c>
      <c r="D6" s="464"/>
      <c r="E6" s="464" t="s">
        <v>443</v>
      </c>
      <c r="F6" s="464"/>
      <c r="G6" s="464"/>
      <c r="H6" s="464"/>
      <c r="I6" s="464"/>
      <c r="J6" s="464"/>
      <c r="K6" s="464">
        <v>651235.69999999995</v>
      </c>
      <c r="L6" s="464"/>
      <c r="M6" s="464"/>
      <c r="N6" s="464"/>
      <c r="O6" s="464"/>
      <c r="P6" s="464" t="s">
        <v>443</v>
      </c>
      <c r="Q6" s="464" t="s">
        <v>443</v>
      </c>
      <c r="R6" s="465" t="s">
        <v>443</v>
      </c>
      <c r="S6" s="503">
        <f>SUM(F6:R6)+D6</f>
        <v>651235.69999999995</v>
      </c>
    </row>
    <row r="7" spans="1:23">
      <c r="B7" s="466" t="s">
        <v>444</v>
      </c>
      <c r="C7" s="626">
        <v>1822.8</v>
      </c>
      <c r="D7" s="626"/>
      <c r="E7" s="626">
        <v>1124.3</v>
      </c>
      <c r="F7" s="626">
        <v>4.7</v>
      </c>
      <c r="G7" s="626">
        <v>17.3</v>
      </c>
      <c r="H7" s="626">
        <v>4.3</v>
      </c>
      <c r="I7" s="626" t="s">
        <v>443</v>
      </c>
      <c r="J7" s="626">
        <v>1076.5</v>
      </c>
      <c r="K7" s="626" t="s">
        <v>443</v>
      </c>
      <c r="L7" s="626"/>
      <c r="M7" s="626"/>
      <c r="N7" s="626"/>
      <c r="O7" s="626"/>
      <c r="P7" s="626" t="s">
        <v>443</v>
      </c>
      <c r="Q7" s="626">
        <v>359.3</v>
      </c>
      <c r="R7" s="467">
        <v>339.2</v>
      </c>
      <c r="S7" s="503">
        <f>SUM(F7:R7)+D7</f>
        <v>1801.3</v>
      </c>
    </row>
    <row r="8" spans="1:23">
      <c r="B8" s="466" t="s">
        <v>445</v>
      </c>
      <c r="C8" s="626">
        <v>-2275745.2999999998</v>
      </c>
      <c r="D8" s="626"/>
      <c r="E8" s="626">
        <v>-114385.3</v>
      </c>
      <c r="F8" s="626">
        <v>-7393.6</v>
      </c>
      <c r="G8" s="626">
        <v>-8501.2000000000007</v>
      </c>
      <c r="H8" s="626">
        <v>-66944.3</v>
      </c>
      <c r="I8" s="626">
        <v>-7829.1</v>
      </c>
      <c r="J8" s="626">
        <v>-18196.099999999999</v>
      </c>
      <c r="K8" s="626">
        <v>-241672</v>
      </c>
      <c r="L8" s="626"/>
      <c r="M8" s="626"/>
      <c r="N8" s="626"/>
      <c r="O8" s="626"/>
      <c r="P8" s="626" t="s">
        <v>443</v>
      </c>
      <c r="Q8" s="626">
        <v>-1664.6</v>
      </c>
      <c r="R8" s="467" t="s">
        <v>443</v>
      </c>
      <c r="S8" s="503">
        <f>SUM(F8:R8)+D8</f>
        <v>-352200.9</v>
      </c>
    </row>
    <row r="9" spans="1:23" ht="15">
      <c r="B9" s="468" t="s">
        <v>446</v>
      </c>
      <c r="C9" s="626">
        <v>-20059.5</v>
      </c>
      <c r="D9" s="626"/>
      <c r="E9" s="626">
        <v>-20059.5</v>
      </c>
      <c r="F9" s="626" t="s">
        <v>443</v>
      </c>
      <c r="G9" s="626" t="s">
        <v>443</v>
      </c>
      <c r="H9" s="626">
        <v>-3131</v>
      </c>
      <c r="I9" s="626" t="s">
        <v>443</v>
      </c>
      <c r="J9" s="626" t="s">
        <v>443</v>
      </c>
      <c r="K9" s="626" t="s">
        <v>443</v>
      </c>
      <c r="L9" s="626"/>
      <c r="M9" s="626"/>
      <c r="N9" s="626"/>
      <c r="O9" s="626"/>
      <c r="P9" s="626" t="s">
        <v>443</v>
      </c>
      <c r="Q9" s="626" t="s">
        <v>443</v>
      </c>
      <c r="R9" s="467" t="s">
        <v>443</v>
      </c>
      <c r="S9" s="503">
        <f>SUM(F9:R9)+D9</f>
        <v>-3131</v>
      </c>
    </row>
    <row r="10" spans="1:23">
      <c r="B10" s="469" t="s">
        <v>447</v>
      </c>
      <c r="C10" s="626">
        <v>-3131</v>
      </c>
      <c r="D10" s="626"/>
      <c r="E10" s="626">
        <v>-3131</v>
      </c>
      <c r="F10" s="626" t="s">
        <v>443</v>
      </c>
      <c r="G10" s="626" t="s">
        <v>443</v>
      </c>
      <c r="H10" s="626">
        <v>-3131</v>
      </c>
      <c r="I10" s="626" t="s">
        <v>443</v>
      </c>
      <c r="J10" s="626" t="s">
        <v>443</v>
      </c>
      <c r="K10" s="626" t="s">
        <v>443</v>
      </c>
      <c r="L10" s="626"/>
      <c r="M10" s="626"/>
      <c r="N10" s="626"/>
      <c r="O10" s="626"/>
      <c r="P10" s="626" t="s">
        <v>443</v>
      </c>
      <c r="Q10" s="626" t="s">
        <v>443</v>
      </c>
      <c r="R10" s="467" t="s">
        <v>443</v>
      </c>
      <c r="S10" s="503">
        <f>SUM(F10:R10)+D10</f>
        <v>-3131</v>
      </c>
    </row>
    <row r="11" spans="1:23">
      <c r="B11" s="469" t="s">
        <v>448</v>
      </c>
      <c r="C11" s="626">
        <v>-16928.5</v>
      </c>
      <c r="D11" s="626"/>
      <c r="E11" s="626">
        <v>-16928.5</v>
      </c>
      <c r="F11" s="626" t="s">
        <v>443</v>
      </c>
      <c r="G11" s="626" t="s">
        <v>443</v>
      </c>
      <c r="H11" s="626" t="s">
        <v>443</v>
      </c>
      <c r="I11" s="626" t="s">
        <v>443</v>
      </c>
      <c r="J11" s="626" t="s">
        <v>443</v>
      </c>
      <c r="K11" s="626" t="s">
        <v>443</v>
      </c>
      <c r="L11" s="626"/>
      <c r="M11" s="626"/>
      <c r="N11" s="626"/>
      <c r="O11" s="626"/>
      <c r="P11" s="626" t="s">
        <v>443</v>
      </c>
      <c r="Q11" s="626" t="s">
        <v>443</v>
      </c>
      <c r="R11" s="467" t="s">
        <v>443</v>
      </c>
      <c r="S11" s="503">
        <f>SUM(F11:R11)+D11</f>
        <v>0</v>
      </c>
    </row>
    <row r="12" spans="1:23">
      <c r="B12" s="470" t="s">
        <v>449</v>
      </c>
      <c r="C12" s="626">
        <v>-38043.699999999997</v>
      </c>
      <c r="D12" s="626"/>
      <c r="E12" s="626">
        <v>4202</v>
      </c>
      <c r="F12" s="626">
        <v>227.6</v>
      </c>
      <c r="G12" s="626">
        <v>151.19999999999999</v>
      </c>
      <c r="H12" s="626">
        <v>934.2</v>
      </c>
      <c r="I12" s="626">
        <v>1397.6</v>
      </c>
      <c r="J12" s="626">
        <v>1705.7</v>
      </c>
      <c r="K12" s="626">
        <v>-43876.1</v>
      </c>
      <c r="L12" s="626"/>
      <c r="M12" s="626"/>
      <c r="N12" s="626"/>
      <c r="O12" s="626"/>
      <c r="P12" s="626" t="s">
        <v>443</v>
      </c>
      <c r="Q12" s="626" t="s">
        <v>443</v>
      </c>
      <c r="R12" s="467">
        <v>36</v>
      </c>
      <c r="S12" s="503">
        <f>SUM(F12:R12)+D12</f>
        <v>-39423.799999999996</v>
      </c>
    </row>
    <row r="13" spans="1:23">
      <c r="B13" s="471" t="s">
        <v>450</v>
      </c>
      <c r="C13" s="627">
        <v>526208.19999999995</v>
      </c>
      <c r="D13" s="627"/>
      <c r="E13" s="627">
        <v>-129118.5</v>
      </c>
      <c r="F13" s="626">
        <v>-7161.3</v>
      </c>
      <c r="G13" s="626">
        <v>-8332.7000000000007</v>
      </c>
      <c r="H13" s="626">
        <v>-69136.800000000003</v>
      </c>
      <c r="I13" s="626">
        <v>-6431.5</v>
      </c>
      <c r="J13" s="626">
        <v>-15413.9</v>
      </c>
      <c r="K13" s="627">
        <v>365687.6</v>
      </c>
      <c r="L13" s="627"/>
      <c r="M13" s="627"/>
      <c r="N13" s="627"/>
      <c r="O13" s="627"/>
      <c r="P13" s="626" t="s">
        <v>443</v>
      </c>
      <c r="Q13" s="627">
        <v>-1305.3</v>
      </c>
      <c r="R13" s="472">
        <v>375.2</v>
      </c>
      <c r="S13" s="503">
        <f>SUM(F13:R13)+D13</f>
        <v>258281.3</v>
      </c>
    </row>
    <row r="14" spans="1:23">
      <c r="B14" s="473" t="s">
        <v>451</v>
      </c>
      <c r="C14" s="627">
        <v>11153</v>
      </c>
      <c r="D14" s="627"/>
      <c r="E14" s="627">
        <v>3054.2</v>
      </c>
      <c r="F14" s="626">
        <v>170.7</v>
      </c>
      <c r="G14" s="626">
        <v>1110.0999999999999</v>
      </c>
      <c r="H14" s="626">
        <v>1309.5999999999999</v>
      </c>
      <c r="I14" s="626">
        <v>89.2</v>
      </c>
      <c r="J14" s="626">
        <v>108.5</v>
      </c>
      <c r="K14" s="627">
        <v>1191.4000000000001</v>
      </c>
      <c r="L14" s="627"/>
      <c r="M14" s="627"/>
      <c r="N14" s="627"/>
      <c r="O14" s="627"/>
      <c r="P14" s="626" t="s">
        <v>443</v>
      </c>
      <c r="Q14" s="627">
        <v>447.5</v>
      </c>
      <c r="R14" s="467" t="s">
        <v>443</v>
      </c>
      <c r="S14" s="503">
        <f>SUM(F14:R14)+D14</f>
        <v>4427</v>
      </c>
    </row>
    <row r="15" spans="1:23">
      <c r="B15" s="473" t="s">
        <v>452</v>
      </c>
      <c r="C15" s="626" t="s">
        <v>443</v>
      </c>
      <c r="D15" s="626"/>
      <c r="E15" s="627">
        <v>-5728.5</v>
      </c>
      <c r="F15" s="626" t="s">
        <v>443</v>
      </c>
      <c r="G15" s="626" t="s">
        <v>443</v>
      </c>
      <c r="H15" s="626" t="s">
        <v>443</v>
      </c>
      <c r="I15" s="626" t="s">
        <v>443</v>
      </c>
      <c r="J15" s="626">
        <v>-5728.5</v>
      </c>
      <c r="K15" s="626" t="s">
        <v>443</v>
      </c>
      <c r="L15" s="626"/>
      <c r="M15" s="626"/>
      <c r="N15" s="626"/>
      <c r="O15" s="626"/>
      <c r="P15" s="626" t="s">
        <v>443</v>
      </c>
      <c r="Q15" s="626" t="s">
        <v>443</v>
      </c>
      <c r="R15" s="467" t="s">
        <v>443</v>
      </c>
      <c r="S15" s="503">
        <f>SUM(F15:R15)+D15</f>
        <v>-5728.5</v>
      </c>
    </row>
    <row r="16" spans="1:23">
      <c r="B16" s="473" t="s">
        <v>453</v>
      </c>
      <c r="C16" s="627">
        <v>-112884.5</v>
      </c>
      <c r="D16" s="627"/>
      <c r="E16" s="627">
        <v>265564.3</v>
      </c>
      <c r="F16" s="626">
        <v>11391.5</v>
      </c>
      <c r="G16" s="626">
        <v>53948.7</v>
      </c>
      <c r="H16" s="626">
        <v>106008.8</v>
      </c>
      <c r="I16" s="626">
        <v>9596.2000000000007</v>
      </c>
      <c r="J16" s="626">
        <v>37657.5</v>
      </c>
      <c r="K16" s="627">
        <v>-165512.9</v>
      </c>
      <c r="L16" s="627"/>
      <c r="M16" s="627"/>
      <c r="N16" s="627"/>
      <c r="O16" s="627"/>
      <c r="P16" s="627">
        <v>3788.8</v>
      </c>
      <c r="Q16" s="627">
        <v>67354.2</v>
      </c>
      <c r="R16" s="472">
        <v>-69.2</v>
      </c>
      <c r="S16" s="503">
        <f>SUM(F16:R16)+D16</f>
        <v>124163.60000000002</v>
      </c>
    </row>
    <row r="17" spans="2:23">
      <c r="B17" s="469" t="s">
        <v>454</v>
      </c>
      <c r="C17" s="626">
        <v>-59982.8</v>
      </c>
      <c r="D17" s="626"/>
      <c r="E17" s="626">
        <v>-136.5</v>
      </c>
      <c r="F17" s="626" t="s">
        <v>443</v>
      </c>
      <c r="G17" s="626" t="s">
        <v>443</v>
      </c>
      <c r="H17" s="626">
        <v>-136.5</v>
      </c>
      <c r="I17" s="626" t="s">
        <v>443</v>
      </c>
      <c r="J17" s="626" t="s">
        <v>443</v>
      </c>
      <c r="K17" s="626">
        <v>-93861.2</v>
      </c>
      <c r="L17" s="626"/>
      <c r="M17" s="626"/>
      <c r="N17" s="626"/>
      <c r="O17" s="626"/>
      <c r="P17" s="626" t="s">
        <v>443</v>
      </c>
      <c r="Q17" s="626">
        <v>46423.4</v>
      </c>
      <c r="R17" s="467" t="s">
        <v>443</v>
      </c>
      <c r="S17" s="503">
        <f>SUM(F17:R17)+D17</f>
        <v>-47574.299999999996</v>
      </c>
    </row>
    <row r="18" spans="2:23">
      <c r="B18" s="469" t="s">
        <v>455</v>
      </c>
      <c r="C18" s="626">
        <v>-45894.1</v>
      </c>
      <c r="D18" s="626"/>
      <c r="E18" s="626">
        <v>-102</v>
      </c>
      <c r="F18" s="626" t="s">
        <v>443</v>
      </c>
      <c r="G18" s="626" t="s">
        <v>443</v>
      </c>
      <c r="H18" s="626" t="s">
        <v>443</v>
      </c>
      <c r="I18" s="626">
        <v>-102</v>
      </c>
      <c r="J18" s="626" t="s">
        <v>443</v>
      </c>
      <c r="K18" s="626">
        <v>-68034.7</v>
      </c>
      <c r="L18" s="626"/>
      <c r="M18" s="626"/>
      <c r="N18" s="626"/>
      <c r="O18" s="626"/>
      <c r="P18" s="626">
        <v>1311.8</v>
      </c>
      <c r="Q18" s="626">
        <v>20930.8</v>
      </c>
      <c r="R18" s="467" t="s">
        <v>443</v>
      </c>
      <c r="S18" s="503">
        <f>SUM(F18:R18)+D18</f>
        <v>-45894.099999999991</v>
      </c>
    </row>
    <row r="19" spans="2:23">
      <c r="B19" s="469" t="s">
        <v>456</v>
      </c>
      <c r="C19" s="626">
        <v>-818.6</v>
      </c>
      <c r="D19" s="626"/>
      <c r="E19" s="626">
        <v>-131.69999999999999</v>
      </c>
      <c r="F19" s="626" t="s">
        <v>443</v>
      </c>
      <c r="G19" s="626" t="s">
        <v>443</v>
      </c>
      <c r="H19" s="626" t="s">
        <v>443</v>
      </c>
      <c r="I19" s="626">
        <v>-131.69999999999999</v>
      </c>
      <c r="J19" s="626" t="s">
        <v>443</v>
      </c>
      <c r="K19" s="626">
        <v>-3163.9</v>
      </c>
      <c r="L19" s="626"/>
      <c r="M19" s="626"/>
      <c r="N19" s="626"/>
      <c r="O19" s="626"/>
      <c r="P19" s="626">
        <v>2477</v>
      </c>
      <c r="Q19" s="626" t="s">
        <v>443</v>
      </c>
      <c r="R19" s="467" t="s">
        <v>443</v>
      </c>
      <c r="S19" s="503">
        <f>SUM(F19:R19)+D19</f>
        <v>-818.59999999999991</v>
      </c>
    </row>
    <row r="20" spans="2:23">
      <c r="B20" s="469" t="s">
        <v>457</v>
      </c>
      <c r="C20" s="626">
        <v>2218.8000000000002</v>
      </c>
      <c r="D20" s="626"/>
      <c r="E20" s="626">
        <v>2671.9</v>
      </c>
      <c r="F20" s="626">
        <v>1242.5</v>
      </c>
      <c r="G20" s="626" t="s">
        <v>443</v>
      </c>
      <c r="H20" s="626" t="s">
        <v>443</v>
      </c>
      <c r="I20" s="626" t="s">
        <v>443</v>
      </c>
      <c r="J20" s="626">
        <v>1429.4</v>
      </c>
      <c r="K20" s="626">
        <v>-453.1</v>
      </c>
      <c r="L20" s="626"/>
      <c r="M20" s="626"/>
      <c r="N20" s="626"/>
      <c r="O20" s="626"/>
      <c r="P20" s="626" t="s">
        <v>443</v>
      </c>
      <c r="Q20" s="626" t="s">
        <v>443</v>
      </c>
      <c r="R20" s="467" t="s">
        <v>443</v>
      </c>
      <c r="S20" s="503">
        <f>SUM(F20:R20)+D20</f>
        <v>2218.8000000000002</v>
      </c>
    </row>
    <row r="21" spans="2:23">
      <c r="B21" s="469" t="s">
        <v>458</v>
      </c>
      <c r="C21" s="626">
        <v>-69.2</v>
      </c>
      <c r="D21" s="626"/>
      <c r="E21" s="626" t="s">
        <v>443</v>
      </c>
      <c r="F21" s="626" t="s">
        <v>443</v>
      </c>
      <c r="G21" s="626" t="s">
        <v>443</v>
      </c>
      <c r="H21" s="626" t="s">
        <v>443</v>
      </c>
      <c r="I21" s="626" t="s">
        <v>443</v>
      </c>
      <c r="J21" s="626" t="s">
        <v>443</v>
      </c>
      <c r="K21" s="626" t="s">
        <v>443</v>
      </c>
      <c r="L21" s="626"/>
      <c r="M21" s="626"/>
      <c r="N21" s="626"/>
      <c r="O21" s="626"/>
      <c r="P21" s="626" t="s">
        <v>443</v>
      </c>
      <c r="Q21" s="626" t="s">
        <v>443</v>
      </c>
      <c r="R21" s="467">
        <v>-69.2</v>
      </c>
      <c r="S21" s="503">
        <f>SUM(F21:R21)+D21</f>
        <v>-69.2</v>
      </c>
    </row>
    <row r="22" spans="2:23" ht="15">
      <c r="B22" s="474" t="s">
        <v>459</v>
      </c>
      <c r="C22" s="626">
        <v>-9210.2999999999993</v>
      </c>
      <c r="D22" s="626"/>
      <c r="E22" s="626">
        <v>262390.90000000002</v>
      </c>
      <c r="F22" s="626">
        <v>10149</v>
      </c>
      <c r="G22" s="626">
        <v>53948.7</v>
      </c>
      <c r="H22" s="626">
        <v>106145.3</v>
      </c>
      <c r="I22" s="626">
        <v>9829.9</v>
      </c>
      <c r="J22" s="626">
        <v>35356.400000000001</v>
      </c>
      <c r="K22" s="626" t="s">
        <v>443</v>
      </c>
      <c r="L22" s="626"/>
      <c r="M22" s="626"/>
      <c r="N22" s="626"/>
      <c r="O22" s="626"/>
      <c r="P22" s="626" t="s">
        <v>443</v>
      </c>
      <c r="Q22" s="626" t="s">
        <v>443</v>
      </c>
      <c r="R22" s="467" t="s">
        <v>443</v>
      </c>
      <c r="S22" s="503">
        <f>SUM(F22:R22)+D22</f>
        <v>215429.3</v>
      </c>
    </row>
    <row r="23" spans="2:23" ht="15">
      <c r="B23" s="474" t="s">
        <v>460</v>
      </c>
      <c r="C23" s="626">
        <v>871.7</v>
      </c>
      <c r="D23" s="626"/>
      <c r="E23" s="626">
        <v>871.7</v>
      </c>
      <c r="F23" s="626" t="s">
        <v>443</v>
      </c>
      <c r="G23" s="626" t="s">
        <v>443</v>
      </c>
      <c r="H23" s="626" t="s">
        <v>443</v>
      </c>
      <c r="I23" s="626" t="s">
        <v>443</v>
      </c>
      <c r="J23" s="626">
        <v>871.7</v>
      </c>
      <c r="K23" s="626" t="s">
        <v>443</v>
      </c>
      <c r="L23" s="626"/>
      <c r="M23" s="626"/>
      <c r="N23" s="626"/>
      <c r="O23" s="626"/>
      <c r="P23" s="626" t="s">
        <v>443</v>
      </c>
      <c r="Q23" s="626" t="s">
        <v>443</v>
      </c>
      <c r="R23" s="467" t="s">
        <v>443</v>
      </c>
      <c r="S23" s="503">
        <f>SUM(F23:R23)+D23</f>
        <v>871.7</v>
      </c>
    </row>
    <row r="24" spans="2:23">
      <c r="B24" s="469" t="s">
        <v>461</v>
      </c>
      <c r="C24" s="626" t="s">
        <v>443</v>
      </c>
      <c r="D24" s="626"/>
      <c r="E24" s="626" t="s">
        <v>443</v>
      </c>
      <c r="F24" s="626" t="s">
        <v>443</v>
      </c>
      <c r="G24" s="626" t="s">
        <v>443</v>
      </c>
      <c r="H24" s="626" t="s">
        <v>443</v>
      </c>
      <c r="I24" s="626" t="s">
        <v>443</v>
      </c>
      <c r="J24" s="626" t="s">
        <v>443</v>
      </c>
      <c r="K24" s="626" t="s">
        <v>443</v>
      </c>
      <c r="L24" s="626"/>
      <c r="M24" s="626"/>
      <c r="N24" s="626"/>
      <c r="O24" s="626"/>
      <c r="P24" s="626" t="s">
        <v>443</v>
      </c>
      <c r="Q24" s="626" t="s">
        <v>443</v>
      </c>
      <c r="R24" s="467" t="s">
        <v>443</v>
      </c>
      <c r="S24" s="503">
        <f>SUM(F24:R24)+D24</f>
        <v>0</v>
      </c>
    </row>
    <row r="25" spans="2:23" ht="15">
      <c r="B25" s="475" t="s">
        <v>462</v>
      </c>
      <c r="C25" s="627">
        <v>38973.800000000003</v>
      </c>
      <c r="D25" s="627"/>
      <c r="E25" s="627">
        <v>17169.5</v>
      </c>
      <c r="F25" s="626" t="s">
        <v>443</v>
      </c>
      <c r="G25" s="626" t="s">
        <v>443</v>
      </c>
      <c r="H25" s="626">
        <v>85.3</v>
      </c>
      <c r="I25" s="626">
        <v>696.7</v>
      </c>
      <c r="J25" s="626">
        <v>5236.5</v>
      </c>
      <c r="K25" s="627">
        <v>12889.8</v>
      </c>
      <c r="L25" s="627"/>
      <c r="M25" s="627"/>
      <c r="N25" s="627"/>
      <c r="O25" s="627"/>
      <c r="P25" s="627">
        <v>974.7</v>
      </c>
      <c r="Q25" s="627">
        <v>7771.7</v>
      </c>
      <c r="R25" s="467" t="s">
        <v>443</v>
      </c>
      <c r="S25" s="503">
        <f>SUM(F25:R25)+D25</f>
        <v>27654.7</v>
      </c>
    </row>
    <row r="26" spans="2:23" ht="15">
      <c r="B26" s="475" t="s">
        <v>463</v>
      </c>
      <c r="C26" s="627">
        <v>59811.7</v>
      </c>
      <c r="D26" s="627"/>
      <c r="E26" s="627"/>
      <c r="F26" s="626" t="s">
        <v>443</v>
      </c>
      <c r="G26" s="626" t="s">
        <v>443</v>
      </c>
      <c r="H26" s="626" t="s">
        <v>443</v>
      </c>
      <c r="I26" s="626" t="s">
        <v>443</v>
      </c>
      <c r="J26" s="626" t="s">
        <v>443</v>
      </c>
      <c r="K26" s="627">
        <v>43630</v>
      </c>
      <c r="L26" s="627"/>
      <c r="M26" s="627"/>
      <c r="N26" s="627"/>
      <c r="O26" s="627"/>
      <c r="P26" s="627">
        <v>505.8</v>
      </c>
      <c r="Q26" s="627">
        <v>13788.4</v>
      </c>
      <c r="R26" s="467" t="s">
        <v>443</v>
      </c>
      <c r="S26" s="503">
        <f>SUM(F26:R26)+D26</f>
        <v>57924.200000000004</v>
      </c>
    </row>
    <row r="27" spans="2:23" ht="15">
      <c r="B27" s="475" t="s">
        <v>464</v>
      </c>
      <c r="C27" s="627">
        <v>303385.2</v>
      </c>
      <c r="D27" s="627"/>
      <c r="E27" s="627">
        <v>110493.6</v>
      </c>
      <c r="F27" s="626">
        <v>4059.5</v>
      </c>
      <c r="G27" s="626">
        <v>44505.9</v>
      </c>
      <c r="H27" s="626">
        <v>35477.1</v>
      </c>
      <c r="I27" s="626">
        <v>2378.8000000000002</v>
      </c>
      <c r="J27" s="626">
        <v>11170.1</v>
      </c>
      <c r="K27" s="627">
        <v>142463.5</v>
      </c>
      <c r="L27" s="627"/>
      <c r="M27" s="627"/>
      <c r="N27" s="627"/>
      <c r="O27" s="627"/>
      <c r="P27" s="627">
        <v>2308.3000000000002</v>
      </c>
      <c r="Q27" s="627">
        <v>44041.3</v>
      </c>
      <c r="R27" s="472">
        <v>306</v>
      </c>
      <c r="S27" s="503">
        <f>SUM(F27:R27)+D27</f>
        <v>286710.5</v>
      </c>
    </row>
    <row r="28" spans="2:23" ht="15">
      <c r="B28" s="475" t="s">
        <v>465</v>
      </c>
      <c r="C28" s="627">
        <v>280902.3</v>
      </c>
      <c r="D28" s="627"/>
      <c r="E28" s="627">
        <v>89661.8</v>
      </c>
      <c r="F28" s="626">
        <v>3822.4</v>
      </c>
      <c r="G28" s="626">
        <v>44505.9</v>
      </c>
      <c r="H28" s="626">
        <v>35477.1</v>
      </c>
      <c r="I28" s="626">
        <v>1869</v>
      </c>
      <c r="J28" s="626"/>
      <c r="K28" s="627">
        <v>140944.1</v>
      </c>
      <c r="L28" s="627"/>
      <c r="M28" s="627"/>
      <c r="N28" s="627"/>
      <c r="O28" s="627"/>
      <c r="P28" s="627">
        <v>2308.3000000000002</v>
      </c>
      <c r="Q28" s="627">
        <v>44041.3</v>
      </c>
      <c r="R28" s="472">
        <v>174.1</v>
      </c>
      <c r="S28" s="503">
        <f>SUM(F28:R28)+D28</f>
        <v>273142.19999999995</v>
      </c>
    </row>
    <row r="29" spans="2:23">
      <c r="B29" s="476" t="s">
        <v>466</v>
      </c>
      <c r="C29" s="692">
        <v>2372614.094</v>
      </c>
      <c r="D29" s="693">
        <v>137677.60399999999</v>
      </c>
      <c r="E29" s="692">
        <v>168128.35399999999</v>
      </c>
      <c r="F29" s="692">
        <v>10955.378000000001</v>
      </c>
      <c r="G29" s="692">
        <v>0</v>
      </c>
      <c r="H29" s="692">
        <v>72878.604999999996</v>
      </c>
      <c r="I29" s="692">
        <v>59432.603999999999</v>
      </c>
      <c r="J29" s="692">
        <f>E29-SUM(F29:I29)-W29</f>
        <v>9240.8669999999929</v>
      </c>
      <c r="K29" s="464">
        <v>859418.48</v>
      </c>
      <c r="L29" s="694">
        <v>6513</v>
      </c>
      <c r="M29" s="694">
        <v>2021.52</v>
      </c>
      <c r="N29" s="694">
        <v>101118</v>
      </c>
      <c r="O29" s="694">
        <v>42652</v>
      </c>
      <c r="P29" s="692">
        <v>146022</v>
      </c>
      <c r="Q29" s="692">
        <v>822618</v>
      </c>
      <c r="R29" s="693">
        <v>102066</v>
      </c>
      <c r="S29" s="503">
        <f>SUM(F29:R29)+D29</f>
        <v>2372614.0579999997</v>
      </c>
      <c r="T29" s="503">
        <f>S29-C29</f>
        <v>-3.6000000312924385E-2</v>
      </c>
      <c r="U29" s="503"/>
      <c r="W29" s="461">
        <v>15620.9</v>
      </c>
    </row>
    <row r="30" spans="2:23" ht="15">
      <c r="B30" s="477" t="s">
        <v>467</v>
      </c>
      <c r="C30" s="693">
        <v>330774.06900000002</v>
      </c>
      <c r="D30" s="692">
        <v>29540.659</v>
      </c>
      <c r="E30" s="693">
        <v>4206.5839999999998</v>
      </c>
      <c r="F30" s="693">
        <v>2623.7669999999998</v>
      </c>
      <c r="G30" s="693">
        <v>0</v>
      </c>
      <c r="H30" s="693">
        <v>1286.8499999999999</v>
      </c>
      <c r="I30" s="693">
        <v>201.74</v>
      </c>
      <c r="J30" s="692">
        <f>E30-SUM(F30:I30)-W30</f>
        <v>94.226999999999862</v>
      </c>
      <c r="K30" s="464">
        <v>99519.558000000005</v>
      </c>
      <c r="L30" s="695">
        <v>0</v>
      </c>
      <c r="M30" s="695">
        <v>134.768</v>
      </c>
      <c r="N30" s="695">
        <v>0</v>
      </c>
      <c r="O30" s="695">
        <v>0</v>
      </c>
      <c r="P30" s="693">
        <v>1774</v>
      </c>
      <c r="Q30" s="693">
        <v>97534.8</v>
      </c>
      <c r="R30" s="692">
        <v>98063.7</v>
      </c>
      <c r="S30" s="503">
        <f>SUM(F30:R30)+D30</f>
        <v>330774.06900000002</v>
      </c>
      <c r="T30" s="503">
        <f>S30-C30</f>
        <v>0</v>
      </c>
      <c r="U30" s="503"/>
      <c r="W30" s="461">
        <v>0</v>
      </c>
    </row>
    <row r="31" spans="2:23" ht="15">
      <c r="B31" s="477" t="s">
        <v>468</v>
      </c>
      <c r="C31" s="692">
        <v>588419.799</v>
      </c>
      <c r="D31" s="693">
        <v>21580.32</v>
      </c>
      <c r="E31" s="692">
        <v>62032.112000000001</v>
      </c>
      <c r="F31" s="692">
        <v>0</v>
      </c>
      <c r="G31" s="692">
        <v>0</v>
      </c>
      <c r="H31" s="692">
        <v>2916.86</v>
      </c>
      <c r="I31" s="692">
        <v>45956.372000000003</v>
      </c>
      <c r="J31" s="692">
        <f>E31-SUM(F31:I31)-W31</f>
        <v>-2.0000000002255547E-2</v>
      </c>
      <c r="K31" s="464">
        <v>237284.88700000002</v>
      </c>
      <c r="L31" s="694">
        <v>4839</v>
      </c>
      <c r="M31" s="694">
        <v>168.46</v>
      </c>
      <c r="N31" s="694">
        <v>1701</v>
      </c>
      <c r="O31" s="694">
        <v>6545</v>
      </c>
      <c r="P31" s="692">
        <v>75475</v>
      </c>
      <c r="Q31" s="692">
        <v>188413.2</v>
      </c>
      <c r="R31" s="693">
        <v>3539.7</v>
      </c>
      <c r="S31" s="503">
        <f>SUM(F31:R31)+D31</f>
        <v>588419.77899999998</v>
      </c>
      <c r="T31" s="503">
        <f>S31-C31</f>
        <v>-2.0000000018626451E-2</v>
      </c>
      <c r="U31" s="503"/>
      <c r="W31" s="461">
        <v>13158.9</v>
      </c>
    </row>
    <row r="32" spans="2:23" ht="15">
      <c r="B32" s="477" t="s">
        <v>469</v>
      </c>
      <c r="C32" s="693">
        <v>89446.138000000006</v>
      </c>
      <c r="D32" s="692">
        <v>1043.671</v>
      </c>
      <c r="E32" s="693">
        <v>4189.7929999999997</v>
      </c>
      <c r="F32" s="693">
        <v>184.124</v>
      </c>
      <c r="G32" s="693">
        <v>0</v>
      </c>
      <c r="H32" s="693">
        <v>1372.64</v>
      </c>
      <c r="I32" s="693">
        <v>968.35199999999998</v>
      </c>
      <c r="J32" s="692">
        <f>E32-SUM(F32:I32)-W32</f>
        <v>1664.6769999999997</v>
      </c>
      <c r="K32" s="464">
        <v>32190.673999999999</v>
      </c>
      <c r="L32" s="695">
        <v>17</v>
      </c>
      <c r="M32" s="695">
        <v>0</v>
      </c>
      <c r="N32" s="695">
        <v>0</v>
      </c>
      <c r="O32" s="695">
        <v>312</v>
      </c>
      <c r="P32" s="693">
        <v>2571</v>
      </c>
      <c r="Q32" s="693">
        <v>49122</v>
      </c>
      <c r="R32" s="692">
        <v>0</v>
      </c>
      <c r="S32" s="503">
        <f>SUM(F32:R32)+D32</f>
        <v>89446.138000000006</v>
      </c>
      <c r="T32" s="503">
        <f>S32-C32</f>
        <v>0</v>
      </c>
      <c r="U32" s="503"/>
      <c r="W32" s="461">
        <v>0</v>
      </c>
    </row>
    <row r="33" spans="2:23" ht="15">
      <c r="B33" s="477" t="s">
        <v>470</v>
      </c>
      <c r="C33" s="692">
        <v>272879.16200000001</v>
      </c>
      <c r="D33" s="693">
        <v>56552.896000000001</v>
      </c>
      <c r="E33" s="692">
        <v>28630.937999999998</v>
      </c>
      <c r="F33" s="692">
        <v>1242.837</v>
      </c>
      <c r="G33" s="692">
        <v>0</v>
      </c>
      <c r="H33" s="692">
        <v>12396.655000000001</v>
      </c>
      <c r="I33" s="692">
        <v>7746.8159999999998</v>
      </c>
      <c r="J33" s="692">
        <f>E33-SUM(F33:I33)-W33</f>
        <v>7244.6299999999974</v>
      </c>
      <c r="K33" s="464">
        <v>102503.992</v>
      </c>
      <c r="L33" s="694">
        <v>17</v>
      </c>
      <c r="M33" s="694">
        <v>1111.836</v>
      </c>
      <c r="N33" s="694">
        <v>6041</v>
      </c>
      <c r="O33" s="694">
        <v>33264</v>
      </c>
      <c r="P33" s="692">
        <v>608</v>
      </c>
      <c r="Q33" s="692">
        <v>44042.400000000001</v>
      </c>
      <c r="R33" s="693">
        <v>107.1</v>
      </c>
      <c r="S33" s="503">
        <f>SUM(F33:R33)+D33</f>
        <v>272879.16200000001</v>
      </c>
      <c r="T33" s="503">
        <f>S33-C33</f>
        <v>0</v>
      </c>
      <c r="U33" s="503"/>
      <c r="W33" s="461">
        <v>0</v>
      </c>
    </row>
    <row r="34" spans="2:23" ht="15">
      <c r="B34" s="477" t="s">
        <v>471</v>
      </c>
      <c r="C34" s="693">
        <v>123559.23299999999</v>
      </c>
      <c r="D34" s="692">
        <v>687.6</v>
      </c>
      <c r="E34" s="693">
        <v>4004.915</v>
      </c>
      <c r="F34" s="693">
        <v>230.155</v>
      </c>
      <c r="G34" s="693">
        <v>0</v>
      </c>
      <c r="H34" s="693">
        <v>3774.76</v>
      </c>
      <c r="I34" s="693">
        <v>0</v>
      </c>
      <c r="J34" s="692">
        <f>E34-SUM(F34:I34)-W34</f>
        <v>-4.5474735088646412E-13</v>
      </c>
      <c r="K34" s="464">
        <v>38022.741999999998</v>
      </c>
      <c r="L34" s="695">
        <v>0</v>
      </c>
      <c r="M34" s="695">
        <v>101.07599999999999</v>
      </c>
      <c r="N34" s="695">
        <v>239</v>
      </c>
      <c r="O34" s="695">
        <v>0</v>
      </c>
      <c r="P34" s="693">
        <v>15937</v>
      </c>
      <c r="Q34" s="693">
        <v>64216.800000000003</v>
      </c>
      <c r="R34" s="692">
        <v>350.1</v>
      </c>
      <c r="S34" s="503">
        <f>SUM(F34:R34)+D34</f>
        <v>123559.23300000001</v>
      </c>
      <c r="T34" s="503">
        <f>S34-C34</f>
        <v>0</v>
      </c>
      <c r="U34" s="503"/>
      <c r="W34" s="461">
        <v>0</v>
      </c>
    </row>
    <row r="35" spans="2:23" ht="15">
      <c r="B35" s="477" t="s">
        <v>342</v>
      </c>
      <c r="C35" s="692">
        <v>232432.842</v>
      </c>
      <c r="D35" s="693">
        <v>720.02099999999996</v>
      </c>
      <c r="E35" s="692">
        <v>23341.79</v>
      </c>
      <c r="F35" s="692">
        <v>2439.643</v>
      </c>
      <c r="G35" s="692">
        <v>0</v>
      </c>
      <c r="H35" s="692">
        <v>20718.285</v>
      </c>
      <c r="I35" s="692">
        <v>121.044</v>
      </c>
      <c r="J35" s="692">
        <f>E35-SUM(F35:I35)-W35</f>
        <v>62.817999999999302</v>
      </c>
      <c r="K35" s="464">
        <v>74901.570999999996</v>
      </c>
      <c r="L35" s="694">
        <v>33</v>
      </c>
      <c r="M35" s="694">
        <v>168.46</v>
      </c>
      <c r="N35" s="694">
        <v>1648</v>
      </c>
      <c r="O35" s="694">
        <v>8</v>
      </c>
      <c r="P35" s="692">
        <v>13136</v>
      </c>
      <c r="Q35" s="692">
        <v>118476</v>
      </c>
      <c r="R35" s="693">
        <v>0</v>
      </c>
      <c r="S35" s="503">
        <f>SUM(F35:R35)+D35</f>
        <v>232432.842</v>
      </c>
      <c r="T35" s="503">
        <f>S35-C35</f>
        <v>0</v>
      </c>
      <c r="U35" s="503"/>
      <c r="W35" s="461">
        <v>0</v>
      </c>
    </row>
    <row r="36" spans="2:23">
      <c r="B36" s="478" t="s">
        <v>472</v>
      </c>
      <c r="C36" s="693">
        <v>18503.191999999999</v>
      </c>
      <c r="D36" s="692">
        <v>2252.96</v>
      </c>
      <c r="E36" s="693">
        <v>1661.577</v>
      </c>
      <c r="F36" s="693">
        <v>414.279</v>
      </c>
      <c r="G36" s="693">
        <v>0</v>
      </c>
      <c r="H36" s="693">
        <v>1072.375</v>
      </c>
      <c r="I36" s="693">
        <v>80.695999999999998</v>
      </c>
      <c r="J36" s="692">
        <f>E36-SUM(F36:I36)-W36</f>
        <v>94.227000000000089</v>
      </c>
      <c r="K36" s="464">
        <v>6125.4709999999995</v>
      </c>
      <c r="L36" s="695">
        <v>0</v>
      </c>
      <c r="M36" s="695">
        <v>67.384</v>
      </c>
      <c r="N36" s="695">
        <v>571</v>
      </c>
      <c r="O36" s="695">
        <v>0</v>
      </c>
      <c r="P36" s="693">
        <v>56</v>
      </c>
      <c r="Q36" s="693">
        <v>7768.8</v>
      </c>
      <c r="R36" s="692">
        <v>0</v>
      </c>
      <c r="S36" s="503">
        <f>SUM(F36:R36)+D36</f>
        <v>18503.191999999999</v>
      </c>
      <c r="T36" s="503">
        <f>S36-C36</f>
        <v>0</v>
      </c>
      <c r="U36" s="503"/>
      <c r="W36" s="461">
        <v>0</v>
      </c>
    </row>
    <row r="37" spans="2:23">
      <c r="B37" s="478" t="s">
        <v>473</v>
      </c>
      <c r="C37" s="692">
        <v>201710.19500000001</v>
      </c>
      <c r="D37" s="693">
        <v>8542.4750000000004</v>
      </c>
      <c r="E37" s="692">
        <v>16688.75</v>
      </c>
      <c r="F37" s="692">
        <v>1795.2090000000001</v>
      </c>
      <c r="G37" s="692">
        <v>0</v>
      </c>
      <c r="H37" s="692">
        <v>12997.184999999999</v>
      </c>
      <c r="I37" s="692">
        <v>1896.356</v>
      </c>
      <c r="J37" s="692">
        <f>E37-SUM(F37:I37)-W37</f>
        <v>0</v>
      </c>
      <c r="K37" s="464">
        <v>105401.126</v>
      </c>
      <c r="L37" s="694">
        <v>583</v>
      </c>
      <c r="M37" s="694">
        <v>235.84399999999999</v>
      </c>
      <c r="N37" s="694">
        <v>1184</v>
      </c>
      <c r="O37" s="694">
        <v>384</v>
      </c>
      <c r="P37" s="692">
        <v>5601</v>
      </c>
      <c r="Q37" s="692">
        <v>63090</v>
      </c>
      <c r="R37" s="693">
        <v>0</v>
      </c>
      <c r="S37" s="503">
        <f>SUM(F37:R37)+D37</f>
        <v>201710.19500000001</v>
      </c>
      <c r="T37" s="503">
        <f>S37-C37</f>
        <v>0</v>
      </c>
      <c r="U37" s="503"/>
      <c r="W37" s="461">
        <v>0</v>
      </c>
    </row>
    <row r="38" spans="2:23">
      <c r="B38" s="478" t="s">
        <v>474</v>
      </c>
      <c r="C38" s="693">
        <v>262458.24099999998</v>
      </c>
      <c r="D38" s="692">
        <v>15931.112999999999</v>
      </c>
      <c r="E38" s="693">
        <v>4132.2299999999996</v>
      </c>
      <c r="F38" s="693">
        <v>368.24799999999999</v>
      </c>
      <c r="G38" s="693">
        <v>0</v>
      </c>
      <c r="H38" s="693">
        <v>2916.86</v>
      </c>
      <c r="I38" s="693">
        <v>806.96</v>
      </c>
      <c r="J38" s="692">
        <f>E38-SUM(F38:I38)-W38</f>
        <v>40.161999999999352</v>
      </c>
      <c r="K38" s="464">
        <v>94414.698000000004</v>
      </c>
      <c r="L38" s="695">
        <v>943</v>
      </c>
      <c r="M38" s="695">
        <v>0</v>
      </c>
      <c r="N38" s="695">
        <v>39709</v>
      </c>
      <c r="O38" s="695">
        <v>2134</v>
      </c>
      <c r="P38" s="693">
        <v>17725</v>
      </c>
      <c r="Q38" s="693">
        <v>87469.2</v>
      </c>
      <c r="R38" s="692">
        <v>0</v>
      </c>
      <c r="S38" s="503">
        <f>SUM(F38:R38)+D38</f>
        <v>262458.24100000004</v>
      </c>
      <c r="T38" s="503">
        <f>S38-C38</f>
        <v>0</v>
      </c>
      <c r="U38" s="503"/>
      <c r="W38" s="461">
        <v>0</v>
      </c>
    </row>
    <row r="39" spans="2:23" ht="15">
      <c r="B39" s="477" t="s">
        <v>475</v>
      </c>
      <c r="C39" s="692">
        <v>75463.909</v>
      </c>
      <c r="D39" s="693">
        <v>42.006</v>
      </c>
      <c r="E39" s="692">
        <v>2732.73</v>
      </c>
      <c r="F39" s="692">
        <v>46.030999999999999</v>
      </c>
      <c r="G39" s="692">
        <v>0</v>
      </c>
      <c r="H39" s="692">
        <v>1758.6949999999999</v>
      </c>
      <c r="I39" s="692">
        <v>928.00400000000002</v>
      </c>
      <c r="J39" s="692">
        <f>E39-SUM(F39:I39)-W39</f>
        <v>0</v>
      </c>
      <c r="K39" s="464">
        <v>6317.1729999999998</v>
      </c>
      <c r="L39" s="694">
        <v>0</v>
      </c>
      <c r="M39" s="694">
        <v>0</v>
      </c>
      <c r="N39" s="694">
        <v>45952</v>
      </c>
      <c r="O39" s="694">
        <v>0</v>
      </c>
      <c r="P39" s="692">
        <v>4184</v>
      </c>
      <c r="Q39" s="692">
        <v>16236</v>
      </c>
      <c r="R39" s="693">
        <v>0</v>
      </c>
      <c r="S39" s="503">
        <f>SUM(F39:R39)+D39</f>
        <v>75463.908999999985</v>
      </c>
      <c r="T39" s="503">
        <f>S39-C39</f>
        <v>0</v>
      </c>
      <c r="U39" s="503"/>
      <c r="W39" s="461">
        <v>0</v>
      </c>
    </row>
    <row r="40" spans="2:23">
      <c r="B40" s="478" t="s">
        <v>476</v>
      </c>
      <c r="C40" s="692">
        <v>24704.761999999999</v>
      </c>
      <c r="D40" s="693">
        <v>426.83199999999999</v>
      </c>
      <c r="E40" s="692">
        <v>1781.8030000000001</v>
      </c>
      <c r="F40" s="692">
        <v>46.030999999999999</v>
      </c>
      <c r="G40" s="692">
        <v>0</v>
      </c>
      <c r="H40" s="692">
        <v>1372.64</v>
      </c>
      <c r="I40" s="692">
        <v>363.13200000000001</v>
      </c>
      <c r="J40" s="692">
        <f>E40-SUM(F40:I40)-W40</f>
        <v>0</v>
      </c>
      <c r="K40" s="464">
        <v>10936.927</v>
      </c>
      <c r="L40" s="694">
        <v>15</v>
      </c>
      <c r="M40" s="694">
        <v>0</v>
      </c>
      <c r="N40" s="694">
        <v>88</v>
      </c>
      <c r="O40" s="694">
        <v>0</v>
      </c>
      <c r="P40" s="692">
        <v>2521</v>
      </c>
      <c r="Q40" s="692">
        <v>8935.2000000000007</v>
      </c>
      <c r="R40" s="693">
        <v>0</v>
      </c>
      <c r="S40" s="503">
        <f>SUM(F40:R40)+D40</f>
        <v>24704.761999999999</v>
      </c>
      <c r="T40" s="503">
        <f>S40-C40</f>
        <v>0</v>
      </c>
      <c r="U40" s="503"/>
      <c r="W40" s="461">
        <v>0</v>
      </c>
    </row>
    <row r="41" spans="2:23">
      <c r="B41" s="478" t="s">
        <v>253</v>
      </c>
      <c r="C41" s="693">
        <v>36138.853999999999</v>
      </c>
      <c r="D41" s="692">
        <v>0</v>
      </c>
      <c r="E41" s="693">
        <v>0</v>
      </c>
      <c r="F41" s="693">
        <v>0</v>
      </c>
      <c r="G41" s="693">
        <v>0</v>
      </c>
      <c r="H41" s="693">
        <v>0</v>
      </c>
      <c r="I41" s="693">
        <v>0</v>
      </c>
      <c r="J41" s="692">
        <f>E41-SUM(F41:I41)-W41</f>
        <v>0</v>
      </c>
      <c r="K41" s="464">
        <v>21828.853999999999</v>
      </c>
      <c r="L41" s="695">
        <v>0</v>
      </c>
      <c r="M41" s="695">
        <v>0</v>
      </c>
      <c r="N41" s="695">
        <v>0</v>
      </c>
      <c r="O41" s="695">
        <v>0</v>
      </c>
      <c r="P41" s="693">
        <v>0</v>
      </c>
      <c r="Q41" s="693">
        <v>14310</v>
      </c>
      <c r="R41" s="692">
        <v>0</v>
      </c>
      <c r="S41" s="503">
        <f>SUM(F41:R41)+D41</f>
        <v>36138.853999999999</v>
      </c>
      <c r="T41" s="503">
        <f>S41-C41</f>
        <v>0</v>
      </c>
      <c r="U41" s="503"/>
      <c r="W41" s="461">
        <v>0</v>
      </c>
    </row>
    <row r="42" spans="2:23" ht="15">
      <c r="B42" s="477" t="s">
        <v>477</v>
      </c>
      <c r="C42" s="693">
        <v>116123.69500000001</v>
      </c>
      <c r="D42" s="692">
        <v>357.05099999999999</v>
      </c>
      <c r="E42" s="693">
        <v>14725.132</v>
      </c>
      <c r="F42" s="693">
        <v>1565.0540000000001</v>
      </c>
      <c r="G42" s="693">
        <v>0</v>
      </c>
      <c r="H42" s="693">
        <v>10294.799999999999</v>
      </c>
      <c r="I42" s="693">
        <v>363.13200000000001</v>
      </c>
      <c r="J42" s="692">
        <f>E42-SUM(F42:I42)-W42</f>
        <v>40.14600000000064</v>
      </c>
      <c r="K42" s="464">
        <v>29970.804</v>
      </c>
      <c r="L42" s="695">
        <v>66</v>
      </c>
      <c r="M42" s="695">
        <v>33.692</v>
      </c>
      <c r="N42" s="695">
        <v>3985</v>
      </c>
      <c r="O42" s="695">
        <v>5</v>
      </c>
      <c r="P42" s="693">
        <v>6434</v>
      </c>
      <c r="Q42" s="693">
        <v>63003.6</v>
      </c>
      <c r="R42" s="692">
        <v>5.4</v>
      </c>
      <c r="S42" s="503">
        <f>SUM(F42:R42)+D42</f>
        <v>116123.679</v>
      </c>
      <c r="T42" s="503">
        <f>S42-C42</f>
        <v>-1.6000000003259629E-2</v>
      </c>
      <c r="U42" s="503"/>
      <c r="W42" s="461">
        <v>2462</v>
      </c>
    </row>
    <row r="43" spans="2:23" ht="15">
      <c r="B43" s="479" t="s">
        <v>478</v>
      </c>
      <c r="C43" s="627">
        <v>71350.899999999994</v>
      </c>
      <c r="D43" s="627"/>
      <c r="E43" s="627">
        <v>69214.7</v>
      </c>
      <c r="F43" s="626">
        <v>901.1</v>
      </c>
      <c r="G43" s="626">
        <v>43978.9</v>
      </c>
      <c r="H43" s="626">
        <v>20398.099999999999</v>
      </c>
      <c r="I43" s="626">
        <v>55.2</v>
      </c>
      <c r="J43" s="626"/>
      <c r="K43" s="627"/>
      <c r="L43" s="627"/>
      <c r="M43" s="627"/>
      <c r="N43" s="627"/>
      <c r="O43" s="627"/>
      <c r="P43" s="626"/>
      <c r="Q43" s="627">
        <v>1959.8</v>
      </c>
      <c r="R43" s="472">
        <v>174.3</v>
      </c>
      <c r="S43" s="503">
        <f>SUM(F43:R43)+D43</f>
        <v>67467.399999999994</v>
      </c>
    </row>
    <row r="44" spans="2:23">
      <c r="B44" s="478" t="s">
        <v>479</v>
      </c>
      <c r="C44" s="626">
        <v>64010.8</v>
      </c>
      <c r="D44" s="626"/>
      <c r="E44" s="626">
        <v>64010.8</v>
      </c>
      <c r="F44" s="626">
        <v>896.4</v>
      </c>
      <c r="G44" s="626">
        <v>43978.9</v>
      </c>
      <c r="H44" s="626">
        <v>19135.5</v>
      </c>
      <c r="I44" s="626"/>
      <c r="J44" s="626"/>
      <c r="K44" s="626"/>
      <c r="L44" s="626"/>
      <c r="M44" s="626"/>
      <c r="N44" s="626"/>
      <c r="O44" s="626"/>
      <c r="P44" s="626"/>
      <c r="Q44" s="626"/>
      <c r="R44" s="467"/>
      <c r="S44" s="503">
        <f>SUM(F44:R44)+D44</f>
        <v>64010.8</v>
      </c>
    </row>
    <row r="45" spans="2:23" ht="15">
      <c r="B45" s="477" t="s">
        <v>480</v>
      </c>
      <c r="C45" s="626">
        <v>1875.8</v>
      </c>
      <c r="D45" s="626"/>
      <c r="E45" s="626">
        <v>140.6</v>
      </c>
      <c r="F45" s="626"/>
      <c r="G45" s="626"/>
      <c r="H45" s="626">
        <v>102.4</v>
      </c>
      <c r="I45" s="626">
        <v>38.200000000000003</v>
      </c>
      <c r="J45" s="626"/>
      <c r="K45" s="626"/>
      <c r="L45" s="626"/>
      <c r="M45" s="626"/>
      <c r="N45" s="626"/>
      <c r="O45" s="626"/>
      <c r="P45" s="626"/>
      <c r="Q45" s="626">
        <v>1558.8</v>
      </c>
      <c r="R45" s="467">
        <v>174.3</v>
      </c>
      <c r="S45" s="503">
        <f>SUM(F45:R45)+D45</f>
        <v>1873.7</v>
      </c>
    </row>
    <row r="46" spans="2:23">
      <c r="B46" s="478" t="s">
        <v>481</v>
      </c>
      <c r="C46" s="626">
        <v>3881.4</v>
      </c>
      <c r="D46" s="626"/>
      <c r="E46" s="626">
        <v>3881.4</v>
      </c>
      <c r="F46" s="626"/>
      <c r="G46" s="626"/>
      <c r="H46" s="626"/>
      <c r="I46" s="626"/>
      <c r="J46" s="626"/>
      <c r="K46" s="626"/>
      <c r="L46" s="626"/>
      <c r="M46" s="626"/>
      <c r="N46" s="626"/>
      <c r="O46" s="626"/>
      <c r="P46" s="626"/>
      <c r="Q46" s="626"/>
      <c r="R46" s="467"/>
      <c r="S46" s="503">
        <f>SUM(F46:R46)+D46</f>
        <v>0</v>
      </c>
    </row>
    <row r="47" spans="2:23">
      <c r="B47" s="478" t="s">
        <v>482</v>
      </c>
      <c r="C47" s="626">
        <v>1177.2</v>
      </c>
      <c r="D47" s="626"/>
      <c r="E47" s="626">
        <v>1177.2</v>
      </c>
      <c r="F47" s="626"/>
      <c r="G47" s="626"/>
      <c r="H47" s="626">
        <v>1160.2</v>
      </c>
      <c r="I47" s="626">
        <v>17</v>
      </c>
      <c r="J47" s="626"/>
      <c r="K47" s="626"/>
      <c r="L47" s="626"/>
      <c r="M47" s="626"/>
      <c r="N47" s="626"/>
      <c r="O47" s="626"/>
      <c r="P47" s="626"/>
      <c r="Q47" s="626"/>
      <c r="R47" s="467"/>
      <c r="S47" s="503">
        <f>SUM(F47:R47)+D47</f>
        <v>1177.2</v>
      </c>
    </row>
    <row r="48" spans="2:23">
      <c r="B48" s="478" t="s">
        <v>483</v>
      </c>
      <c r="C48" s="626">
        <v>405.7</v>
      </c>
      <c r="D48" s="626"/>
      <c r="E48" s="626">
        <v>4.7</v>
      </c>
      <c r="F48" s="626">
        <v>4.7</v>
      </c>
      <c r="G48" s="626"/>
      <c r="H48" s="626"/>
      <c r="I48" s="626"/>
      <c r="J48" s="626"/>
      <c r="K48" s="626"/>
      <c r="L48" s="626"/>
      <c r="M48" s="626"/>
      <c r="N48" s="626"/>
      <c r="O48" s="626"/>
      <c r="P48" s="626"/>
      <c r="Q48" s="626">
        <v>401</v>
      </c>
      <c r="R48" s="467"/>
      <c r="S48" s="503">
        <f>SUM(F48:R48)+D48</f>
        <v>405.7</v>
      </c>
    </row>
    <row r="49" spans="2:19" ht="15">
      <c r="B49" s="480" t="s">
        <v>484</v>
      </c>
      <c r="C49" s="626" t="s">
        <v>443</v>
      </c>
      <c r="D49" s="626"/>
      <c r="E49" s="626" t="s">
        <v>443</v>
      </c>
      <c r="F49" s="626"/>
      <c r="G49" s="626"/>
      <c r="H49" s="626"/>
      <c r="I49" s="626"/>
      <c r="J49" s="626"/>
      <c r="K49" s="626"/>
      <c r="L49" s="626"/>
      <c r="M49" s="626"/>
      <c r="N49" s="626"/>
      <c r="O49" s="626"/>
      <c r="P49" s="626"/>
      <c r="Q49" s="626"/>
      <c r="R49" s="467"/>
      <c r="S49" s="503">
        <f>SUM(F49:R49)+D49</f>
        <v>0</v>
      </c>
    </row>
    <row r="50" spans="2:19" ht="15">
      <c r="B50" s="479" t="s">
        <v>485</v>
      </c>
      <c r="C50" s="627">
        <v>176172.2</v>
      </c>
      <c r="D50" s="627"/>
      <c r="E50" s="627">
        <v>17222.8</v>
      </c>
      <c r="F50" s="626">
        <v>2674.8</v>
      </c>
      <c r="G50" s="626">
        <v>527</v>
      </c>
      <c r="H50" s="626">
        <v>13807.7</v>
      </c>
      <c r="I50" s="626">
        <v>148.69999999999999</v>
      </c>
      <c r="J50" s="626"/>
      <c r="K50" s="627">
        <v>117125.4</v>
      </c>
      <c r="L50" s="627"/>
      <c r="M50" s="627"/>
      <c r="N50" s="627"/>
      <c r="O50" s="627"/>
      <c r="P50" s="627">
        <v>2301.6</v>
      </c>
      <c r="Q50" s="627">
        <v>35754.1</v>
      </c>
      <c r="R50" s="472"/>
      <c r="S50" s="503">
        <f>SUM(F50:R50)+D50</f>
        <v>172339.30000000002</v>
      </c>
    </row>
    <row r="51" spans="2:19" ht="15">
      <c r="B51" s="477" t="s">
        <v>486</v>
      </c>
      <c r="C51" s="692">
        <v>53893.033000000003</v>
      </c>
      <c r="D51" s="693">
        <v>0</v>
      </c>
      <c r="E51" s="692">
        <v>0</v>
      </c>
      <c r="F51" s="692">
        <v>0</v>
      </c>
      <c r="G51" s="692">
        <v>0</v>
      </c>
      <c r="H51" s="692">
        <v>0</v>
      </c>
      <c r="I51" s="692">
        <v>0</v>
      </c>
      <c r="J51" s="692">
        <f>E51-SUM(F51:I51)</f>
        <v>0</v>
      </c>
      <c r="K51" s="464">
        <v>13816.061</v>
      </c>
      <c r="L51" s="694">
        <v>11864</v>
      </c>
      <c r="M51" s="694">
        <v>1571.3719999999998</v>
      </c>
      <c r="N51" s="694">
        <v>5457</v>
      </c>
      <c r="O51" s="694">
        <v>0</v>
      </c>
      <c r="P51" s="692">
        <v>0</v>
      </c>
      <c r="Q51" s="692">
        <v>21153.599999999999</v>
      </c>
      <c r="R51" s="693">
        <v>0</v>
      </c>
      <c r="S51" s="503">
        <f>SUM(F51:R51)+D51</f>
        <v>53862.032999999996</v>
      </c>
    </row>
    <row r="52" spans="2:19">
      <c r="B52" s="478" t="s">
        <v>487</v>
      </c>
      <c r="C52" s="626">
        <v>18409.8</v>
      </c>
      <c r="D52" s="626"/>
      <c r="E52" s="626">
        <v>357.1</v>
      </c>
      <c r="F52" s="626">
        <v>118.6</v>
      </c>
      <c r="G52" s="626"/>
      <c r="H52" s="626">
        <v>136.5</v>
      </c>
      <c r="I52" s="626">
        <v>102</v>
      </c>
      <c r="J52" s="626"/>
      <c r="K52" s="626">
        <v>3816.2</v>
      </c>
      <c r="L52" s="626"/>
      <c r="M52" s="626"/>
      <c r="N52" s="626"/>
      <c r="O52" s="626"/>
      <c r="P52" s="626">
        <v>930.4</v>
      </c>
      <c r="Q52" s="626">
        <v>12637.8</v>
      </c>
      <c r="R52" s="467"/>
      <c r="S52" s="503">
        <f>SUM(F52:R52)+D52</f>
        <v>17741.5</v>
      </c>
    </row>
    <row r="53" spans="2:19">
      <c r="B53" s="478" t="s">
        <v>488</v>
      </c>
      <c r="C53" s="626">
        <v>140738.5</v>
      </c>
      <c r="D53" s="626"/>
      <c r="E53" s="626">
        <v>3192</v>
      </c>
      <c r="F53" s="626">
        <v>2546.6999999999998</v>
      </c>
      <c r="G53" s="626">
        <v>51.8</v>
      </c>
      <c r="H53" s="626">
        <v>528.9</v>
      </c>
      <c r="I53" s="626"/>
      <c r="J53" s="626"/>
      <c r="K53" s="626">
        <v>112410.8</v>
      </c>
      <c r="L53" s="626"/>
      <c r="M53" s="626"/>
      <c r="N53" s="626"/>
      <c r="O53" s="626"/>
      <c r="P53" s="626">
        <v>1371.2</v>
      </c>
      <c r="Q53" s="626">
        <v>20719.099999999999</v>
      </c>
      <c r="R53" s="467"/>
      <c r="S53" s="503">
        <f>SUM(F53:R53)+D53</f>
        <v>137628.5</v>
      </c>
    </row>
    <row r="54" spans="2:19">
      <c r="B54" s="478" t="s">
        <v>489</v>
      </c>
      <c r="C54" s="626" t="s">
        <v>443</v>
      </c>
      <c r="D54" s="626"/>
      <c r="E54" s="626" t="s">
        <v>443</v>
      </c>
      <c r="F54" s="626"/>
      <c r="G54" s="626"/>
      <c r="H54" s="626"/>
      <c r="I54" s="626"/>
      <c r="J54" s="626"/>
      <c r="K54" s="626"/>
      <c r="L54" s="626"/>
      <c r="M54" s="626"/>
      <c r="N54" s="626"/>
      <c r="O54" s="626"/>
      <c r="P54" s="626"/>
      <c r="Q54" s="626"/>
      <c r="R54" s="467"/>
      <c r="S54" s="503">
        <f>SUM(F54:R54)+D54</f>
        <v>0</v>
      </c>
    </row>
    <row r="55" spans="2:19" ht="16" thickBot="1">
      <c r="B55" s="481" t="s">
        <v>490</v>
      </c>
      <c r="C55" s="482">
        <v>22482.9</v>
      </c>
      <c r="D55" s="482"/>
      <c r="E55" s="482">
        <v>20831.8</v>
      </c>
      <c r="F55" s="483">
        <v>237.1</v>
      </c>
      <c r="G55" s="483"/>
      <c r="H55" s="483"/>
      <c r="I55" s="483">
        <v>509.8</v>
      </c>
      <c r="J55" s="483">
        <v>11170.1</v>
      </c>
      <c r="K55" s="482">
        <v>1519.4</v>
      </c>
      <c r="L55" s="482"/>
      <c r="M55" s="482"/>
      <c r="N55" s="482"/>
      <c r="O55" s="482"/>
      <c r="P55" s="483"/>
      <c r="Q55" s="483"/>
      <c r="R55" s="484">
        <v>131.69999999999999</v>
      </c>
      <c r="S55" s="503">
        <f>SUM(F55:R55)+D55</f>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W55"/>
  <sheetViews>
    <sheetView showGridLines="0" workbookViewId="0">
      <pane xSplit="3" ySplit="5" topLeftCell="J36" activePane="bottomRight" state="frozen"/>
      <selection activeCell="W2" sqref="W2"/>
      <selection pane="topRight" activeCell="W2" sqref="W2"/>
      <selection pane="bottomLeft" activeCell="W2" sqref="W2"/>
      <selection pane="bottomRight" activeCell="W51" sqref="W51"/>
    </sheetView>
  </sheetViews>
  <sheetFormatPr baseColWidth="10" defaultColWidth="9.1640625" defaultRowHeight="14"/>
  <cols>
    <col min="1" max="1" width="5.6640625" style="485" customWidth="1"/>
    <col min="2" max="2" width="31.5" style="485" bestFit="1" customWidth="1"/>
    <col min="3" max="18" width="11.6640625" style="485" customWidth="1"/>
    <col min="19" max="19" width="13.5" style="461" customWidth="1"/>
    <col min="20" max="254" width="9.1640625" style="485"/>
    <col min="255" max="255" width="5.6640625" style="485" customWidth="1"/>
    <col min="256" max="256" width="31.5" style="485" bestFit="1" customWidth="1"/>
    <col min="257" max="257" width="11.6640625" style="485" customWidth="1"/>
    <col min="258" max="258" width="12" style="485" customWidth="1"/>
    <col min="259" max="274" width="11.6640625" style="485" customWidth="1"/>
    <col min="275" max="510" width="9.1640625" style="485"/>
    <col min="511" max="511" width="5.6640625" style="485" customWidth="1"/>
    <col min="512" max="512" width="31.5" style="485" bestFit="1" customWidth="1"/>
    <col min="513" max="513" width="11.6640625" style="485" customWidth="1"/>
    <col min="514" max="514" width="12" style="485" customWidth="1"/>
    <col min="515" max="530" width="11.6640625" style="485" customWidth="1"/>
    <col min="531" max="766" width="9.1640625" style="485"/>
    <col min="767" max="767" width="5.6640625" style="485" customWidth="1"/>
    <col min="768" max="768" width="31.5" style="485" bestFit="1" customWidth="1"/>
    <col min="769" max="769" width="11.6640625" style="485" customWidth="1"/>
    <col min="770" max="770" width="12" style="485" customWidth="1"/>
    <col min="771" max="786" width="11.6640625" style="485" customWidth="1"/>
    <col min="787" max="1022" width="9.1640625" style="485"/>
    <col min="1023" max="1023" width="5.6640625" style="485" customWidth="1"/>
    <col min="1024" max="1024" width="31.5" style="485" bestFit="1" customWidth="1"/>
    <col min="1025" max="1025" width="11.6640625" style="485" customWidth="1"/>
    <col min="1026" max="1026" width="12" style="485" customWidth="1"/>
    <col min="1027" max="1042" width="11.6640625" style="485" customWidth="1"/>
    <col min="1043" max="1278" width="9.1640625" style="485"/>
    <col min="1279" max="1279" width="5.6640625" style="485" customWidth="1"/>
    <col min="1280" max="1280" width="31.5" style="485" bestFit="1" customWidth="1"/>
    <col min="1281" max="1281" width="11.6640625" style="485" customWidth="1"/>
    <col min="1282" max="1282" width="12" style="485" customWidth="1"/>
    <col min="1283" max="1298" width="11.6640625" style="485" customWidth="1"/>
    <col min="1299" max="1534" width="9.1640625" style="485"/>
    <col min="1535" max="1535" width="5.6640625" style="485" customWidth="1"/>
    <col min="1536" max="1536" width="31.5" style="485" bestFit="1" customWidth="1"/>
    <col min="1537" max="1537" width="11.6640625" style="485" customWidth="1"/>
    <col min="1538" max="1538" width="12" style="485" customWidth="1"/>
    <col min="1539" max="1554" width="11.6640625" style="485" customWidth="1"/>
    <col min="1555" max="1790" width="9.1640625" style="485"/>
    <col min="1791" max="1791" width="5.6640625" style="485" customWidth="1"/>
    <col min="1792" max="1792" width="31.5" style="485" bestFit="1" customWidth="1"/>
    <col min="1793" max="1793" width="11.6640625" style="485" customWidth="1"/>
    <col min="1794" max="1794" width="12" style="485" customWidth="1"/>
    <col min="1795" max="1810" width="11.6640625" style="485" customWidth="1"/>
    <col min="1811" max="2046" width="9.1640625" style="485"/>
    <col min="2047" max="2047" width="5.6640625" style="485" customWidth="1"/>
    <col min="2048" max="2048" width="31.5" style="485" bestFit="1" customWidth="1"/>
    <col min="2049" max="2049" width="11.6640625" style="485" customWidth="1"/>
    <col min="2050" max="2050" width="12" style="485" customWidth="1"/>
    <col min="2051" max="2066" width="11.6640625" style="485" customWidth="1"/>
    <col min="2067" max="2302" width="9.1640625" style="485"/>
    <col min="2303" max="2303" width="5.6640625" style="485" customWidth="1"/>
    <col min="2304" max="2304" width="31.5" style="485" bestFit="1" customWidth="1"/>
    <col min="2305" max="2305" width="11.6640625" style="485" customWidth="1"/>
    <col min="2306" max="2306" width="12" style="485" customWidth="1"/>
    <col min="2307" max="2322" width="11.6640625" style="485" customWidth="1"/>
    <col min="2323" max="2558" width="9.1640625" style="485"/>
    <col min="2559" max="2559" width="5.6640625" style="485" customWidth="1"/>
    <col min="2560" max="2560" width="31.5" style="485" bestFit="1" customWidth="1"/>
    <col min="2561" max="2561" width="11.6640625" style="485" customWidth="1"/>
    <col min="2562" max="2562" width="12" style="485" customWidth="1"/>
    <col min="2563" max="2578" width="11.6640625" style="485" customWidth="1"/>
    <col min="2579" max="2814" width="9.1640625" style="485"/>
    <col min="2815" max="2815" width="5.6640625" style="485" customWidth="1"/>
    <col min="2816" max="2816" width="31.5" style="485" bestFit="1" customWidth="1"/>
    <col min="2817" max="2817" width="11.6640625" style="485" customWidth="1"/>
    <col min="2818" max="2818" width="12" style="485" customWidth="1"/>
    <col min="2819" max="2834" width="11.6640625" style="485" customWidth="1"/>
    <col min="2835" max="3070" width="9.1640625" style="485"/>
    <col min="3071" max="3071" width="5.6640625" style="485" customWidth="1"/>
    <col min="3072" max="3072" width="31.5" style="485" bestFit="1" customWidth="1"/>
    <col min="3073" max="3073" width="11.6640625" style="485" customWidth="1"/>
    <col min="3074" max="3074" width="12" style="485" customWidth="1"/>
    <col min="3075" max="3090" width="11.6640625" style="485" customWidth="1"/>
    <col min="3091" max="3326" width="9.1640625" style="485"/>
    <col min="3327" max="3327" width="5.6640625" style="485" customWidth="1"/>
    <col min="3328" max="3328" width="31.5" style="485" bestFit="1" customWidth="1"/>
    <col min="3329" max="3329" width="11.6640625" style="485" customWidth="1"/>
    <col min="3330" max="3330" width="12" style="485" customWidth="1"/>
    <col min="3331" max="3346" width="11.6640625" style="485" customWidth="1"/>
    <col min="3347" max="3582" width="9.1640625" style="485"/>
    <col min="3583" max="3583" width="5.6640625" style="485" customWidth="1"/>
    <col min="3584" max="3584" width="31.5" style="485" bestFit="1" customWidth="1"/>
    <col min="3585" max="3585" width="11.6640625" style="485" customWidth="1"/>
    <col min="3586" max="3586" width="12" style="485" customWidth="1"/>
    <col min="3587" max="3602" width="11.6640625" style="485" customWidth="1"/>
    <col min="3603" max="3838" width="9.1640625" style="485"/>
    <col min="3839" max="3839" width="5.6640625" style="485" customWidth="1"/>
    <col min="3840" max="3840" width="31.5" style="485" bestFit="1" customWidth="1"/>
    <col min="3841" max="3841" width="11.6640625" style="485" customWidth="1"/>
    <col min="3842" max="3842" width="12" style="485" customWidth="1"/>
    <col min="3843" max="3858" width="11.6640625" style="485" customWidth="1"/>
    <col min="3859" max="4094" width="9.1640625" style="485"/>
    <col min="4095" max="4095" width="5.6640625" style="485" customWidth="1"/>
    <col min="4096" max="4096" width="31.5" style="485" bestFit="1" customWidth="1"/>
    <col min="4097" max="4097" width="11.6640625" style="485" customWidth="1"/>
    <col min="4098" max="4098" width="12" style="485" customWidth="1"/>
    <col min="4099" max="4114" width="11.6640625" style="485" customWidth="1"/>
    <col min="4115" max="4350" width="9.1640625" style="485"/>
    <col min="4351" max="4351" width="5.6640625" style="485" customWidth="1"/>
    <col min="4352" max="4352" width="31.5" style="485" bestFit="1" customWidth="1"/>
    <col min="4353" max="4353" width="11.6640625" style="485" customWidth="1"/>
    <col min="4354" max="4354" width="12" style="485" customWidth="1"/>
    <col min="4355" max="4370" width="11.6640625" style="485" customWidth="1"/>
    <col min="4371" max="4606" width="9.1640625" style="485"/>
    <col min="4607" max="4607" width="5.6640625" style="485" customWidth="1"/>
    <col min="4608" max="4608" width="31.5" style="485" bestFit="1" customWidth="1"/>
    <col min="4609" max="4609" width="11.6640625" style="485" customWidth="1"/>
    <col min="4610" max="4610" width="12" style="485" customWidth="1"/>
    <col min="4611" max="4626" width="11.6640625" style="485" customWidth="1"/>
    <col min="4627" max="4862" width="9.1640625" style="485"/>
    <col min="4863" max="4863" width="5.6640625" style="485" customWidth="1"/>
    <col min="4864" max="4864" width="31.5" style="485" bestFit="1" customWidth="1"/>
    <col min="4865" max="4865" width="11.6640625" style="485" customWidth="1"/>
    <col min="4866" max="4866" width="12" style="485" customWidth="1"/>
    <col min="4867" max="4882" width="11.6640625" style="485" customWidth="1"/>
    <col min="4883" max="5118" width="9.1640625" style="485"/>
    <col min="5119" max="5119" width="5.6640625" style="485" customWidth="1"/>
    <col min="5120" max="5120" width="31.5" style="485" bestFit="1" customWidth="1"/>
    <col min="5121" max="5121" width="11.6640625" style="485" customWidth="1"/>
    <col min="5122" max="5122" width="12" style="485" customWidth="1"/>
    <col min="5123" max="5138" width="11.6640625" style="485" customWidth="1"/>
    <col min="5139" max="5374" width="9.1640625" style="485"/>
    <col min="5375" max="5375" width="5.6640625" style="485" customWidth="1"/>
    <col min="5376" max="5376" width="31.5" style="485" bestFit="1" customWidth="1"/>
    <col min="5377" max="5377" width="11.6640625" style="485" customWidth="1"/>
    <col min="5378" max="5378" width="12" style="485" customWidth="1"/>
    <col min="5379" max="5394" width="11.6640625" style="485" customWidth="1"/>
    <col min="5395" max="5630" width="9.1640625" style="485"/>
    <col min="5631" max="5631" width="5.6640625" style="485" customWidth="1"/>
    <col min="5632" max="5632" width="31.5" style="485" bestFit="1" customWidth="1"/>
    <col min="5633" max="5633" width="11.6640625" style="485" customWidth="1"/>
    <col min="5634" max="5634" width="12" style="485" customWidth="1"/>
    <col min="5635" max="5650" width="11.6640625" style="485" customWidth="1"/>
    <col min="5651" max="5886" width="9.1640625" style="485"/>
    <col min="5887" max="5887" width="5.6640625" style="485" customWidth="1"/>
    <col min="5888" max="5888" width="31.5" style="485" bestFit="1" customWidth="1"/>
    <col min="5889" max="5889" width="11.6640625" style="485" customWidth="1"/>
    <col min="5890" max="5890" width="12" style="485" customWidth="1"/>
    <col min="5891" max="5906" width="11.6640625" style="485" customWidth="1"/>
    <col min="5907" max="6142" width="9.1640625" style="485"/>
    <col min="6143" max="6143" width="5.6640625" style="485" customWidth="1"/>
    <col min="6144" max="6144" width="31.5" style="485" bestFit="1" customWidth="1"/>
    <col min="6145" max="6145" width="11.6640625" style="485" customWidth="1"/>
    <col min="6146" max="6146" width="12" style="485" customWidth="1"/>
    <col min="6147" max="6162" width="11.6640625" style="485" customWidth="1"/>
    <col min="6163" max="6398" width="9.1640625" style="485"/>
    <col min="6399" max="6399" width="5.6640625" style="485" customWidth="1"/>
    <col min="6400" max="6400" width="31.5" style="485" bestFit="1" customWidth="1"/>
    <col min="6401" max="6401" width="11.6640625" style="485" customWidth="1"/>
    <col min="6402" max="6402" width="12" style="485" customWidth="1"/>
    <col min="6403" max="6418" width="11.6640625" style="485" customWidth="1"/>
    <col min="6419" max="6654" width="9.1640625" style="485"/>
    <col min="6655" max="6655" width="5.6640625" style="485" customWidth="1"/>
    <col min="6656" max="6656" width="31.5" style="485" bestFit="1" customWidth="1"/>
    <col min="6657" max="6657" width="11.6640625" style="485" customWidth="1"/>
    <col min="6658" max="6658" width="12" style="485" customWidth="1"/>
    <col min="6659" max="6674" width="11.6640625" style="485" customWidth="1"/>
    <col min="6675" max="6910" width="9.1640625" style="485"/>
    <col min="6911" max="6911" width="5.6640625" style="485" customWidth="1"/>
    <col min="6912" max="6912" width="31.5" style="485" bestFit="1" customWidth="1"/>
    <col min="6913" max="6913" width="11.6640625" style="485" customWidth="1"/>
    <col min="6914" max="6914" width="12" style="485" customWidth="1"/>
    <col min="6915" max="6930" width="11.6640625" style="485" customWidth="1"/>
    <col min="6931" max="7166" width="9.1640625" style="485"/>
    <col min="7167" max="7167" width="5.6640625" style="485" customWidth="1"/>
    <col min="7168" max="7168" width="31.5" style="485" bestFit="1" customWidth="1"/>
    <col min="7169" max="7169" width="11.6640625" style="485" customWidth="1"/>
    <col min="7170" max="7170" width="12" style="485" customWidth="1"/>
    <col min="7171" max="7186" width="11.6640625" style="485" customWidth="1"/>
    <col min="7187" max="7422" width="9.1640625" style="485"/>
    <col min="7423" max="7423" width="5.6640625" style="485" customWidth="1"/>
    <col min="7424" max="7424" width="31.5" style="485" bestFit="1" customWidth="1"/>
    <col min="7425" max="7425" width="11.6640625" style="485" customWidth="1"/>
    <col min="7426" max="7426" width="12" style="485" customWidth="1"/>
    <col min="7427" max="7442" width="11.6640625" style="485" customWidth="1"/>
    <col min="7443" max="7678" width="9.1640625" style="485"/>
    <col min="7679" max="7679" width="5.6640625" style="485" customWidth="1"/>
    <col min="7680" max="7680" width="31.5" style="485" bestFit="1" customWidth="1"/>
    <col min="7681" max="7681" width="11.6640625" style="485" customWidth="1"/>
    <col min="7682" max="7682" width="12" style="485" customWidth="1"/>
    <col min="7683" max="7698" width="11.6640625" style="485" customWidth="1"/>
    <col min="7699" max="7934" width="9.1640625" style="485"/>
    <col min="7935" max="7935" width="5.6640625" style="485" customWidth="1"/>
    <col min="7936" max="7936" width="31.5" style="485" bestFit="1" customWidth="1"/>
    <col min="7937" max="7937" width="11.6640625" style="485" customWidth="1"/>
    <col min="7938" max="7938" width="12" style="485" customWidth="1"/>
    <col min="7939" max="7954" width="11.6640625" style="485" customWidth="1"/>
    <col min="7955" max="8190" width="9.1640625" style="485"/>
    <col min="8191" max="8191" width="5.6640625" style="485" customWidth="1"/>
    <col min="8192" max="8192" width="31.5" style="485" bestFit="1" customWidth="1"/>
    <col min="8193" max="8193" width="11.6640625" style="485" customWidth="1"/>
    <col min="8194" max="8194" width="12" style="485" customWidth="1"/>
    <col min="8195" max="8210" width="11.6640625" style="485" customWidth="1"/>
    <col min="8211" max="8446" width="9.1640625" style="485"/>
    <col min="8447" max="8447" width="5.6640625" style="485" customWidth="1"/>
    <col min="8448" max="8448" width="31.5" style="485" bestFit="1" customWidth="1"/>
    <col min="8449" max="8449" width="11.6640625" style="485" customWidth="1"/>
    <col min="8450" max="8450" width="12" style="485" customWidth="1"/>
    <col min="8451" max="8466" width="11.6640625" style="485" customWidth="1"/>
    <col min="8467" max="8702" width="9.1640625" style="485"/>
    <col min="8703" max="8703" width="5.6640625" style="485" customWidth="1"/>
    <col min="8704" max="8704" width="31.5" style="485" bestFit="1" customWidth="1"/>
    <col min="8705" max="8705" width="11.6640625" style="485" customWidth="1"/>
    <col min="8706" max="8706" width="12" style="485" customWidth="1"/>
    <col min="8707" max="8722" width="11.6640625" style="485" customWidth="1"/>
    <col min="8723" max="8958" width="9.1640625" style="485"/>
    <col min="8959" max="8959" width="5.6640625" style="485" customWidth="1"/>
    <col min="8960" max="8960" width="31.5" style="485" bestFit="1" customWidth="1"/>
    <col min="8961" max="8961" width="11.6640625" style="485" customWidth="1"/>
    <col min="8962" max="8962" width="12" style="485" customWidth="1"/>
    <col min="8963" max="8978" width="11.6640625" style="485" customWidth="1"/>
    <col min="8979" max="9214" width="9.1640625" style="485"/>
    <col min="9215" max="9215" width="5.6640625" style="485" customWidth="1"/>
    <col min="9216" max="9216" width="31.5" style="485" bestFit="1" customWidth="1"/>
    <col min="9217" max="9217" width="11.6640625" style="485" customWidth="1"/>
    <col min="9218" max="9218" width="12" style="485" customWidth="1"/>
    <col min="9219" max="9234" width="11.6640625" style="485" customWidth="1"/>
    <col min="9235" max="9470" width="9.1640625" style="485"/>
    <col min="9471" max="9471" width="5.6640625" style="485" customWidth="1"/>
    <col min="9472" max="9472" width="31.5" style="485" bestFit="1" customWidth="1"/>
    <col min="9473" max="9473" width="11.6640625" style="485" customWidth="1"/>
    <col min="9474" max="9474" width="12" style="485" customWidth="1"/>
    <col min="9475" max="9490" width="11.6640625" style="485" customWidth="1"/>
    <col min="9491" max="9726" width="9.1640625" style="485"/>
    <col min="9727" max="9727" width="5.6640625" style="485" customWidth="1"/>
    <col min="9728" max="9728" width="31.5" style="485" bestFit="1" customWidth="1"/>
    <col min="9729" max="9729" width="11.6640625" style="485" customWidth="1"/>
    <col min="9730" max="9730" width="12" style="485" customWidth="1"/>
    <col min="9731" max="9746" width="11.6640625" style="485" customWidth="1"/>
    <col min="9747" max="9982" width="9.1640625" style="485"/>
    <col min="9983" max="9983" width="5.6640625" style="485" customWidth="1"/>
    <col min="9984" max="9984" width="31.5" style="485" bestFit="1" customWidth="1"/>
    <col min="9985" max="9985" width="11.6640625" style="485" customWidth="1"/>
    <col min="9986" max="9986" width="12" style="485" customWidth="1"/>
    <col min="9987" max="10002" width="11.6640625" style="485" customWidth="1"/>
    <col min="10003" max="10238" width="9.1640625" style="485"/>
    <col min="10239" max="10239" width="5.6640625" style="485" customWidth="1"/>
    <col min="10240" max="10240" width="31.5" style="485" bestFit="1" customWidth="1"/>
    <col min="10241" max="10241" width="11.6640625" style="485" customWidth="1"/>
    <col min="10242" max="10242" width="12" style="485" customWidth="1"/>
    <col min="10243" max="10258" width="11.6640625" style="485" customWidth="1"/>
    <col min="10259" max="10494" width="9.1640625" style="485"/>
    <col min="10495" max="10495" width="5.6640625" style="485" customWidth="1"/>
    <col min="10496" max="10496" width="31.5" style="485" bestFit="1" customWidth="1"/>
    <col min="10497" max="10497" width="11.6640625" style="485" customWidth="1"/>
    <col min="10498" max="10498" width="12" style="485" customWidth="1"/>
    <col min="10499" max="10514" width="11.6640625" style="485" customWidth="1"/>
    <col min="10515" max="10750" width="9.1640625" style="485"/>
    <col min="10751" max="10751" width="5.6640625" style="485" customWidth="1"/>
    <col min="10752" max="10752" width="31.5" style="485" bestFit="1" customWidth="1"/>
    <col min="10753" max="10753" width="11.6640625" style="485" customWidth="1"/>
    <col min="10754" max="10754" width="12" style="485" customWidth="1"/>
    <col min="10755" max="10770" width="11.6640625" style="485" customWidth="1"/>
    <col min="10771" max="11006" width="9.1640625" style="485"/>
    <col min="11007" max="11007" width="5.6640625" style="485" customWidth="1"/>
    <col min="11008" max="11008" width="31.5" style="485" bestFit="1" customWidth="1"/>
    <col min="11009" max="11009" width="11.6640625" style="485" customWidth="1"/>
    <col min="11010" max="11010" width="12" style="485" customWidth="1"/>
    <col min="11011" max="11026" width="11.6640625" style="485" customWidth="1"/>
    <col min="11027" max="11262" width="9.1640625" style="485"/>
    <col min="11263" max="11263" width="5.6640625" style="485" customWidth="1"/>
    <col min="11264" max="11264" width="31.5" style="485" bestFit="1" customWidth="1"/>
    <col min="11265" max="11265" width="11.6640625" style="485" customWidth="1"/>
    <col min="11266" max="11266" width="12" style="485" customWidth="1"/>
    <col min="11267" max="11282" width="11.6640625" style="485" customWidth="1"/>
    <col min="11283" max="11518" width="9.1640625" style="485"/>
    <col min="11519" max="11519" width="5.6640625" style="485" customWidth="1"/>
    <col min="11520" max="11520" width="31.5" style="485" bestFit="1" customWidth="1"/>
    <col min="11521" max="11521" width="11.6640625" style="485" customWidth="1"/>
    <col min="11522" max="11522" width="12" style="485" customWidth="1"/>
    <col min="11523" max="11538" width="11.6640625" style="485" customWidth="1"/>
    <col min="11539" max="11774" width="9.1640625" style="485"/>
    <col min="11775" max="11775" width="5.6640625" style="485" customWidth="1"/>
    <col min="11776" max="11776" width="31.5" style="485" bestFit="1" customWidth="1"/>
    <col min="11777" max="11777" width="11.6640625" style="485" customWidth="1"/>
    <col min="11778" max="11778" width="12" style="485" customWidth="1"/>
    <col min="11779" max="11794" width="11.6640625" style="485" customWidth="1"/>
    <col min="11795" max="12030" width="9.1640625" style="485"/>
    <col min="12031" max="12031" width="5.6640625" style="485" customWidth="1"/>
    <col min="12032" max="12032" width="31.5" style="485" bestFit="1" customWidth="1"/>
    <col min="12033" max="12033" width="11.6640625" style="485" customWidth="1"/>
    <col min="12034" max="12034" width="12" style="485" customWidth="1"/>
    <col min="12035" max="12050" width="11.6640625" style="485" customWidth="1"/>
    <col min="12051" max="12286" width="9.1640625" style="485"/>
    <col min="12287" max="12287" width="5.6640625" style="485" customWidth="1"/>
    <col min="12288" max="12288" width="31.5" style="485" bestFit="1" customWidth="1"/>
    <col min="12289" max="12289" width="11.6640625" style="485" customWidth="1"/>
    <col min="12290" max="12290" width="12" style="485" customWidth="1"/>
    <col min="12291" max="12306" width="11.6640625" style="485" customWidth="1"/>
    <col min="12307" max="12542" width="9.1640625" style="485"/>
    <col min="12543" max="12543" width="5.6640625" style="485" customWidth="1"/>
    <col min="12544" max="12544" width="31.5" style="485" bestFit="1" customWidth="1"/>
    <col min="12545" max="12545" width="11.6640625" style="485" customWidth="1"/>
    <col min="12546" max="12546" width="12" style="485" customWidth="1"/>
    <col min="12547" max="12562" width="11.6640625" style="485" customWidth="1"/>
    <col min="12563" max="12798" width="9.1640625" style="485"/>
    <col min="12799" max="12799" width="5.6640625" style="485" customWidth="1"/>
    <col min="12800" max="12800" width="31.5" style="485" bestFit="1" customWidth="1"/>
    <col min="12801" max="12801" width="11.6640625" style="485" customWidth="1"/>
    <col min="12802" max="12802" width="12" style="485" customWidth="1"/>
    <col min="12803" max="12818" width="11.6640625" style="485" customWidth="1"/>
    <col min="12819" max="13054" width="9.1640625" style="485"/>
    <col min="13055" max="13055" width="5.6640625" style="485" customWidth="1"/>
    <col min="13056" max="13056" width="31.5" style="485" bestFit="1" customWidth="1"/>
    <col min="13057" max="13057" width="11.6640625" style="485" customWidth="1"/>
    <col min="13058" max="13058" width="12" style="485" customWidth="1"/>
    <col min="13059" max="13074" width="11.6640625" style="485" customWidth="1"/>
    <col min="13075" max="13310" width="9.1640625" style="485"/>
    <col min="13311" max="13311" width="5.6640625" style="485" customWidth="1"/>
    <col min="13312" max="13312" width="31.5" style="485" bestFit="1" customWidth="1"/>
    <col min="13313" max="13313" width="11.6640625" style="485" customWidth="1"/>
    <col min="13314" max="13314" width="12" style="485" customWidth="1"/>
    <col min="13315" max="13330" width="11.6640625" style="485" customWidth="1"/>
    <col min="13331" max="13566" width="9.1640625" style="485"/>
    <col min="13567" max="13567" width="5.6640625" style="485" customWidth="1"/>
    <col min="13568" max="13568" width="31.5" style="485" bestFit="1" customWidth="1"/>
    <col min="13569" max="13569" width="11.6640625" style="485" customWidth="1"/>
    <col min="13570" max="13570" width="12" style="485" customWidth="1"/>
    <col min="13571" max="13586" width="11.6640625" style="485" customWidth="1"/>
    <col min="13587" max="13822" width="9.1640625" style="485"/>
    <col min="13823" max="13823" width="5.6640625" style="485" customWidth="1"/>
    <col min="13824" max="13824" width="31.5" style="485" bestFit="1" customWidth="1"/>
    <col min="13825" max="13825" width="11.6640625" style="485" customWidth="1"/>
    <col min="13826" max="13826" width="12" style="485" customWidth="1"/>
    <col min="13827" max="13842" width="11.6640625" style="485" customWidth="1"/>
    <col min="13843" max="14078" width="9.1640625" style="485"/>
    <col min="14079" max="14079" width="5.6640625" style="485" customWidth="1"/>
    <col min="14080" max="14080" width="31.5" style="485" bestFit="1" customWidth="1"/>
    <col min="14081" max="14081" width="11.6640625" style="485" customWidth="1"/>
    <col min="14082" max="14082" width="12" style="485" customWidth="1"/>
    <col min="14083" max="14098" width="11.6640625" style="485" customWidth="1"/>
    <col min="14099" max="14334" width="9.1640625" style="485"/>
    <col min="14335" max="14335" width="5.6640625" style="485" customWidth="1"/>
    <col min="14336" max="14336" width="31.5" style="485" bestFit="1" customWidth="1"/>
    <col min="14337" max="14337" width="11.6640625" style="485" customWidth="1"/>
    <col min="14338" max="14338" width="12" style="485" customWidth="1"/>
    <col min="14339" max="14354" width="11.6640625" style="485" customWidth="1"/>
    <col min="14355" max="14590" width="9.1640625" style="485"/>
    <col min="14591" max="14591" width="5.6640625" style="485" customWidth="1"/>
    <col min="14592" max="14592" width="31.5" style="485" bestFit="1" customWidth="1"/>
    <col min="14593" max="14593" width="11.6640625" style="485" customWidth="1"/>
    <col min="14594" max="14594" width="12" style="485" customWidth="1"/>
    <col min="14595" max="14610" width="11.6640625" style="485" customWidth="1"/>
    <col min="14611" max="14846" width="9.1640625" style="485"/>
    <col min="14847" max="14847" width="5.6640625" style="485" customWidth="1"/>
    <col min="14848" max="14848" width="31.5" style="485" bestFit="1" customWidth="1"/>
    <col min="14849" max="14849" width="11.6640625" style="485" customWidth="1"/>
    <col min="14850" max="14850" width="12" style="485" customWidth="1"/>
    <col min="14851" max="14866" width="11.6640625" style="485" customWidth="1"/>
    <col min="14867" max="15102" width="9.1640625" style="485"/>
    <col min="15103" max="15103" width="5.6640625" style="485" customWidth="1"/>
    <col min="15104" max="15104" width="31.5" style="485" bestFit="1" customWidth="1"/>
    <col min="15105" max="15105" width="11.6640625" style="485" customWidth="1"/>
    <col min="15106" max="15106" width="12" style="485" customWidth="1"/>
    <col min="15107" max="15122" width="11.6640625" style="485" customWidth="1"/>
    <col min="15123" max="15358" width="9.1640625" style="485"/>
    <col min="15359" max="15359" width="5.6640625" style="485" customWidth="1"/>
    <col min="15360" max="15360" width="31.5" style="485" bestFit="1" customWidth="1"/>
    <col min="15361" max="15361" width="11.6640625" style="485" customWidth="1"/>
    <col min="15362" max="15362" width="12" style="485" customWidth="1"/>
    <col min="15363" max="15378" width="11.6640625" style="485" customWidth="1"/>
    <col min="15379" max="15614" width="9.1640625" style="485"/>
    <col min="15615" max="15615" width="5.6640625" style="485" customWidth="1"/>
    <col min="15616" max="15616" width="31.5" style="485" bestFit="1" customWidth="1"/>
    <col min="15617" max="15617" width="11.6640625" style="485" customWidth="1"/>
    <col min="15618" max="15618" width="12" style="485" customWidth="1"/>
    <col min="15619" max="15634" width="11.6640625" style="485" customWidth="1"/>
    <col min="15635" max="15870" width="9.1640625" style="485"/>
    <col min="15871" max="15871" width="5.6640625" style="485" customWidth="1"/>
    <col min="15872" max="15872" width="31.5" style="485" bestFit="1" customWidth="1"/>
    <col min="15873" max="15873" width="11.6640625" style="485" customWidth="1"/>
    <col min="15874" max="15874" width="12" style="485" customWidth="1"/>
    <col min="15875" max="15890" width="11.6640625" style="485" customWidth="1"/>
    <col min="15891" max="16126" width="9.1640625" style="485"/>
    <col min="16127" max="16127" width="5.6640625" style="485" customWidth="1"/>
    <col min="16128" max="16128" width="31.5" style="485" bestFit="1" customWidth="1"/>
    <col min="16129" max="16129" width="11.6640625" style="485" customWidth="1"/>
    <col min="16130" max="16130" width="12" style="485" customWidth="1"/>
    <col min="16131" max="16146" width="11.6640625" style="485" customWidth="1"/>
    <col min="16147" max="16384" width="9.1640625" style="485"/>
  </cols>
  <sheetData>
    <row r="1" spans="2:23" s="461" customFormat="1" ht="46" thickBot="1">
      <c r="D1" s="461" t="s">
        <v>55</v>
      </c>
      <c r="F1" s="461" t="s">
        <v>53</v>
      </c>
      <c r="G1" s="461" t="s">
        <v>79</v>
      </c>
      <c r="H1" s="461" t="s">
        <v>68</v>
      </c>
      <c r="I1" s="461" t="s">
        <v>54</v>
      </c>
      <c r="J1" s="487" t="s">
        <v>441</v>
      </c>
      <c r="K1" s="461" t="s">
        <v>51</v>
      </c>
      <c r="L1" s="625" t="s">
        <v>77</v>
      </c>
      <c r="M1" s="625" t="s">
        <v>582</v>
      </c>
      <c r="N1" s="625" t="s">
        <v>78</v>
      </c>
      <c r="O1" s="625" t="s">
        <v>80</v>
      </c>
      <c r="P1" s="461" t="s">
        <v>52</v>
      </c>
      <c r="Q1" s="461" t="s">
        <v>50</v>
      </c>
      <c r="R1" s="461" t="s">
        <v>587</v>
      </c>
      <c r="S1" s="461" t="s">
        <v>57</v>
      </c>
      <c r="W1" s="461" t="s">
        <v>590</v>
      </c>
    </row>
    <row r="2" spans="2:23">
      <c r="B2" s="666" t="s">
        <v>491</v>
      </c>
      <c r="C2" s="666"/>
      <c r="D2" s="666"/>
      <c r="E2" s="666"/>
      <c r="F2" s="666"/>
      <c r="G2" s="666"/>
      <c r="H2" s="666"/>
      <c r="I2" s="666"/>
      <c r="J2" s="666"/>
      <c r="K2" s="666"/>
      <c r="L2" s="666"/>
      <c r="M2" s="666"/>
      <c r="N2" s="666"/>
      <c r="O2" s="666"/>
      <c r="P2" s="666"/>
      <c r="Q2" s="666"/>
      <c r="R2" s="666"/>
    </row>
    <row r="3" spans="2:23" ht="15" thickBot="1">
      <c r="B3" s="667" t="s">
        <v>430</v>
      </c>
      <c r="C3" s="667"/>
      <c r="D3" s="667"/>
      <c r="E3" s="667"/>
      <c r="F3" s="667"/>
      <c r="G3" s="667"/>
      <c r="H3" s="667"/>
      <c r="I3" s="667"/>
      <c r="J3" s="667"/>
      <c r="K3" s="667"/>
      <c r="L3" s="667"/>
      <c r="M3" s="667"/>
      <c r="N3" s="667"/>
      <c r="O3" s="667"/>
      <c r="P3" s="667"/>
      <c r="Q3" s="667"/>
      <c r="R3" s="667"/>
    </row>
    <row r="4" spans="2:23" s="486" customFormat="1" ht="18.75" customHeight="1">
      <c r="B4" s="674"/>
      <c r="C4" s="670" t="s">
        <v>431</v>
      </c>
      <c r="D4" s="650"/>
      <c r="E4" s="670" t="s">
        <v>432</v>
      </c>
      <c r="F4" s="652"/>
      <c r="G4" s="652"/>
      <c r="H4" s="652"/>
      <c r="I4" s="652"/>
      <c r="J4" s="653"/>
      <c r="K4" s="670" t="s">
        <v>433</v>
      </c>
      <c r="L4" s="650"/>
      <c r="M4" s="650"/>
      <c r="N4" s="650"/>
      <c r="O4" s="650"/>
      <c r="P4" s="670" t="s">
        <v>435</v>
      </c>
      <c r="Q4" s="670" t="s">
        <v>436</v>
      </c>
      <c r="R4" s="672" t="s">
        <v>584</v>
      </c>
      <c r="S4" s="680" t="s">
        <v>57</v>
      </c>
    </row>
    <row r="5" spans="2:23" s="489" customFormat="1" ht="50.25" customHeight="1" thickBot="1">
      <c r="B5" s="675"/>
      <c r="C5" s="671"/>
      <c r="D5" s="651" t="s">
        <v>579</v>
      </c>
      <c r="E5" s="671"/>
      <c r="F5" s="487" t="s">
        <v>437</v>
      </c>
      <c r="G5" s="487" t="s">
        <v>438</v>
      </c>
      <c r="H5" s="487" t="s">
        <v>492</v>
      </c>
      <c r="I5" s="488" t="s">
        <v>493</v>
      </c>
      <c r="J5" s="487" t="s">
        <v>441</v>
      </c>
      <c r="K5" s="671"/>
      <c r="L5" s="625" t="s">
        <v>77</v>
      </c>
      <c r="M5" s="625" t="s">
        <v>582</v>
      </c>
      <c r="N5" s="625" t="s">
        <v>78</v>
      </c>
      <c r="O5" s="625" t="s">
        <v>80</v>
      </c>
      <c r="P5" s="671"/>
      <c r="Q5" s="671"/>
      <c r="R5" s="673"/>
      <c r="S5" s="681"/>
    </row>
    <row r="6" spans="2:23" ht="15">
      <c r="B6" s="463" t="s">
        <v>442</v>
      </c>
      <c r="C6" s="490">
        <v>2557914.5</v>
      </c>
      <c r="D6" s="490"/>
      <c r="E6" s="490" t="s">
        <v>443</v>
      </c>
      <c r="F6" s="490" t="s">
        <v>443</v>
      </c>
      <c r="G6" s="490" t="s">
        <v>443</v>
      </c>
      <c r="H6" s="490" t="s">
        <v>443</v>
      </c>
      <c r="I6" s="490" t="s">
        <v>443</v>
      </c>
      <c r="J6" s="490" t="s">
        <v>443</v>
      </c>
      <c r="K6" s="490">
        <v>751362.1</v>
      </c>
      <c r="L6" s="490"/>
      <c r="M6" s="490"/>
      <c r="N6" s="490"/>
      <c r="O6" s="490"/>
      <c r="P6" s="490" t="s">
        <v>443</v>
      </c>
      <c r="Q6" s="490" t="s">
        <v>443</v>
      </c>
      <c r="R6" s="491" t="s">
        <v>443</v>
      </c>
      <c r="S6" s="503">
        <f>SUM(F6:R6)+D6</f>
        <v>751362.1</v>
      </c>
    </row>
    <row r="7" spans="2:23">
      <c r="B7" s="466" t="s">
        <v>444</v>
      </c>
      <c r="C7" s="633">
        <v>12895.3</v>
      </c>
      <c r="D7" s="633"/>
      <c r="E7" s="633">
        <v>11847.4</v>
      </c>
      <c r="F7" s="633" t="s">
        <v>443</v>
      </c>
      <c r="G7" s="633">
        <v>1978.4</v>
      </c>
      <c r="H7" s="633">
        <v>528.9</v>
      </c>
      <c r="I7" s="633">
        <v>5734.8</v>
      </c>
      <c r="J7" s="633">
        <v>2981</v>
      </c>
      <c r="K7" s="633" t="s">
        <v>443</v>
      </c>
      <c r="L7" s="633"/>
      <c r="M7" s="633"/>
      <c r="N7" s="633"/>
      <c r="O7" s="633"/>
      <c r="P7" s="633" t="s">
        <v>443</v>
      </c>
      <c r="Q7" s="633">
        <v>387</v>
      </c>
      <c r="R7" s="492">
        <v>660.9</v>
      </c>
      <c r="S7" s="503">
        <f>SUM(F7:R7)+D7</f>
        <v>12271</v>
      </c>
    </row>
    <row r="8" spans="2:23">
      <c r="B8" s="466" t="s">
        <v>445</v>
      </c>
      <c r="C8" s="633">
        <v>-1928627.4</v>
      </c>
      <c r="D8" s="633"/>
      <c r="E8" s="633">
        <v>-96495.9</v>
      </c>
      <c r="F8" s="633">
        <v>-735.1</v>
      </c>
      <c r="G8" s="633">
        <v>-203</v>
      </c>
      <c r="H8" s="633">
        <v>-70595.7</v>
      </c>
      <c r="I8" s="633">
        <v>-4817.2</v>
      </c>
      <c r="J8" s="633">
        <v>-9934.2000000000007</v>
      </c>
      <c r="K8" s="633">
        <v>-318151.5</v>
      </c>
      <c r="L8" s="633"/>
      <c r="M8" s="633"/>
      <c r="N8" s="633"/>
      <c r="O8" s="633"/>
      <c r="P8" s="633" t="s">
        <v>443</v>
      </c>
      <c r="Q8" s="633">
        <v>-954</v>
      </c>
      <c r="R8" s="492" t="s">
        <v>443</v>
      </c>
      <c r="S8" s="503">
        <f>SUM(F8:R8)+D8</f>
        <v>-405390.7</v>
      </c>
    </row>
    <row r="9" spans="2:23" ht="15">
      <c r="B9" s="468" t="s">
        <v>446</v>
      </c>
      <c r="C9" s="633">
        <v>-13573.9</v>
      </c>
      <c r="D9" s="633"/>
      <c r="E9" s="633">
        <v>-13573.9</v>
      </c>
      <c r="F9" s="633" t="s">
        <v>443</v>
      </c>
      <c r="G9" s="633" t="s">
        <v>443</v>
      </c>
      <c r="H9" s="633">
        <v>-2132.8000000000002</v>
      </c>
      <c r="I9" s="633" t="s">
        <v>443</v>
      </c>
      <c r="J9" s="633" t="s">
        <v>443</v>
      </c>
      <c r="K9" s="633" t="s">
        <v>443</v>
      </c>
      <c r="L9" s="633"/>
      <c r="M9" s="633"/>
      <c r="N9" s="633"/>
      <c r="O9" s="633"/>
      <c r="P9" s="633" t="s">
        <v>443</v>
      </c>
      <c r="Q9" s="633" t="s">
        <v>443</v>
      </c>
      <c r="R9" s="492" t="s">
        <v>443</v>
      </c>
      <c r="S9" s="503">
        <f>SUM(F9:R9)+D9</f>
        <v>-2132.8000000000002</v>
      </c>
    </row>
    <row r="10" spans="2:23">
      <c r="B10" s="469" t="s">
        <v>447</v>
      </c>
      <c r="C10" s="633">
        <v>-2132.8000000000002</v>
      </c>
      <c r="D10" s="633"/>
      <c r="E10" s="633">
        <v>-2132.8000000000002</v>
      </c>
      <c r="F10" s="633" t="s">
        <v>443</v>
      </c>
      <c r="G10" s="633" t="s">
        <v>443</v>
      </c>
      <c r="H10" s="633">
        <v>-2132.8000000000002</v>
      </c>
      <c r="I10" s="633" t="s">
        <v>443</v>
      </c>
      <c r="J10" s="633" t="s">
        <v>443</v>
      </c>
      <c r="K10" s="633" t="s">
        <v>443</v>
      </c>
      <c r="L10" s="633"/>
      <c r="M10" s="633"/>
      <c r="N10" s="633"/>
      <c r="O10" s="633"/>
      <c r="P10" s="633" t="s">
        <v>443</v>
      </c>
      <c r="Q10" s="633" t="s">
        <v>443</v>
      </c>
      <c r="R10" s="492" t="s">
        <v>443</v>
      </c>
      <c r="S10" s="503">
        <f>SUM(F10:R10)+D10</f>
        <v>-2132.8000000000002</v>
      </c>
    </row>
    <row r="11" spans="2:23">
      <c r="B11" s="469" t="s">
        <v>448</v>
      </c>
      <c r="C11" s="633">
        <v>-11441.1</v>
      </c>
      <c r="D11" s="633"/>
      <c r="E11" s="633">
        <v>-11441.1</v>
      </c>
      <c r="F11" s="633" t="s">
        <v>443</v>
      </c>
      <c r="G11" s="633" t="s">
        <v>443</v>
      </c>
      <c r="H11" s="633" t="s">
        <v>443</v>
      </c>
      <c r="I11" s="633" t="s">
        <v>443</v>
      </c>
      <c r="J11" s="633" t="s">
        <v>443</v>
      </c>
      <c r="K11" s="633" t="s">
        <v>443</v>
      </c>
      <c r="L11" s="633"/>
      <c r="M11" s="633"/>
      <c r="N11" s="633"/>
      <c r="O11" s="633"/>
      <c r="P11" s="633" t="s">
        <v>443</v>
      </c>
      <c r="Q11" s="633" t="s">
        <v>443</v>
      </c>
      <c r="R11" s="492" t="s">
        <v>443</v>
      </c>
      <c r="S11" s="503">
        <f>SUM(F11:R11)+D11</f>
        <v>0</v>
      </c>
    </row>
    <row r="12" spans="2:23">
      <c r="B12" s="470" t="s">
        <v>449</v>
      </c>
      <c r="C12" s="633">
        <v>23320.1</v>
      </c>
      <c r="D12" s="633"/>
      <c r="E12" s="633">
        <v>7955.7</v>
      </c>
      <c r="F12" s="633">
        <v>-170.7</v>
      </c>
      <c r="G12" s="633">
        <v>2168.5</v>
      </c>
      <c r="H12" s="633">
        <v>2218.1</v>
      </c>
      <c r="I12" s="633">
        <v>2663.5</v>
      </c>
      <c r="J12" s="633">
        <v>642.5</v>
      </c>
      <c r="K12" s="633">
        <v>12651.5</v>
      </c>
      <c r="L12" s="633"/>
      <c r="M12" s="633"/>
      <c r="N12" s="633"/>
      <c r="O12" s="633"/>
      <c r="P12" s="633" t="s">
        <v>443</v>
      </c>
      <c r="Q12" s="633" t="s">
        <v>443</v>
      </c>
      <c r="R12" s="492">
        <v>102.4</v>
      </c>
      <c r="S12" s="503">
        <f>SUM(F12:R12)+D12</f>
        <v>20275.800000000003</v>
      </c>
    </row>
    <row r="13" spans="2:23">
      <c r="B13" s="471" t="s">
        <v>450</v>
      </c>
      <c r="C13" s="634">
        <v>651928.6</v>
      </c>
      <c r="D13" s="634"/>
      <c r="E13" s="634">
        <v>-90266.7</v>
      </c>
      <c r="F13" s="633">
        <v>-905.8</v>
      </c>
      <c r="G13" s="633">
        <v>3943.9</v>
      </c>
      <c r="H13" s="633">
        <v>-69981.5</v>
      </c>
      <c r="I13" s="633">
        <v>3581.1</v>
      </c>
      <c r="J13" s="633">
        <v>-6310.7</v>
      </c>
      <c r="K13" s="634">
        <v>445862.1</v>
      </c>
      <c r="L13" s="634"/>
      <c r="M13" s="634"/>
      <c r="N13" s="634"/>
      <c r="O13" s="634"/>
      <c r="P13" s="633" t="s">
        <v>443</v>
      </c>
      <c r="Q13" s="634">
        <v>-567</v>
      </c>
      <c r="R13" s="493">
        <v>763.3</v>
      </c>
      <c r="S13" s="503">
        <f>SUM(F13:R13)+D13</f>
        <v>376385.39999999997</v>
      </c>
    </row>
    <row r="14" spans="2:23">
      <c r="B14" s="473" t="s">
        <v>451</v>
      </c>
      <c r="C14" s="634">
        <v>6271</v>
      </c>
      <c r="D14" s="634"/>
      <c r="E14" s="634">
        <v>2512.8000000000002</v>
      </c>
      <c r="F14" s="633">
        <v>33.4</v>
      </c>
      <c r="G14" s="633">
        <v>846.7</v>
      </c>
      <c r="H14" s="633">
        <v>1032.2</v>
      </c>
      <c r="I14" s="633">
        <v>72.400000000000006</v>
      </c>
      <c r="J14" s="633">
        <v>12.1</v>
      </c>
      <c r="K14" s="634">
        <v>1785.3</v>
      </c>
      <c r="L14" s="634"/>
      <c r="M14" s="634"/>
      <c r="N14" s="634"/>
      <c r="O14" s="634"/>
      <c r="P14" s="633" t="s">
        <v>443</v>
      </c>
      <c r="Q14" s="634">
        <v>387</v>
      </c>
      <c r="R14" s="492" t="s">
        <v>443</v>
      </c>
      <c r="S14" s="503">
        <f>SUM(F14:R14)+D14</f>
        <v>4169.1000000000004</v>
      </c>
    </row>
    <row r="15" spans="2:23">
      <c r="B15" s="473" t="s">
        <v>452</v>
      </c>
      <c r="C15" s="633" t="s">
        <v>443</v>
      </c>
      <c r="D15" s="633"/>
      <c r="E15" s="633" t="s">
        <v>443</v>
      </c>
      <c r="F15" s="633" t="s">
        <v>443</v>
      </c>
      <c r="G15" s="633" t="s">
        <v>443</v>
      </c>
      <c r="H15" s="633" t="s">
        <v>443</v>
      </c>
      <c r="I15" s="633" t="s">
        <v>443</v>
      </c>
      <c r="J15" s="633" t="s">
        <v>443</v>
      </c>
      <c r="K15" s="633" t="s">
        <v>443</v>
      </c>
      <c r="L15" s="633"/>
      <c r="M15" s="633"/>
      <c r="N15" s="633"/>
      <c r="O15" s="633"/>
      <c r="P15" s="633" t="s">
        <v>443</v>
      </c>
      <c r="Q15" s="633" t="s">
        <v>443</v>
      </c>
      <c r="R15" s="492" t="s">
        <v>443</v>
      </c>
      <c r="S15" s="503">
        <f>SUM(F15:R15)+D15</f>
        <v>0</v>
      </c>
    </row>
    <row r="16" spans="2:23">
      <c r="B16" s="473" t="s">
        <v>453</v>
      </c>
      <c r="C16" s="634">
        <v>-159995.5</v>
      </c>
      <c r="D16" s="634"/>
      <c r="E16" s="634">
        <v>253727.1</v>
      </c>
      <c r="F16" s="633">
        <v>8171.4</v>
      </c>
      <c r="G16" s="633">
        <v>52868.800000000003</v>
      </c>
      <c r="H16" s="633">
        <v>116800.7</v>
      </c>
      <c r="I16" s="633">
        <v>-2756.9</v>
      </c>
      <c r="J16" s="633">
        <v>32712.3</v>
      </c>
      <c r="K16" s="634">
        <v>-220267.1</v>
      </c>
      <c r="L16" s="634"/>
      <c r="M16" s="634"/>
      <c r="N16" s="634"/>
      <c r="O16" s="634"/>
      <c r="P16" s="634">
        <v>6501.1</v>
      </c>
      <c r="Q16" s="634">
        <v>88878.2</v>
      </c>
      <c r="R16" s="492" t="s">
        <v>443</v>
      </c>
      <c r="S16" s="503">
        <f>SUM(F16:R16)+D16</f>
        <v>82908.499999999985</v>
      </c>
    </row>
    <row r="17" spans="2:23">
      <c r="B17" s="469" t="s">
        <v>454</v>
      </c>
      <c r="C17" s="633">
        <v>-90683.7</v>
      </c>
      <c r="D17" s="633"/>
      <c r="E17" s="633">
        <v>-2396.6</v>
      </c>
      <c r="F17" s="633" t="s">
        <v>443</v>
      </c>
      <c r="G17" s="633" t="s">
        <v>443</v>
      </c>
      <c r="H17" s="633">
        <v>-174.9</v>
      </c>
      <c r="I17" s="633">
        <v>-2221.6999999999998</v>
      </c>
      <c r="J17" s="633" t="s">
        <v>443</v>
      </c>
      <c r="K17" s="633">
        <v>-139135.6</v>
      </c>
      <c r="L17" s="633"/>
      <c r="M17" s="633"/>
      <c r="N17" s="633"/>
      <c r="O17" s="633"/>
      <c r="P17" s="633" t="s">
        <v>443</v>
      </c>
      <c r="Q17" s="633">
        <v>59813.3</v>
      </c>
      <c r="R17" s="492" t="s">
        <v>443</v>
      </c>
      <c r="S17" s="503">
        <f>SUM(F17:R17)+D17</f>
        <v>-81718.900000000009</v>
      </c>
    </row>
    <row r="18" spans="2:23">
      <c r="B18" s="469" t="s">
        <v>455</v>
      </c>
      <c r="C18" s="633">
        <v>-57810.3</v>
      </c>
      <c r="D18" s="633"/>
      <c r="E18" s="633">
        <v>-14315.8</v>
      </c>
      <c r="F18" s="633" t="s">
        <v>443</v>
      </c>
      <c r="G18" s="633" t="s">
        <v>443</v>
      </c>
      <c r="H18" s="633">
        <v>-17</v>
      </c>
      <c r="I18" s="633">
        <v>-14298.8</v>
      </c>
      <c r="J18" s="633" t="s">
        <v>443</v>
      </c>
      <c r="K18" s="633">
        <v>-73635.899999999994</v>
      </c>
      <c r="L18" s="633"/>
      <c r="M18" s="633"/>
      <c r="N18" s="633"/>
      <c r="O18" s="633"/>
      <c r="P18" s="633">
        <v>1076.5</v>
      </c>
      <c r="Q18" s="633">
        <v>29064.9</v>
      </c>
      <c r="R18" s="492" t="s">
        <v>443</v>
      </c>
      <c r="S18" s="503">
        <f>SUM(F18:R18)+D18</f>
        <v>-57810.299999999996</v>
      </c>
    </row>
    <row r="19" spans="2:23">
      <c r="B19" s="469" t="s">
        <v>456</v>
      </c>
      <c r="C19" s="633">
        <v>-1814.6</v>
      </c>
      <c r="D19" s="633"/>
      <c r="E19" s="633">
        <v>-17</v>
      </c>
      <c r="F19" s="633" t="s">
        <v>443</v>
      </c>
      <c r="G19" s="633" t="s">
        <v>443</v>
      </c>
      <c r="H19" s="633">
        <v>-4.3</v>
      </c>
      <c r="I19" s="633">
        <v>-12.7</v>
      </c>
      <c r="J19" s="633" t="s">
        <v>443</v>
      </c>
      <c r="K19" s="633">
        <v>-7222.2</v>
      </c>
      <c r="L19" s="633"/>
      <c r="M19" s="633"/>
      <c r="N19" s="633"/>
      <c r="O19" s="633"/>
      <c r="P19" s="633">
        <v>5424.6</v>
      </c>
      <c r="Q19" s="633" t="s">
        <v>443</v>
      </c>
      <c r="R19" s="492" t="s">
        <v>443</v>
      </c>
      <c r="S19" s="503">
        <f>SUM(F19:R19)+D19</f>
        <v>-1814.5999999999995</v>
      </c>
    </row>
    <row r="20" spans="2:23">
      <c r="B20" s="469" t="s">
        <v>457</v>
      </c>
      <c r="C20" s="633">
        <v>1524.6</v>
      </c>
      <c r="D20" s="633"/>
      <c r="E20" s="633">
        <v>1798</v>
      </c>
      <c r="F20" s="633">
        <v>711.4</v>
      </c>
      <c r="G20" s="633" t="s">
        <v>443</v>
      </c>
      <c r="H20" s="633" t="s">
        <v>443</v>
      </c>
      <c r="I20" s="633" t="s">
        <v>443</v>
      </c>
      <c r="J20" s="633">
        <v>1086.5999999999999</v>
      </c>
      <c r="K20" s="633">
        <v>-273.39999999999998</v>
      </c>
      <c r="L20" s="633"/>
      <c r="M20" s="633"/>
      <c r="N20" s="633"/>
      <c r="O20" s="633"/>
      <c r="P20" s="633" t="s">
        <v>443</v>
      </c>
      <c r="Q20" s="633" t="s">
        <v>443</v>
      </c>
      <c r="R20" s="492" t="s">
        <v>443</v>
      </c>
      <c r="S20" s="503">
        <f>SUM(F20:R20)+D20</f>
        <v>1524.6</v>
      </c>
    </row>
    <row r="21" spans="2:23">
      <c r="B21" s="469" t="s">
        <v>458</v>
      </c>
      <c r="C21" s="633" t="s">
        <v>443</v>
      </c>
      <c r="D21" s="633"/>
      <c r="E21" s="633" t="s">
        <v>443</v>
      </c>
      <c r="F21" s="633" t="s">
        <v>443</v>
      </c>
      <c r="G21" s="633" t="s">
        <v>443</v>
      </c>
      <c r="H21" s="633" t="s">
        <v>443</v>
      </c>
      <c r="I21" s="633" t="s">
        <v>443</v>
      </c>
      <c r="J21" s="633" t="s">
        <v>443</v>
      </c>
      <c r="K21" s="633" t="s">
        <v>443</v>
      </c>
      <c r="L21" s="633"/>
      <c r="M21" s="633"/>
      <c r="N21" s="633"/>
      <c r="O21" s="633"/>
      <c r="P21" s="633" t="s">
        <v>443</v>
      </c>
      <c r="Q21" s="633" t="s">
        <v>443</v>
      </c>
      <c r="R21" s="492" t="s">
        <v>443</v>
      </c>
      <c r="S21" s="503">
        <f>SUM(F21:R21)+D21</f>
        <v>0</v>
      </c>
    </row>
    <row r="22" spans="2:23" ht="15">
      <c r="B22" s="474" t="s">
        <v>459</v>
      </c>
      <c r="C22" s="633">
        <v>-11785.7</v>
      </c>
      <c r="D22" s="633"/>
      <c r="E22" s="633">
        <v>267670.3</v>
      </c>
      <c r="F22" s="633">
        <v>7460</v>
      </c>
      <c r="G22" s="633">
        <v>52868.800000000003</v>
      </c>
      <c r="H22" s="633">
        <v>116996.9</v>
      </c>
      <c r="I22" s="633">
        <v>13776.3</v>
      </c>
      <c r="J22" s="633">
        <v>30637.5</v>
      </c>
      <c r="K22" s="633" t="s">
        <v>443</v>
      </c>
      <c r="L22" s="633"/>
      <c r="M22" s="633"/>
      <c r="N22" s="633"/>
      <c r="O22" s="633"/>
      <c r="P22" s="633" t="s">
        <v>443</v>
      </c>
      <c r="Q22" s="633" t="s">
        <v>443</v>
      </c>
      <c r="R22" s="492" t="s">
        <v>443</v>
      </c>
      <c r="S22" s="503">
        <f>SUM(F22:R22)+D22</f>
        <v>221739.5</v>
      </c>
    </row>
    <row r="23" spans="2:23" ht="15">
      <c r="B23" s="474" t="s">
        <v>460</v>
      </c>
      <c r="C23" s="633">
        <v>988.2</v>
      </c>
      <c r="D23" s="633"/>
      <c r="E23" s="633">
        <v>988.2</v>
      </c>
      <c r="F23" s="633" t="s">
        <v>443</v>
      </c>
      <c r="G23" s="633" t="s">
        <v>443</v>
      </c>
      <c r="H23" s="633" t="s">
        <v>443</v>
      </c>
      <c r="I23" s="633" t="s">
        <v>443</v>
      </c>
      <c r="J23" s="633">
        <v>988.2</v>
      </c>
      <c r="K23" s="633" t="s">
        <v>443</v>
      </c>
      <c r="L23" s="633"/>
      <c r="M23" s="633"/>
      <c r="N23" s="633"/>
      <c r="O23" s="633"/>
      <c r="P23" s="633" t="s">
        <v>443</v>
      </c>
      <c r="Q23" s="633" t="s">
        <v>443</v>
      </c>
      <c r="R23" s="492" t="s">
        <v>443</v>
      </c>
      <c r="S23" s="503">
        <f>SUM(F23:R23)+D23</f>
        <v>988.2</v>
      </c>
    </row>
    <row r="24" spans="2:23">
      <c r="B24" s="469" t="s">
        <v>461</v>
      </c>
      <c r="C24" s="633">
        <v>-414</v>
      </c>
      <c r="D24" s="633"/>
      <c r="E24" s="633" t="s">
        <v>443</v>
      </c>
      <c r="F24" s="633" t="s">
        <v>443</v>
      </c>
      <c r="G24" s="633" t="s">
        <v>443</v>
      </c>
      <c r="H24" s="633" t="s">
        <v>443</v>
      </c>
      <c r="I24" s="633" t="s">
        <v>443</v>
      </c>
      <c r="J24" s="633" t="s">
        <v>443</v>
      </c>
      <c r="K24" s="633" t="s">
        <v>443</v>
      </c>
      <c r="L24" s="633"/>
      <c r="M24" s="633"/>
      <c r="N24" s="633"/>
      <c r="O24" s="633"/>
      <c r="P24" s="633" t="s">
        <v>443</v>
      </c>
      <c r="Q24" s="633" t="s">
        <v>443</v>
      </c>
      <c r="R24" s="492" t="s">
        <v>443</v>
      </c>
      <c r="S24" s="503">
        <f>SUM(F24:R24)+D24</f>
        <v>0</v>
      </c>
    </row>
    <row r="25" spans="2:23" ht="15">
      <c r="B25" s="475" t="s">
        <v>462</v>
      </c>
      <c r="C25" s="634">
        <v>48858</v>
      </c>
      <c r="D25" s="634"/>
      <c r="E25" s="634">
        <v>13938.9</v>
      </c>
      <c r="F25" s="633" t="s">
        <v>443</v>
      </c>
      <c r="G25" s="633" t="s">
        <v>443</v>
      </c>
      <c r="H25" s="633" t="s">
        <v>443</v>
      </c>
      <c r="I25" s="633" t="s">
        <v>443</v>
      </c>
      <c r="J25" s="633">
        <v>4768.3</v>
      </c>
      <c r="K25" s="634">
        <v>19647.2</v>
      </c>
      <c r="L25" s="634"/>
      <c r="M25" s="634"/>
      <c r="N25" s="634"/>
      <c r="O25" s="634"/>
      <c r="P25" s="634">
        <v>612.1</v>
      </c>
      <c r="Q25" s="634">
        <v>14168.5</v>
      </c>
      <c r="R25" s="492" t="s">
        <v>443</v>
      </c>
      <c r="S25" s="503">
        <f>SUM(F25:R25)+D25</f>
        <v>39196.1</v>
      </c>
    </row>
    <row r="26" spans="2:23" ht="15">
      <c r="B26" s="475" t="s">
        <v>463</v>
      </c>
      <c r="C26" s="634">
        <v>55461.8</v>
      </c>
      <c r="D26" s="634"/>
      <c r="E26" s="633" t="s">
        <v>443</v>
      </c>
      <c r="F26" s="633" t="s">
        <v>443</v>
      </c>
      <c r="G26" s="633" t="s">
        <v>443</v>
      </c>
      <c r="H26" s="633" t="s">
        <v>443</v>
      </c>
      <c r="I26" s="633" t="s">
        <v>443</v>
      </c>
      <c r="J26" s="633" t="s">
        <v>443</v>
      </c>
      <c r="K26" s="634">
        <v>42458.2</v>
      </c>
      <c r="L26" s="634"/>
      <c r="M26" s="634"/>
      <c r="N26" s="634"/>
      <c r="O26" s="634"/>
      <c r="P26" s="634">
        <v>733.1</v>
      </c>
      <c r="Q26" s="634">
        <v>10327</v>
      </c>
      <c r="R26" s="492" t="s">
        <v>443</v>
      </c>
      <c r="S26" s="503">
        <f>SUM(F26:R26)+D26</f>
        <v>53518.299999999996</v>
      </c>
    </row>
    <row r="27" spans="2:23" ht="15">
      <c r="B27" s="475" t="s">
        <v>464</v>
      </c>
      <c r="C27" s="634">
        <v>381342.3</v>
      </c>
      <c r="D27" s="634"/>
      <c r="E27" s="634">
        <v>147008.70000000001</v>
      </c>
      <c r="F27" s="633">
        <v>7232.2</v>
      </c>
      <c r="G27" s="633">
        <v>55966</v>
      </c>
      <c r="H27" s="633">
        <v>45787</v>
      </c>
      <c r="I27" s="633">
        <v>751.8</v>
      </c>
      <c r="J27" s="633">
        <v>21621.200000000001</v>
      </c>
      <c r="K27" s="634">
        <v>161704.29999999999</v>
      </c>
      <c r="L27" s="634"/>
      <c r="M27" s="634"/>
      <c r="N27" s="634"/>
      <c r="O27" s="634"/>
      <c r="P27" s="634">
        <v>5155.8999999999996</v>
      </c>
      <c r="Q27" s="634">
        <v>63428.7</v>
      </c>
      <c r="R27" s="493">
        <v>763.3</v>
      </c>
      <c r="S27" s="503">
        <f>SUM(F27:R27)+D27</f>
        <v>362410.4</v>
      </c>
    </row>
    <row r="28" spans="2:23" ht="15">
      <c r="B28" s="475" t="s">
        <v>465</v>
      </c>
      <c r="C28" s="634">
        <v>344985</v>
      </c>
      <c r="D28" s="634"/>
      <c r="E28" s="634">
        <v>112682.9</v>
      </c>
      <c r="F28" s="633">
        <v>2119.8000000000002</v>
      </c>
      <c r="G28" s="633">
        <v>55966</v>
      </c>
      <c r="H28" s="633">
        <v>45710.2</v>
      </c>
      <c r="I28" s="633">
        <v>666.8</v>
      </c>
      <c r="J28" s="633"/>
      <c r="K28" s="634">
        <v>160306</v>
      </c>
      <c r="L28" s="634"/>
      <c r="M28" s="634"/>
      <c r="N28" s="634"/>
      <c r="O28" s="634"/>
      <c r="P28" s="634">
        <v>5155.8999999999996</v>
      </c>
      <c r="Q28" s="634">
        <v>63428.7</v>
      </c>
      <c r="R28" s="493">
        <v>130.1</v>
      </c>
      <c r="S28" s="503">
        <f>SUM(F28:R28)+D28</f>
        <v>333483.5</v>
      </c>
    </row>
    <row r="29" spans="2:23">
      <c r="B29" s="476" t="s">
        <v>466</v>
      </c>
      <c r="C29" s="696">
        <v>2347437.8429999999</v>
      </c>
      <c r="D29" s="697">
        <v>165986.215</v>
      </c>
      <c r="E29" s="696">
        <v>124772.26700000001</v>
      </c>
      <c r="F29" s="696">
        <v>3810.7440000000001</v>
      </c>
      <c r="G29" s="696">
        <v>0</v>
      </c>
      <c r="H29" s="696">
        <v>31425.475999999999</v>
      </c>
      <c r="I29" s="696">
        <v>59921.184999999998</v>
      </c>
      <c r="J29" s="696">
        <f>E29-SUM(F29:I29)-W29</f>
        <v>12260.76200000001</v>
      </c>
      <c r="K29" s="490">
        <v>821176.47</v>
      </c>
      <c r="L29" s="696">
        <v>2526</v>
      </c>
      <c r="M29" s="696">
        <v>788.36099999999999</v>
      </c>
      <c r="N29" s="695">
        <v>90388</v>
      </c>
      <c r="O29" s="696">
        <v>58874</v>
      </c>
      <c r="P29" s="696">
        <v>173430</v>
      </c>
      <c r="Q29" s="696">
        <v>823770</v>
      </c>
      <c r="R29" s="694">
        <v>103080.6</v>
      </c>
      <c r="S29" s="503">
        <f>SUM(F29:R29)+D29</f>
        <v>2347437.8130000001</v>
      </c>
      <c r="T29" s="498">
        <f>S29-C29</f>
        <v>-2.9999999795109034E-2</v>
      </c>
      <c r="U29" s="498"/>
      <c r="W29" s="485">
        <v>17354.099999999999</v>
      </c>
    </row>
    <row r="30" spans="2:23" ht="15">
      <c r="B30" s="477" t="s">
        <v>467</v>
      </c>
      <c r="C30" s="697">
        <v>323693.26799999998</v>
      </c>
      <c r="D30" s="696">
        <v>38292.796000000002</v>
      </c>
      <c r="E30" s="697">
        <v>3491.672</v>
      </c>
      <c r="F30" s="697">
        <v>45.366</v>
      </c>
      <c r="G30" s="697">
        <v>0</v>
      </c>
      <c r="H30" s="697">
        <v>3382.306</v>
      </c>
      <c r="I30" s="697">
        <v>0</v>
      </c>
      <c r="J30" s="696">
        <f>E30-SUM(F30:I30)-W30</f>
        <v>64</v>
      </c>
      <c r="K30" s="490">
        <v>88242.3</v>
      </c>
      <c r="L30" s="697">
        <v>1</v>
      </c>
      <c r="M30" s="697">
        <v>0</v>
      </c>
      <c r="N30" s="694">
        <v>63</v>
      </c>
      <c r="O30" s="697">
        <v>0</v>
      </c>
      <c r="P30" s="697">
        <v>1520</v>
      </c>
      <c r="Q30" s="697">
        <v>93826.8</v>
      </c>
      <c r="R30" s="695">
        <v>98255.7</v>
      </c>
      <c r="S30" s="503">
        <f>SUM(F30:R30)+D30</f>
        <v>323693.26800000004</v>
      </c>
      <c r="T30" s="498">
        <f>S30-C30</f>
        <v>0</v>
      </c>
      <c r="U30" s="498"/>
      <c r="W30" s="485">
        <v>0</v>
      </c>
    </row>
    <row r="31" spans="2:23" ht="15">
      <c r="B31" s="477" t="s">
        <v>468</v>
      </c>
      <c r="C31" s="696">
        <v>617383.64199999999</v>
      </c>
      <c r="D31" s="697">
        <v>41000.930999999997</v>
      </c>
      <c r="E31" s="696">
        <v>68586.876999999993</v>
      </c>
      <c r="F31" s="696">
        <v>0</v>
      </c>
      <c r="G31" s="696">
        <v>0</v>
      </c>
      <c r="H31" s="696">
        <v>813.46600000000001</v>
      </c>
      <c r="I31" s="696">
        <v>53525.79</v>
      </c>
      <c r="J31" s="696">
        <f>E31-SUM(F31:I31)-W31</f>
        <v>576.02099999999155</v>
      </c>
      <c r="K31" s="490">
        <v>218454.02100000001</v>
      </c>
      <c r="L31" s="696">
        <v>381</v>
      </c>
      <c r="M31" s="696">
        <v>356.03399999999999</v>
      </c>
      <c r="N31" s="695">
        <v>1409</v>
      </c>
      <c r="O31" s="696">
        <v>8685</v>
      </c>
      <c r="P31" s="696">
        <v>97183</v>
      </c>
      <c r="Q31" s="696">
        <v>192474</v>
      </c>
      <c r="R31" s="694">
        <v>2525.4</v>
      </c>
      <c r="S31" s="503">
        <f>SUM(F31:R31)+D31</f>
        <v>617383.66299999994</v>
      </c>
      <c r="T31" s="498">
        <f>S31-C31</f>
        <v>2.0999999949708581E-2</v>
      </c>
      <c r="U31" s="498"/>
      <c r="W31" s="485">
        <v>13671.6</v>
      </c>
    </row>
    <row r="32" spans="2:23" ht="15">
      <c r="B32" s="477" t="s">
        <v>469</v>
      </c>
      <c r="C32" s="697">
        <v>96839.25</v>
      </c>
      <c r="D32" s="696">
        <v>1343.058</v>
      </c>
      <c r="E32" s="697">
        <v>3138.9920000000002</v>
      </c>
      <c r="F32" s="697">
        <v>90.731999999999999</v>
      </c>
      <c r="G32" s="697">
        <v>0</v>
      </c>
      <c r="H32" s="697">
        <v>642.21</v>
      </c>
      <c r="I32" s="697">
        <v>1222.05</v>
      </c>
      <c r="J32" s="696">
        <f>E32-SUM(F32:I32)-W32</f>
        <v>1184.0000000000002</v>
      </c>
      <c r="K32" s="490">
        <v>33843.599999999999</v>
      </c>
      <c r="L32" s="697">
        <v>13</v>
      </c>
      <c r="M32" s="697">
        <v>0</v>
      </c>
      <c r="N32" s="694">
        <v>0</v>
      </c>
      <c r="O32" s="697">
        <v>256</v>
      </c>
      <c r="P32" s="697">
        <v>1109</v>
      </c>
      <c r="Q32" s="697">
        <v>57135.6</v>
      </c>
      <c r="R32" s="695">
        <v>0</v>
      </c>
      <c r="S32" s="503">
        <f>SUM(F32:R32)+D32</f>
        <v>96839.25</v>
      </c>
      <c r="T32" s="498">
        <f>S32-C32</f>
        <v>0</v>
      </c>
      <c r="U32" s="498"/>
      <c r="W32" s="485">
        <v>0</v>
      </c>
    </row>
    <row r="33" spans="2:23" ht="15">
      <c r="B33" s="477" t="s">
        <v>470</v>
      </c>
      <c r="C33" s="696">
        <v>274429.65700000001</v>
      </c>
      <c r="D33" s="697">
        <v>57791.9</v>
      </c>
      <c r="E33" s="696">
        <v>17193.571</v>
      </c>
      <c r="F33" s="696">
        <v>453.66</v>
      </c>
      <c r="G33" s="696">
        <v>0</v>
      </c>
      <c r="H33" s="696">
        <v>3339.4920000000002</v>
      </c>
      <c r="I33" s="696">
        <v>3462.4749999999999</v>
      </c>
      <c r="J33" s="696">
        <f>E33-SUM(F33:I33)-W33</f>
        <v>9937.9439999999995</v>
      </c>
      <c r="K33" s="490">
        <v>104013</v>
      </c>
      <c r="L33" s="696">
        <v>22</v>
      </c>
      <c r="M33" s="696">
        <v>152.58600000000001</v>
      </c>
      <c r="N33" s="695">
        <v>5787</v>
      </c>
      <c r="O33" s="696">
        <v>44429</v>
      </c>
      <c r="P33" s="696">
        <v>775</v>
      </c>
      <c r="Q33" s="696">
        <v>44265.599999999999</v>
      </c>
      <c r="R33" s="694">
        <v>0</v>
      </c>
      <c r="S33" s="503">
        <f>SUM(F33:R33)+D33</f>
        <v>274429.65700000001</v>
      </c>
      <c r="T33" s="498">
        <f>S33-C33</f>
        <v>0</v>
      </c>
      <c r="U33" s="498"/>
      <c r="W33" s="485">
        <v>0</v>
      </c>
    </row>
    <row r="34" spans="2:23" ht="15">
      <c r="B34" s="477" t="s">
        <v>471</v>
      </c>
      <c r="C34" s="697">
        <v>120490.32</v>
      </c>
      <c r="D34" s="696">
        <v>126.816</v>
      </c>
      <c r="E34" s="697">
        <v>1839.742</v>
      </c>
      <c r="F34" s="697">
        <v>136.09800000000001</v>
      </c>
      <c r="G34" s="697">
        <v>0</v>
      </c>
      <c r="H34" s="697">
        <v>1626.932</v>
      </c>
      <c r="I34" s="697">
        <v>0</v>
      </c>
      <c r="J34" s="696">
        <f>E34-SUM(F34:I34)-W34</f>
        <v>76.711999999999989</v>
      </c>
      <c r="K34" s="490">
        <v>36487.800000000003</v>
      </c>
      <c r="L34" s="697">
        <v>0</v>
      </c>
      <c r="M34" s="697">
        <v>50.862000000000002</v>
      </c>
      <c r="N34" s="694">
        <v>225</v>
      </c>
      <c r="O34" s="697">
        <v>2</v>
      </c>
      <c r="P34" s="697">
        <v>13440</v>
      </c>
      <c r="Q34" s="697">
        <v>66654</v>
      </c>
      <c r="R34" s="695">
        <v>1664.1</v>
      </c>
      <c r="S34" s="503">
        <f>SUM(F34:R34)+D34</f>
        <v>120490.32000000002</v>
      </c>
      <c r="T34" s="498">
        <f>S34-C34</f>
        <v>0</v>
      </c>
      <c r="U34" s="498"/>
      <c r="W34" s="485">
        <v>0</v>
      </c>
    </row>
    <row r="35" spans="2:23" ht="15">
      <c r="B35" s="477" t="s">
        <v>342</v>
      </c>
      <c r="C35" s="696">
        <v>214809.09700000001</v>
      </c>
      <c r="D35" s="697">
        <v>336.67700000000002</v>
      </c>
      <c r="E35" s="696">
        <v>9877.6270000000004</v>
      </c>
      <c r="F35" s="696">
        <v>1497.078</v>
      </c>
      <c r="G35" s="696">
        <v>0</v>
      </c>
      <c r="H35" s="696">
        <v>8263.1020000000008</v>
      </c>
      <c r="I35" s="696">
        <v>40.734999999999999</v>
      </c>
      <c r="J35" s="696">
        <f>E35-SUM(F35:I35)-W35</f>
        <v>76.711999999999534</v>
      </c>
      <c r="K35" s="490">
        <v>71144.100000000006</v>
      </c>
      <c r="L35" s="696">
        <v>371</v>
      </c>
      <c r="M35" s="696">
        <v>76.293000000000006</v>
      </c>
      <c r="N35" s="695">
        <v>2144</v>
      </c>
      <c r="O35" s="696">
        <v>1</v>
      </c>
      <c r="P35" s="696">
        <v>9929</v>
      </c>
      <c r="Q35" s="696">
        <v>120315.6</v>
      </c>
      <c r="R35" s="694">
        <v>613.79999999999995</v>
      </c>
      <c r="S35" s="503">
        <f>SUM(F35:R35)+D35</f>
        <v>214809.09700000001</v>
      </c>
      <c r="T35" s="498">
        <f>S35-C35</f>
        <v>0</v>
      </c>
      <c r="U35" s="498"/>
      <c r="W35" s="485">
        <v>0</v>
      </c>
    </row>
    <row r="36" spans="2:23">
      <c r="B36" s="478" t="s">
        <v>472</v>
      </c>
      <c r="C36" s="697">
        <v>15335.648999999999</v>
      </c>
      <c r="D36" s="696">
        <v>2557.4859999999999</v>
      </c>
      <c r="E36" s="697">
        <v>1230.8630000000001</v>
      </c>
      <c r="F36" s="697">
        <v>317.56200000000001</v>
      </c>
      <c r="G36" s="697">
        <v>0</v>
      </c>
      <c r="H36" s="697">
        <v>642.21</v>
      </c>
      <c r="I36" s="697">
        <v>40.734999999999999</v>
      </c>
      <c r="J36" s="696">
        <f>E36-SUM(F36:I36)-W36</f>
        <v>230.35599999999999</v>
      </c>
      <c r="K36" s="490">
        <v>4308.3</v>
      </c>
      <c r="L36" s="697">
        <v>50</v>
      </c>
      <c r="M36" s="697">
        <v>0</v>
      </c>
      <c r="N36" s="694">
        <v>809</v>
      </c>
      <c r="O36" s="697">
        <v>0</v>
      </c>
      <c r="P36" s="697">
        <v>116</v>
      </c>
      <c r="Q36" s="697">
        <v>6264</v>
      </c>
      <c r="R36" s="695">
        <v>0</v>
      </c>
      <c r="S36" s="503">
        <f>SUM(F36:R36)+D36</f>
        <v>15335.649000000001</v>
      </c>
      <c r="T36" s="498">
        <f>S36-C36</f>
        <v>0</v>
      </c>
      <c r="U36" s="498"/>
      <c r="W36" s="485">
        <v>0</v>
      </c>
    </row>
    <row r="37" spans="2:23">
      <c r="B37" s="478" t="s">
        <v>473</v>
      </c>
      <c r="C37" s="696">
        <v>204843.899</v>
      </c>
      <c r="D37" s="697">
        <v>8783.3140000000003</v>
      </c>
      <c r="E37" s="696">
        <v>7750.8540000000003</v>
      </c>
      <c r="F37" s="696">
        <v>226.83</v>
      </c>
      <c r="G37" s="696">
        <v>0</v>
      </c>
      <c r="H37" s="696">
        <v>6464.9139999999998</v>
      </c>
      <c r="I37" s="696">
        <v>1059.1099999999999</v>
      </c>
      <c r="J37" s="696">
        <f>E37-SUM(F37:I37)-W37</f>
        <v>9.0949470177292824E-13</v>
      </c>
      <c r="K37" s="490">
        <v>110628.9</v>
      </c>
      <c r="L37" s="696">
        <v>695</v>
      </c>
      <c r="M37" s="696">
        <v>25.431000000000001</v>
      </c>
      <c r="N37" s="695">
        <v>1637</v>
      </c>
      <c r="O37" s="696">
        <v>0</v>
      </c>
      <c r="P37" s="696">
        <v>9825</v>
      </c>
      <c r="Q37" s="696">
        <v>65498.400000000001</v>
      </c>
      <c r="R37" s="694">
        <v>0</v>
      </c>
      <c r="S37" s="503">
        <f>SUM(F37:R37)+D37</f>
        <v>204843.899</v>
      </c>
      <c r="T37" s="498">
        <f>S37-C37</f>
        <v>0</v>
      </c>
      <c r="U37" s="498"/>
      <c r="W37" s="485">
        <v>0</v>
      </c>
    </row>
    <row r="38" spans="2:23">
      <c r="B38" s="478" t="s">
        <v>474</v>
      </c>
      <c r="C38" s="697">
        <v>237953.03599999999</v>
      </c>
      <c r="D38" s="696">
        <v>15391.97</v>
      </c>
      <c r="E38" s="697">
        <v>2155.8110000000001</v>
      </c>
      <c r="F38" s="697">
        <v>680.49</v>
      </c>
      <c r="G38" s="697">
        <v>0</v>
      </c>
      <c r="H38" s="697">
        <v>1070.3499999999999</v>
      </c>
      <c r="I38" s="697">
        <v>366.61500000000001</v>
      </c>
      <c r="J38" s="696">
        <f>E38-SUM(F38:I38)-W38</f>
        <v>38.356000000000222</v>
      </c>
      <c r="K38" s="490">
        <v>86829.3</v>
      </c>
      <c r="L38" s="697">
        <v>924</v>
      </c>
      <c r="M38" s="697">
        <v>127.155</v>
      </c>
      <c r="N38" s="694">
        <v>22533</v>
      </c>
      <c r="O38" s="697">
        <v>5482</v>
      </c>
      <c r="P38" s="697">
        <v>27747</v>
      </c>
      <c r="Q38" s="697">
        <v>76762.8</v>
      </c>
      <c r="R38" s="695">
        <v>0</v>
      </c>
      <c r="S38" s="503">
        <f>SUM(F38:R38)+D38</f>
        <v>237953.03599999999</v>
      </c>
      <c r="T38" s="498">
        <f>S38-C38</f>
        <v>0</v>
      </c>
      <c r="U38" s="498"/>
      <c r="W38" s="485">
        <v>0</v>
      </c>
    </row>
    <row r="39" spans="2:23" ht="15">
      <c r="B39" s="477" t="s">
        <v>475</v>
      </c>
      <c r="C39" s="696">
        <v>74996.255000000005</v>
      </c>
      <c r="D39" s="697">
        <v>0</v>
      </c>
      <c r="E39" s="696">
        <v>557.05499999999995</v>
      </c>
      <c r="F39" s="696">
        <v>45.366</v>
      </c>
      <c r="G39" s="696">
        <v>0</v>
      </c>
      <c r="H39" s="696">
        <v>470.95400000000001</v>
      </c>
      <c r="I39" s="696">
        <v>40.734999999999999</v>
      </c>
      <c r="J39" s="696">
        <f>E39-SUM(F39:I39)-W39</f>
        <v>-1.1368683772161603E-13</v>
      </c>
      <c r="K39" s="490">
        <v>5130</v>
      </c>
      <c r="L39" s="696">
        <v>11</v>
      </c>
      <c r="M39" s="696">
        <v>0</v>
      </c>
      <c r="N39" s="695">
        <v>50270</v>
      </c>
      <c r="O39" s="696">
        <v>19</v>
      </c>
      <c r="P39" s="696">
        <v>2838</v>
      </c>
      <c r="Q39" s="696">
        <v>16171.2</v>
      </c>
      <c r="R39" s="694">
        <v>0</v>
      </c>
      <c r="S39" s="503">
        <f>SUM(F39:R39)+D39</f>
        <v>74996.255000000005</v>
      </c>
      <c r="T39" s="498">
        <f>S39-C39</f>
        <v>0</v>
      </c>
      <c r="U39" s="498"/>
      <c r="W39" s="485">
        <v>0</v>
      </c>
    </row>
    <row r="40" spans="2:23">
      <c r="B40" s="478" t="s">
        <v>476</v>
      </c>
      <c r="C40" s="696">
        <v>21569.934000000001</v>
      </c>
      <c r="D40" s="697">
        <v>253.63200000000001</v>
      </c>
      <c r="E40" s="696">
        <v>940.30200000000002</v>
      </c>
      <c r="F40" s="696">
        <v>45.366</v>
      </c>
      <c r="G40" s="696">
        <v>0</v>
      </c>
      <c r="H40" s="696">
        <v>813.46600000000001</v>
      </c>
      <c r="I40" s="696">
        <v>81.47</v>
      </c>
      <c r="J40" s="696">
        <f>E40-SUM(F40:I40)-W40</f>
        <v>0</v>
      </c>
      <c r="K40" s="490">
        <v>9849.6</v>
      </c>
      <c r="L40" s="696">
        <v>0</v>
      </c>
      <c r="M40" s="696">
        <v>0</v>
      </c>
      <c r="N40" s="695">
        <v>96</v>
      </c>
      <c r="O40" s="696">
        <v>0</v>
      </c>
      <c r="P40" s="696">
        <v>2298</v>
      </c>
      <c r="Q40" s="696">
        <v>8132.4</v>
      </c>
      <c r="R40" s="694">
        <v>0</v>
      </c>
      <c r="S40" s="503">
        <f>SUM(F40:R40)+D40</f>
        <v>21569.934000000001</v>
      </c>
      <c r="T40" s="498">
        <f>S40-C40</f>
        <v>0</v>
      </c>
      <c r="U40" s="498"/>
      <c r="W40" s="485">
        <v>0</v>
      </c>
    </row>
    <row r="41" spans="2:23">
      <c r="B41" s="478" t="s">
        <v>253</v>
      </c>
      <c r="C41" s="697">
        <v>35077.5</v>
      </c>
      <c r="D41" s="696">
        <v>0</v>
      </c>
      <c r="E41" s="697">
        <v>0</v>
      </c>
      <c r="F41" s="697">
        <v>0</v>
      </c>
      <c r="G41" s="697">
        <v>0</v>
      </c>
      <c r="H41" s="697">
        <v>0</v>
      </c>
      <c r="I41" s="697">
        <v>0</v>
      </c>
      <c r="J41" s="696">
        <f>E41-SUM(F41:I41)-W41</f>
        <v>0</v>
      </c>
      <c r="K41" s="490">
        <v>20875.5</v>
      </c>
      <c r="L41" s="697">
        <v>0</v>
      </c>
      <c r="M41" s="697">
        <v>0</v>
      </c>
      <c r="N41" s="694">
        <v>0</v>
      </c>
      <c r="O41" s="697">
        <v>0</v>
      </c>
      <c r="P41" s="697">
        <v>0</v>
      </c>
      <c r="Q41" s="697">
        <v>14202</v>
      </c>
      <c r="R41" s="695">
        <v>0</v>
      </c>
      <c r="S41" s="503">
        <f>SUM(F41:R41)+D41</f>
        <v>35077.5</v>
      </c>
      <c r="T41" s="498">
        <f>S41-C41</f>
        <v>0</v>
      </c>
      <c r="U41" s="498"/>
      <c r="W41" s="485">
        <v>0</v>
      </c>
    </row>
    <row r="42" spans="2:23" ht="15">
      <c r="B42" s="477" t="s">
        <v>477</v>
      </c>
      <c r="C42" s="697">
        <v>110016.336</v>
      </c>
      <c r="D42" s="696">
        <v>107.63500000000001</v>
      </c>
      <c r="E42" s="697">
        <v>8008.9009999999998</v>
      </c>
      <c r="F42" s="697">
        <v>272.19600000000003</v>
      </c>
      <c r="G42" s="697">
        <v>0</v>
      </c>
      <c r="H42" s="697">
        <v>3896.0740000000001</v>
      </c>
      <c r="I42" s="697">
        <v>81.47</v>
      </c>
      <c r="J42" s="696">
        <f>E42-SUM(F42:I42)-W42</f>
        <v>76.760999999999058</v>
      </c>
      <c r="K42" s="490">
        <v>31370.048999999999</v>
      </c>
      <c r="L42" s="697">
        <v>58</v>
      </c>
      <c r="M42" s="697">
        <v>0</v>
      </c>
      <c r="N42" s="694">
        <v>5415</v>
      </c>
      <c r="O42" s="697">
        <v>0</v>
      </c>
      <c r="P42" s="697">
        <v>6650</v>
      </c>
      <c r="Q42" s="697">
        <v>62067.6</v>
      </c>
      <c r="R42" s="695">
        <v>21.6</v>
      </c>
      <c r="S42" s="503">
        <f>SUM(F42:R42)+D42</f>
        <v>110016.38499999999</v>
      </c>
      <c r="T42" s="498">
        <f>S42-C42</f>
        <v>4.8999999999068677E-2</v>
      </c>
      <c r="U42" s="498"/>
      <c r="W42" s="485">
        <v>3682.4</v>
      </c>
    </row>
    <row r="43" spans="2:23" ht="15">
      <c r="B43" s="479" t="s">
        <v>478</v>
      </c>
      <c r="C43" s="634">
        <v>96866</v>
      </c>
      <c r="D43" s="634"/>
      <c r="E43" s="634">
        <v>94826.5</v>
      </c>
      <c r="F43" s="633">
        <v>1005.4</v>
      </c>
      <c r="G43" s="633">
        <v>55503.8</v>
      </c>
      <c r="H43" s="633">
        <v>30106.6</v>
      </c>
      <c r="I43" s="633">
        <v>59.5</v>
      </c>
      <c r="J43" s="633"/>
      <c r="K43" s="634">
        <v>171.8</v>
      </c>
      <c r="L43" s="634"/>
      <c r="M43" s="634"/>
      <c r="N43" s="634"/>
      <c r="O43" s="634"/>
      <c r="P43" s="633"/>
      <c r="Q43" s="634">
        <v>1734.8</v>
      </c>
      <c r="R43" s="493">
        <v>124.5</v>
      </c>
      <c r="S43" s="503">
        <f>SUM(F43:R43)+D43</f>
        <v>88706.400000000009</v>
      </c>
    </row>
    <row r="44" spans="2:23">
      <c r="B44" s="478" t="s">
        <v>479</v>
      </c>
      <c r="C44" s="633">
        <v>85428.3</v>
      </c>
      <c r="D44" s="633"/>
      <c r="E44" s="633">
        <v>85276</v>
      </c>
      <c r="F44" s="633">
        <v>1000.7</v>
      </c>
      <c r="G44" s="633">
        <v>55503.8</v>
      </c>
      <c r="H44" s="633">
        <v>28771.5</v>
      </c>
      <c r="I44" s="633"/>
      <c r="J44" s="633"/>
      <c r="K44" s="633">
        <v>152.30000000000001</v>
      </c>
      <c r="L44" s="633"/>
      <c r="M44" s="633"/>
      <c r="N44" s="633"/>
      <c r="O44" s="633"/>
      <c r="P44" s="633"/>
      <c r="Q44" s="633"/>
      <c r="R44" s="492"/>
      <c r="S44" s="503">
        <f>SUM(F44:R44)+D44</f>
        <v>85428.3</v>
      </c>
    </row>
    <row r="45" spans="2:23" ht="15">
      <c r="B45" s="477" t="s">
        <v>480</v>
      </c>
      <c r="C45" s="633">
        <v>1831.7</v>
      </c>
      <c r="D45" s="633"/>
      <c r="E45" s="633">
        <v>277.2</v>
      </c>
      <c r="F45" s="633"/>
      <c r="G45" s="633"/>
      <c r="H45" s="633">
        <v>264.5</v>
      </c>
      <c r="I45" s="633">
        <v>12.7</v>
      </c>
      <c r="J45" s="633"/>
      <c r="K45" s="633"/>
      <c r="L45" s="633"/>
      <c r="M45" s="633"/>
      <c r="N45" s="633"/>
      <c r="O45" s="633"/>
      <c r="P45" s="633"/>
      <c r="Q45" s="633">
        <v>1421.6</v>
      </c>
      <c r="R45" s="492">
        <v>124.5</v>
      </c>
      <c r="S45" s="503">
        <f>SUM(F45:R45)+D45</f>
        <v>1823.3</v>
      </c>
    </row>
    <row r="46" spans="2:23">
      <c r="B46" s="478" t="s">
        <v>481</v>
      </c>
      <c r="C46" s="633">
        <v>8159.7</v>
      </c>
      <c r="D46" s="633"/>
      <c r="E46" s="633">
        <v>8159.7</v>
      </c>
      <c r="F46" s="633"/>
      <c r="G46" s="633"/>
      <c r="H46" s="633">
        <v>8.5</v>
      </c>
      <c r="I46" s="633"/>
      <c r="J46" s="633"/>
      <c r="K46" s="633"/>
      <c r="L46" s="633"/>
      <c r="M46" s="633"/>
      <c r="N46" s="633"/>
      <c r="O46" s="633"/>
      <c r="P46" s="633"/>
      <c r="Q46" s="633"/>
      <c r="R46" s="492"/>
      <c r="S46" s="503">
        <f>SUM(F46:R46)+D46</f>
        <v>8.5</v>
      </c>
    </row>
    <row r="47" spans="2:23">
      <c r="B47" s="478" t="s">
        <v>482</v>
      </c>
      <c r="C47" s="633">
        <v>1108.9000000000001</v>
      </c>
      <c r="D47" s="633"/>
      <c r="E47" s="633">
        <v>1108.9000000000001</v>
      </c>
      <c r="F47" s="633"/>
      <c r="G47" s="633"/>
      <c r="H47" s="633">
        <v>1062.0999999999999</v>
      </c>
      <c r="I47" s="633">
        <v>46.8</v>
      </c>
      <c r="J47" s="633"/>
      <c r="K47" s="633"/>
      <c r="L47" s="633"/>
      <c r="M47" s="633"/>
      <c r="N47" s="633"/>
      <c r="O47" s="633"/>
      <c r="P47" s="633"/>
      <c r="Q47" s="633"/>
      <c r="R47" s="492"/>
      <c r="S47" s="503">
        <f>SUM(F47:R47)+D47</f>
        <v>1108.8999999999999</v>
      </c>
    </row>
    <row r="48" spans="2:23">
      <c r="B48" s="494" t="s">
        <v>494</v>
      </c>
      <c r="C48" s="633">
        <v>337.4</v>
      </c>
      <c r="D48" s="633"/>
      <c r="E48" s="633">
        <v>4.7</v>
      </c>
      <c r="F48" s="633">
        <v>4.7</v>
      </c>
      <c r="G48" s="633"/>
      <c r="H48" s="633"/>
      <c r="I48" s="633"/>
      <c r="J48" s="633"/>
      <c r="K48" s="633">
        <v>19.5</v>
      </c>
      <c r="L48" s="633"/>
      <c r="M48" s="633"/>
      <c r="N48" s="633"/>
      <c r="O48" s="633"/>
      <c r="P48" s="633"/>
      <c r="Q48" s="633">
        <v>313.2</v>
      </c>
      <c r="R48" s="492"/>
      <c r="S48" s="503">
        <f>SUM(F48:R48)+D48</f>
        <v>337.4</v>
      </c>
    </row>
    <row r="49" spans="2:19" ht="15">
      <c r="B49" s="480" t="s">
        <v>484</v>
      </c>
      <c r="C49" s="633" t="s">
        <v>443</v>
      </c>
      <c r="D49" s="633"/>
      <c r="E49" s="633" t="s">
        <v>443</v>
      </c>
      <c r="F49" s="633"/>
      <c r="G49" s="633"/>
      <c r="H49" s="633"/>
      <c r="I49" s="633"/>
      <c r="J49" s="633"/>
      <c r="K49" s="633"/>
      <c r="L49" s="633"/>
      <c r="M49" s="633"/>
      <c r="N49" s="633"/>
      <c r="O49" s="633"/>
      <c r="P49" s="633"/>
      <c r="Q49" s="633"/>
      <c r="R49" s="492"/>
      <c r="S49" s="503">
        <f>SUM(F49:R49)+D49</f>
        <v>0</v>
      </c>
    </row>
    <row r="50" spans="2:19" ht="15">
      <c r="B50" s="479" t="s">
        <v>485</v>
      </c>
      <c r="C50" s="634">
        <v>191954.5</v>
      </c>
      <c r="D50" s="634"/>
      <c r="E50" s="634">
        <v>15028.6</v>
      </c>
      <c r="F50" s="633">
        <v>967.4</v>
      </c>
      <c r="G50" s="633">
        <v>462.2</v>
      </c>
      <c r="H50" s="633">
        <v>13466.5</v>
      </c>
      <c r="I50" s="633">
        <v>67.900000000000006</v>
      </c>
      <c r="J50" s="633"/>
      <c r="K50" s="634">
        <v>118203.3</v>
      </c>
      <c r="L50" s="634"/>
      <c r="M50" s="634"/>
      <c r="N50" s="634"/>
      <c r="O50" s="634"/>
      <c r="P50" s="634">
        <v>5155.8999999999996</v>
      </c>
      <c r="Q50" s="634">
        <v>50307.1</v>
      </c>
      <c r="R50" s="493">
        <v>5.6</v>
      </c>
      <c r="S50" s="503">
        <f>SUM(F50:R50)+D50</f>
        <v>188635.9</v>
      </c>
    </row>
    <row r="51" spans="2:19" ht="15">
      <c r="B51" s="477" t="s">
        <v>486</v>
      </c>
      <c r="C51" s="696">
        <v>60755.800999999999</v>
      </c>
      <c r="D51" s="697">
        <v>0</v>
      </c>
      <c r="E51" s="696">
        <v>0</v>
      </c>
      <c r="F51" s="696">
        <v>0</v>
      </c>
      <c r="G51" s="696">
        <v>0</v>
      </c>
      <c r="H51" s="696">
        <v>0</v>
      </c>
      <c r="I51" s="696">
        <v>0</v>
      </c>
      <c r="J51" s="696">
        <f>E51-SUM(F51:I51)</f>
        <v>0</v>
      </c>
      <c r="K51" s="490">
        <v>13296.6</v>
      </c>
      <c r="L51" s="696">
        <v>22744</v>
      </c>
      <c r="M51" s="696">
        <v>354.80099999999999</v>
      </c>
      <c r="N51" s="695">
        <v>4379</v>
      </c>
      <c r="O51" s="696">
        <v>0</v>
      </c>
      <c r="P51" s="696">
        <v>0</v>
      </c>
      <c r="Q51" s="696">
        <v>19940.400000000001</v>
      </c>
      <c r="R51" s="694">
        <v>0</v>
      </c>
      <c r="S51" s="503">
        <f>SUM(F51:R51)+D51</f>
        <v>60714.800999999999</v>
      </c>
    </row>
    <row r="52" spans="2:19">
      <c r="B52" s="478" t="s">
        <v>487</v>
      </c>
      <c r="C52" s="633">
        <v>29320.1</v>
      </c>
      <c r="D52" s="633"/>
      <c r="E52" s="633">
        <v>432.6</v>
      </c>
      <c r="F52" s="633">
        <v>99.6</v>
      </c>
      <c r="G52" s="633"/>
      <c r="H52" s="633">
        <v>226.1</v>
      </c>
      <c r="I52" s="633">
        <v>55.2</v>
      </c>
      <c r="J52" s="633"/>
      <c r="K52" s="633">
        <v>8593.2000000000007</v>
      </c>
      <c r="L52" s="633"/>
      <c r="M52" s="633"/>
      <c r="N52" s="633"/>
      <c r="O52" s="633"/>
      <c r="P52" s="633">
        <v>891</v>
      </c>
      <c r="Q52" s="633">
        <v>18479.5</v>
      </c>
      <c r="R52" s="492">
        <v>2.8</v>
      </c>
      <c r="S52" s="503">
        <f>SUM(F52:R52)+D52</f>
        <v>28347.399999999998</v>
      </c>
    </row>
    <row r="53" spans="2:19">
      <c r="B53" s="478" t="s">
        <v>488</v>
      </c>
      <c r="C53" s="633">
        <v>143830.79999999999</v>
      </c>
      <c r="D53" s="633"/>
      <c r="E53" s="633">
        <v>1298.5</v>
      </c>
      <c r="F53" s="633">
        <v>863.1</v>
      </c>
      <c r="G53" s="633">
        <v>17.3</v>
      </c>
      <c r="H53" s="633">
        <v>405.2</v>
      </c>
      <c r="I53" s="633"/>
      <c r="J53" s="633"/>
      <c r="K53" s="633">
        <v>107442.3</v>
      </c>
      <c r="L53" s="633"/>
      <c r="M53" s="633"/>
      <c r="N53" s="633"/>
      <c r="O53" s="633"/>
      <c r="P53" s="633">
        <v>4264.8999999999996</v>
      </c>
      <c r="Q53" s="633">
        <v>28576.400000000001</v>
      </c>
      <c r="R53" s="492"/>
      <c r="S53" s="503">
        <f>SUM(F53:R53)+D53</f>
        <v>141569.20000000001</v>
      </c>
    </row>
    <row r="54" spans="2:19">
      <c r="B54" s="478" t="s">
        <v>489</v>
      </c>
      <c r="C54" s="633" t="s">
        <v>443</v>
      </c>
      <c r="D54" s="633"/>
      <c r="E54" s="633" t="s">
        <v>443</v>
      </c>
      <c r="F54" s="633"/>
      <c r="G54" s="633"/>
      <c r="H54" s="633"/>
      <c r="I54" s="633"/>
      <c r="J54" s="633"/>
      <c r="K54" s="633"/>
      <c r="L54" s="633"/>
      <c r="M54" s="633"/>
      <c r="N54" s="633"/>
      <c r="O54" s="633"/>
      <c r="P54" s="633"/>
      <c r="Q54" s="633"/>
      <c r="R54" s="492"/>
      <c r="S54" s="503">
        <f>SUM(F54:R54)+D54</f>
        <v>0</v>
      </c>
    </row>
    <row r="55" spans="2:19" ht="16" thickBot="1">
      <c r="B55" s="481" t="s">
        <v>490</v>
      </c>
      <c r="C55" s="495">
        <v>36357.300000000003</v>
      </c>
      <c r="D55" s="495"/>
      <c r="E55" s="495">
        <v>34325.800000000003</v>
      </c>
      <c r="F55" s="496">
        <v>5112.3999999999996</v>
      </c>
      <c r="G55" s="496"/>
      <c r="H55" s="496">
        <v>76.8</v>
      </c>
      <c r="I55" s="496">
        <v>85</v>
      </c>
      <c r="J55" s="496">
        <v>21621.200000000001</v>
      </c>
      <c r="K55" s="495">
        <v>1398.3</v>
      </c>
      <c r="L55" s="495"/>
      <c r="M55" s="495"/>
      <c r="N55" s="495"/>
      <c r="O55" s="495"/>
      <c r="P55" s="496"/>
      <c r="Q55" s="496"/>
      <c r="R55" s="497">
        <v>633.20000000000005</v>
      </c>
      <c r="S55" s="503">
        <f>SUM(F55:R55)+D55</f>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W55"/>
  <sheetViews>
    <sheetView showGridLines="0" tabSelected="1" zoomScaleNormal="100" workbookViewId="0">
      <pane xSplit="3" ySplit="5" topLeftCell="J43" activePane="bottomRight" state="frozen"/>
      <selection activeCell="W2" sqref="W2"/>
      <selection pane="topRight" activeCell="W2" sqref="W2"/>
      <selection pane="bottomLeft" activeCell="W2" sqref="W2"/>
      <selection pane="bottomRight" activeCell="V56" sqref="V56"/>
    </sheetView>
  </sheetViews>
  <sheetFormatPr baseColWidth="10" defaultColWidth="9.1640625" defaultRowHeight="14"/>
  <cols>
    <col min="1" max="1" width="8.6640625" style="485" bestFit="1" customWidth="1"/>
    <col min="2" max="2" width="31.5" style="485" bestFit="1" customWidth="1"/>
    <col min="3" max="18" width="11.6640625" style="485" customWidth="1"/>
    <col min="19" max="19" width="12.6640625" style="461" customWidth="1"/>
    <col min="20" max="254" width="9.1640625" style="485"/>
    <col min="255" max="255" width="8.6640625" style="485" bestFit="1" customWidth="1"/>
    <col min="256" max="256" width="31.5" style="485" bestFit="1" customWidth="1"/>
    <col min="257" max="274" width="11.6640625" style="485" customWidth="1"/>
    <col min="275" max="510" width="9.1640625" style="485"/>
    <col min="511" max="511" width="8.6640625" style="485" bestFit="1" customWidth="1"/>
    <col min="512" max="512" width="31.5" style="485" bestFit="1" customWidth="1"/>
    <col min="513" max="530" width="11.6640625" style="485" customWidth="1"/>
    <col min="531" max="766" width="9.1640625" style="485"/>
    <col min="767" max="767" width="8.6640625" style="485" bestFit="1" customWidth="1"/>
    <col min="768" max="768" width="31.5" style="485" bestFit="1" customWidth="1"/>
    <col min="769" max="786" width="11.6640625" style="485" customWidth="1"/>
    <col min="787" max="1022" width="9.1640625" style="485"/>
    <col min="1023" max="1023" width="8.6640625" style="485" bestFit="1" customWidth="1"/>
    <col min="1024" max="1024" width="31.5" style="485" bestFit="1" customWidth="1"/>
    <col min="1025" max="1042" width="11.6640625" style="485" customWidth="1"/>
    <col min="1043" max="1278" width="9.1640625" style="485"/>
    <col min="1279" max="1279" width="8.6640625" style="485" bestFit="1" customWidth="1"/>
    <col min="1280" max="1280" width="31.5" style="485" bestFit="1" customWidth="1"/>
    <col min="1281" max="1298" width="11.6640625" style="485" customWidth="1"/>
    <col min="1299" max="1534" width="9.1640625" style="485"/>
    <col min="1535" max="1535" width="8.6640625" style="485" bestFit="1" customWidth="1"/>
    <col min="1536" max="1536" width="31.5" style="485" bestFit="1" customWidth="1"/>
    <col min="1537" max="1554" width="11.6640625" style="485" customWidth="1"/>
    <col min="1555" max="1790" width="9.1640625" style="485"/>
    <col min="1791" max="1791" width="8.6640625" style="485" bestFit="1" customWidth="1"/>
    <col min="1792" max="1792" width="31.5" style="485" bestFit="1" customWidth="1"/>
    <col min="1793" max="1810" width="11.6640625" style="485" customWidth="1"/>
    <col min="1811" max="2046" width="9.1640625" style="485"/>
    <col min="2047" max="2047" width="8.6640625" style="485" bestFit="1" customWidth="1"/>
    <col min="2048" max="2048" width="31.5" style="485" bestFit="1" customWidth="1"/>
    <col min="2049" max="2066" width="11.6640625" style="485" customWidth="1"/>
    <col min="2067" max="2302" width="9.1640625" style="485"/>
    <col min="2303" max="2303" width="8.6640625" style="485" bestFit="1" customWidth="1"/>
    <col min="2304" max="2304" width="31.5" style="485" bestFit="1" customWidth="1"/>
    <col min="2305" max="2322" width="11.6640625" style="485" customWidth="1"/>
    <col min="2323" max="2558" width="9.1640625" style="485"/>
    <col min="2559" max="2559" width="8.6640625" style="485" bestFit="1" customWidth="1"/>
    <col min="2560" max="2560" width="31.5" style="485" bestFit="1" customWidth="1"/>
    <col min="2561" max="2578" width="11.6640625" style="485" customWidth="1"/>
    <col min="2579" max="2814" width="9.1640625" style="485"/>
    <col min="2815" max="2815" width="8.6640625" style="485" bestFit="1" customWidth="1"/>
    <col min="2816" max="2816" width="31.5" style="485" bestFit="1" customWidth="1"/>
    <col min="2817" max="2834" width="11.6640625" style="485" customWidth="1"/>
    <col min="2835" max="3070" width="9.1640625" style="485"/>
    <col min="3071" max="3071" width="8.6640625" style="485" bestFit="1" customWidth="1"/>
    <col min="3072" max="3072" width="31.5" style="485" bestFit="1" customWidth="1"/>
    <col min="3073" max="3090" width="11.6640625" style="485" customWidth="1"/>
    <col min="3091" max="3326" width="9.1640625" style="485"/>
    <col min="3327" max="3327" width="8.6640625" style="485" bestFit="1" customWidth="1"/>
    <col min="3328" max="3328" width="31.5" style="485" bestFit="1" customWidth="1"/>
    <col min="3329" max="3346" width="11.6640625" style="485" customWidth="1"/>
    <col min="3347" max="3582" width="9.1640625" style="485"/>
    <col min="3583" max="3583" width="8.6640625" style="485" bestFit="1" customWidth="1"/>
    <col min="3584" max="3584" width="31.5" style="485" bestFit="1" customWidth="1"/>
    <col min="3585" max="3602" width="11.6640625" style="485" customWidth="1"/>
    <col min="3603" max="3838" width="9.1640625" style="485"/>
    <col min="3839" max="3839" width="8.6640625" style="485" bestFit="1" customWidth="1"/>
    <col min="3840" max="3840" width="31.5" style="485" bestFit="1" customWidth="1"/>
    <col min="3841" max="3858" width="11.6640625" style="485" customWidth="1"/>
    <col min="3859" max="4094" width="9.1640625" style="485"/>
    <col min="4095" max="4095" width="8.6640625" style="485" bestFit="1" customWidth="1"/>
    <col min="4096" max="4096" width="31.5" style="485" bestFit="1" customWidth="1"/>
    <col min="4097" max="4114" width="11.6640625" style="485" customWidth="1"/>
    <col min="4115" max="4350" width="9.1640625" style="485"/>
    <col min="4351" max="4351" width="8.6640625" style="485" bestFit="1" customWidth="1"/>
    <col min="4352" max="4352" width="31.5" style="485" bestFit="1" customWidth="1"/>
    <col min="4353" max="4370" width="11.6640625" style="485" customWidth="1"/>
    <col min="4371" max="4606" width="9.1640625" style="485"/>
    <col min="4607" max="4607" width="8.6640625" style="485" bestFit="1" customWidth="1"/>
    <col min="4608" max="4608" width="31.5" style="485" bestFit="1" customWidth="1"/>
    <col min="4609" max="4626" width="11.6640625" style="485" customWidth="1"/>
    <col min="4627" max="4862" width="9.1640625" style="485"/>
    <col min="4863" max="4863" width="8.6640625" style="485" bestFit="1" customWidth="1"/>
    <col min="4864" max="4864" width="31.5" style="485" bestFit="1" customWidth="1"/>
    <col min="4865" max="4882" width="11.6640625" style="485" customWidth="1"/>
    <col min="4883" max="5118" width="9.1640625" style="485"/>
    <col min="5119" max="5119" width="8.6640625" style="485" bestFit="1" customWidth="1"/>
    <col min="5120" max="5120" width="31.5" style="485" bestFit="1" customWidth="1"/>
    <col min="5121" max="5138" width="11.6640625" style="485" customWidth="1"/>
    <col min="5139" max="5374" width="9.1640625" style="485"/>
    <col min="5375" max="5375" width="8.6640625" style="485" bestFit="1" customWidth="1"/>
    <col min="5376" max="5376" width="31.5" style="485" bestFit="1" customWidth="1"/>
    <col min="5377" max="5394" width="11.6640625" style="485" customWidth="1"/>
    <col min="5395" max="5630" width="9.1640625" style="485"/>
    <col min="5631" max="5631" width="8.6640625" style="485" bestFit="1" customWidth="1"/>
    <col min="5632" max="5632" width="31.5" style="485" bestFit="1" customWidth="1"/>
    <col min="5633" max="5650" width="11.6640625" style="485" customWidth="1"/>
    <col min="5651" max="5886" width="9.1640625" style="485"/>
    <col min="5887" max="5887" width="8.6640625" style="485" bestFit="1" customWidth="1"/>
    <col min="5888" max="5888" width="31.5" style="485" bestFit="1" customWidth="1"/>
    <col min="5889" max="5906" width="11.6640625" style="485" customWidth="1"/>
    <col min="5907" max="6142" width="9.1640625" style="485"/>
    <col min="6143" max="6143" width="8.6640625" style="485" bestFit="1" customWidth="1"/>
    <col min="6144" max="6144" width="31.5" style="485" bestFit="1" customWidth="1"/>
    <col min="6145" max="6162" width="11.6640625" style="485" customWidth="1"/>
    <col min="6163" max="6398" width="9.1640625" style="485"/>
    <col min="6399" max="6399" width="8.6640625" style="485" bestFit="1" customWidth="1"/>
    <col min="6400" max="6400" width="31.5" style="485" bestFit="1" customWidth="1"/>
    <col min="6401" max="6418" width="11.6640625" style="485" customWidth="1"/>
    <col min="6419" max="6654" width="9.1640625" style="485"/>
    <col min="6655" max="6655" width="8.6640625" style="485" bestFit="1" customWidth="1"/>
    <col min="6656" max="6656" width="31.5" style="485" bestFit="1" customWidth="1"/>
    <col min="6657" max="6674" width="11.6640625" style="485" customWidth="1"/>
    <col min="6675" max="6910" width="9.1640625" style="485"/>
    <col min="6911" max="6911" width="8.6640625" style="485" bestFit="1" customWidth="1"/>
    <col min="6912" max="6912" width="31.5" style="485" bestFit="1" customWidth="1"/>
    <col min="6913" max="6930" width="11.6640625" style="485" customWidth="1"/>
    <col min="6931" max="7166" width="9.1640625" style="485"/>
    <col min="7167" max="7167" width="8.6640625" style="485" bestFit="1" customWidth="1"/>
    <col min="7168" max="7168" width="31.5" style="485" bestFit="1" customWidth="1"/>
    <col min="7169" max="7186" width="11.6640625" style="485" customWidth="1"/>
    <col min="7187" max="7422" width="9.1640625" style="485"/>
    <col min="7423" max="7423" width="8.6640625" style="485" bestFit="1" customWidth="1"/>
    <col min="7424" max="7424" width="31.5" style="485" bestFit="1" customWidth="1"/>
    <col min="7425" max="7442" width="11.6640625" style="485" customWidth="1"/>
    <col min="7443" max="7678" width="9.1640625" style="485"/>
    <col min="7679" max="7679" width="8.6640625" style="485" bestFit="1" customWidth="1"/>
    <col min="7680" max="7680" width="31.5" style="485" bestFit="1" customWidth="1"/>
    <col min="7681" max="7698" width="11.6640625" style="485" customWidth="1"/>
    <col min="7699" max="7934" width="9.1640625" style="485"/>
    <col min="7935" max="7935" width="8.6640625" style="485" bestFit="1" customWidth="1"/>
    <col min="7936" max="7936" width="31.5" style="485" bestFit="1" customWidth="1"/>
    <col min="7937" max="7954" width="11.6640625" style="485" customWidth="1"/>
    <col min="7955" max="8190" width="9.1640625" style="485"/>
    <col min="8191" max="8191" width="8.6640625" style="485" bestFit="1" customWidth="1"/>
    <col min="8192" max="8192" width="31.5" style="485" bestFit="1" customWidth="1"/>
    <col min="8193" max="8210" width="11.6640625" style="485" customWidth="1"/>
    <col min="8211" max="8446" width="9.1640625" style="485"/>
    <col min="8447" max="8447" width="8.6640625" style="485" bestFit="1" customWidth="1"/>
    <col min="8448" max="8448" width="31.5" style="485" bestFit="1" customWidth="1"/>
    <col min="8449" max="8466" width="11.6640625" style="485" customWidth="1"/>
    <col min="8467" max="8702" width="9.1640625" style="485"/>
    <col min="8703" max="8703" width="8.6640625" style="485" bestFit="1" customWidth="1"/>
    <col min="8704" max="8704" width="31.5" style="485" bestFit="1" customWidth="1"/>
    <col min="8705" max="8722" width="11.6640625" style="485" customWidth="1"/>
    <col min="8723" max="8958" width="9.1640625" style="485"/>
    <col min="8959" max="8959" width="8.6640625" style="485" bestFit="1" customWidth="1"/>
    <col min="8960" max="8960" width="31.5" style="485" bestFit="1" customWidth="1"/>
    <col min="8961" max="8978" width="11.6640625" style="485" customWidth="1"/>
    <col min="8979" max="9214" width="9.1640625" style="485"/>
    <col min="9215" max="9215" width="8.6640625" style="485" bestFit="1" customWidth="1"/>
    <col min="9216" max="9216" width="31.5" style="485" bestFit="1" customWidth="1"/>
    <col min="9217" max="9234" width="11.6640625" style="485" customWidth="1"/>
    <col min="9235" max="9470" width="9.1640625" style="485"/>
    <col min="9471" max="9471" width="8.6640625" style="485" bestFit="1" customWidth="1"/>
    <col min="9472" max="9472" width="31.5" style="485" bestFit="1" customWidth="1"/>
    <col min="9473" max="9490" width="11.6640625" style="485" customWidth="1"/>
    <col min="9491" max="9726" width="9.1640625" style="485"/>
    <col min="9727" max="9727" width="8.6640625" style="485" bestFit="1" customWidth="1"/>
    <col min="9728" max="9728" width="31.5" style="485" bestFit="1" customWidth="1"/>
    <col min="9729" max="9746" width="11.6640625" style="485" customWidth="1"/>
    <col min="9747" max="9982" width="9.1640625" style="485"/>
    <col min="9983" max="9983" width="8.6640625" style="485" bestFit="1" customWidth="1"/>
    <col min="9984" max="9984" width="31.5" style="485" bestFit="1" customWidth="1"/>
    <col min="9985" max="10002" width="11.6640625" style="485" customWidth="1"/>
    <col min="10003" max="10238" width="9.1640625" style="485"/>
    <col min="10239" max="10239" width="8.6640625" style="485" bestFit="1" customWidth="1"/>
    <col min="10240" max="10240" width="31.5" style="485" bestFit="1" customWidth="1"/>
    <col min="10241" max="10258" width="11.6640625" style="485" customWidth="1"/>
    <col min="10259" max="10494" width="9.1640625" style="485"/>
    <col min="10495" max="10495" width="8.6640625" style="485" bestFit="1" customWidth="1"/>
    <col min="10496" max="10496" width="31.5" style="485" bestFit="1" customWidth="1"/>
    <col min="10497" max="10514" width="11.6640625" style="485" customWidth="1"/>
    <col min="10515" max="10750" width="9.1640625" style="485"/>
    <col min="10751" max="10751" width="8.6640625" style="485" bestFit="1" customWidth="1"/>
    <col min="10752" max="10752" width="31.5" style="485" bestFit="1" customWidth="1"/>
    <col min="10753" max="10770" width="11.6640625" style="485" customWidth="1"/>
    <col min="10771" max="11006" width="9.1640625" style="485"/>
    <col min="11007" max="11007" width="8.6640625" style="485" bestFit="1" customWidth="1"/>
    <col min="11008" max="11008" width="31.5" style="485" bestFit="1" customWidth="1"/>
    <col min="11009" max="11026" width="11.6640625" style="485" customWidth="1"/>
    <col min="11027" max="11262" width="9.1640625" style="485"/>
    <col min="11263" max="11263" width="8.6640625" style="485" bestFit="1" customWidth="1"/>
    <col min="11264" max="11264" width="31.5" style="485" bestFit="1" customWidth="1"/>
    <col min="11265" max="11282" width="11.6640625" style="485" customWidth="1"/>
    <col min="11283" max="11518" width="9.1640625" style="485"/>
    <col min="11519" max="11519" width="8.6640625" style="485" bestFit="1" customWidth="1"/>
    <col min="11520" max="11520" width="31.5" style="485" bestFit="1" customWidth="1"/>
    <col min="11521" max="11538" width="11.6640625" style="485" customWidth="1"/>
    <col min="11539" max="11774" width="9.1640625" style="485"/>
    <col min="11775" max="11775" width="8.6640625" style="485" bestFit="1" customWidth="1"/>
    <col min="11776" max="11776" width="31.5" style="485" bestFit="1" customWidth="1"/>
    <col min="11777" max="11794" width="11.6640625" style="485" customWidth="1"/>
    <col min="11795" max="12030" width="9.1640625" style="485"/>
    <col min="12031" max="12031" width="8.6640625" style="485" bestFit="1" customWidth="1"/>
    <col min="12032" max="12032" width="31.5" style="485" bestFit="1" customWidth="1"/>
    <col min="12033" max="12050" width="11.6640625" style="485" customWidth="1"/>
    <col min="12051" max="12286" width="9.1640625" style="485"/>
    <col min="12287" max="12287" width="8.6640625" style="485" bestFit="1" customWidth="1"/>
    <col min="12288" max="12288" width="31.5" style="485" bestFit="1" customWidth="1"/>
    <col min="12289" max="12306" width="11.6640625" style="485" customWidth="1"/>
    <col min="12307" max="12542" width="9.1640625" style="485"/>
    <col min="12543" max="12543" width="8.6640625" style="485" bestFit="1" customWidth="1"/>
    <col min="12544" max="12544" width="31.5" style="485" bestFit="1" customWidth="1"/>
    <col min="12545" max="12562" width="11.6640625" style="485" customWidth="1"/>
    <col min="12563" max="12798" width="9.1640625" style="485"/>
    <col min="12799" max="12799" width="8.6640625" style="485" bestFit="1" customWidth="1"/>
    <col min="12800" max="12800" width="31.5" style="485" bestFit="1" customWidth="1"/>
    <col min="12801" max="12818" width="11.6640625" style="485" customWidth="1"/>
    <col min="12819" max="13054" width="9.1640625" style="485"/>
    <col min="13055" max="13055" width="8.6640625" style="485" bestFit="1" customWidth="1"/>
    <col min="13056" max="13056" width="31.5" style="485" bestFit="1" customWidth="1"/>
    <col min="13057" max="13074" width="11.6640625" style="485" customWidth="1"/>
    <col min="13075" max="13310" width="9.1640625" style="485"/>
    <col min="13311" max="13311" width="8.6640625" style="485" bestFit="1" customWidth="1"/>
    <col min="13312" max="13312" width="31.5" style="485" bestFit="1" customWidth="1"/>
    <col min="13313" max="13330" width="11.6640625" style="485" customWidth="1"/>
    <col min="13331" max="13566" width="9.1640625" style="485"/>
    <col min="13567" max="13567" width="8.6640625" style="485" bestFit="1" customWidth="1"/>
    <col min="13568" max="13568" width="31.5" style="485" bestFit="1" customWidth="1"/>
    <col min="13569" max="13586" width="11.6640625" style="485" customWidth="1"/>
    <col min="13587" max="13822" width="9.1640625" style="485"/>
    <col min="13823" max="13823" width="8.6640625" style="485" bestFit="1" customWidth="1"/>
    <col min="13824" max="13824" width="31.5" style="485" bestFit="1" customWidth="1"/>
    <col min="13825" max="13842" width="11.6640625" style="485" customWidth="1"/>
    <col min="13843" max="14078" width="9.1640625" style="485"/>
    <col min="14079" max="14079" width="8.6640625" style="485" bestFit="1" customWidth="1"/>
    <col min="14080" max="14080" width="31.5" style="485" bestFit="1" customWidth="1"/>
    <col min="14081" max="14098" width="11.6640625" style="485" customWidth="1"/>
    <col min="14099" max="14334" width="9.1640625" style="485"/>
    <col min="14335" max="14335" width="8.6640625" style="485" bestFit="1" customWidth="1"/>
    <col min="14336" max="14336" width="31.5" style="485" bestFit="1" customWidth="1"/>
    <col min="14337" max="14354" width="11.6640625" style="485" customWidth="1"/>
    <col min="14355" max="14590" width="9.1640625" style="485"/>
    <col min="14591" max="14591" width="8.6640625" style="485" bestFit="1" customWidth="1"/>
    <col min="14592" max="14592" width="31.5" style="485" bestFit="1" customWidth="1"/>
    <col min="14593" max="14610" width="11.6640625" style="485" customWidth="1"/>
    <col min="14611" max="14846" width="9.1640625" style="485"/>
    <col min="14847" max="14847" width="8.6640625" style="485" bestFit="1" customWidth="1"/>
    <col min="14848" max="14848" width="31.5" style="485" bestFit="1" customWidth="1"/>
    <col min="14849" max="14866" width="11.6640625" style="485" customWidth="1"/>
    <col min="14867" max="15102" width="9.1640625" style="485"/>
    <col min="15103" max="15103" width="8.6640625" style="485" bestFit="1" customWidth="1"/>
    <col min="15104" max="15104" width="31.5" style="485" bestFit="1" customWidth="1"/>
    <col min="15105" max="15122" width="11.6640625" style="485" customWidth="1"/>
    <col min="15123" max="15358" width="9.1640625" style="485"/>
    <col min="15359" max="15359" width="8.6640625" style="485" bestFit="1" customWidth="1"/>
    <col min="15360" max="15360" width="31.5" style="485" bestFit="1" customWidth="1"/>
    <col min="15361" max="15378" width="11.6640625" style="485" customWidth="1"/>
    <col min="15379" max="15614" width="9.1640625" style="485"/>
    <col min="15615" max="15615" width="8.6640625" style="485" bestFit="1" customWidth="1"/>
    <col min="15616" max="15616" width="31.5" style="485" bestFit="1" customWidth="1"/>
    <col min="15617" max="15634" width="11.6640625" style="485" customWidth="1"/>
    <col min="15635" max="15870" width="9.1640625" style="485"/>
    <col min="15871" max="15871" width="8.6640625" style="485" bestFit="1" customWidth="1"/>
    <col min="15872" max="15872" width="31.5" style="485" bestFit="1" customWidth="1"/>
    <col min="15873" max="15890" width="11.6640625" style="485" customWidth="1"/>
    <col min="15891" max="16126" width="9.1640625" style="485"/>
    <col min="16127" max="16127" width="8.6640625" style="485" bestFit="1" customWidth="1"/>
    <col min="16128" max="16128" width="31.5" style="485" bestFit="1" customWidth="1"/>
    <col min="16129" max="16146" width="11.6640625" style="485" customWidth="1"/>
    <col min="16147" max="16384" width="9.1640625" style="485"/>
  </cols>
  <sheetData>
    <row r="1" spans="2:23" s="461" customFormat="1" ht="46" thickBot="1">
      <c r="D1" s="461" t="s">
        <v>55</v>
      </c>
      <c r="F1" s="461" t="s">
        <v>53</v>
      </c>
      <c r="G1" s="461" t="s">
        <v>79</v>
      </c>
      <c r="H1" s="461" t="s">
        <v>68</v>
      </c>
      <c r="I1" s="461" t="s">
        <v>54</v>
      </c>
      <c r="J1" s="623" t="s">
        <v>441</v>
      </c>
      <c r="K1" s="461" t="s">
        <v>51</v>
      </c>
      <c r="L1" s="625" t="s">
        <v>77</v>
      </c>
      <c r="M1" s="625" t="s">
        <v>582</v>
      </c>
      <c r="N1" s="625" t="s">
        <v>78</v>
      </c>
      <c r="O1" s="625" t="s">
        <v>80</v>
      </c>
      <c r="P1" s="461" t="s">
        <v>52</v>
      </c>
      <c r="Q1" s="461" t="s">
        <v>50</v>
      </c>
      <c r="R1" s="624" t="s">
        <v>587</v>
      </c>
      <c r="S1" s="461" t="s">
        <v>57</v>
      </c>
      <c r="W1" s="461" t="s">
        <v>590</v>
      </c>
    </row>
    <row r="2" spans="2:23">
      <c r="B2" s="666" t="s">
        <v>573</v>
      </c>
      <c r="C2" s="666"/>
      <c r="D2" s="666"/>
      <c r="E2" s="666"/>
      <c r="F2" s="666"/>
      <c r="G2" s="666"/>
      <c r="H2" s="666"/>
      <c r="I2" s="666"/>
      <c r="J2" s="666"/>
      <c r="K2" s="666"/>
      <c r="L2" s="666"/>
      <c r="M2" s="666"/>
      <c r="N2" s="666"/>
      <c r="O2" s="666"/>
      <c r="P2" s="666"/>
      <c r="Q2" s="666"/>
      <c r="R2" s="666"/>
    </row>
    <row r="3" spans="2:23" ht="15" thickBot="1">
      <c r="B3" s="667" t="s">
        <v>430</v>
      </c>
      <c r="C3" s="667"/>
      <c r="D3" s="667"/>
      <c r="E3" s="667"/>
      <c r="F3" s="667"/>
      <c r="G3" s="667"/>
      <c r="H3" s="667"/>
      <c r="I3" s="667"/>
      <c r="J3" s="667"/>
      <c r="K3" s="667"/>
      <c r="L3" s="667"/>
      <c r="M3" s="667"/>
      <c r="N3" s="667"/>
      <c r="O3" s="667"/>
      <c r="P3" s="667"/>
      <c r="Q3" s="667"/>
      <c r="R3" s="667"/>
      <c r="S3" s="462"/>
    </row>
    <row r="4" spans="2:23" s="499" customFormat="1" ht="18.75" customHeight="1">
      <c r="B4" s="678"/>
      <c r="C4" s="668" t="s">
        <v>431</v>
      </c>
      <c r="D4" s="647"/>
      <c r="E4" s="668" t="s">
        <v>432</v>
      </c>
      <c r="F4" s="654"/>
      <c r="G4" s="654"/>
      <c r="H4" s="654"/>
      <c r="I4" s="654"/>
      <c r="J4" s="655"/>
      <c r="K4" s="668" t="s">
        <v>433</v>
      </c>
      <c r="P4" s="668" t="s">
        <v>435</v>
      </c>
      <c r="Q4" s="668" t="s">
        <v>436</v>
      </c>
      <c r="R4" s="676" t="s">
        <v>585</v>
      </c>
      <c r="S4" s="682" t="s">
        <v>57</v>
      </c>
    </row>
    <row r="5" spans="2:23" s="462" customFormat="1" ht="50.25" customHeight="1" thickBot="1">
      <c r="B5" s="679"/>
      <c r="C5" s="669"/>
      <c r="D5" s="648" t="s">
        <v>579</v>
      </c>
      <c r="E5" s="669"/>
      <c r="F5" s="623" t="s">
        <v>437</v>
      </c>
      <c r="G5" s="623" t="s">
        <v>438</v>
      </c>
      <c r="H5" s="623" t="s">
        <v>439</v>
      </c>
      <c r="I5" s="646" t="s">
        <v>493</v>
      </c>
      <c r="J5" s="623" t="s">
        <v>441</v>
      </c>
      <c r="K5" s="669"/>
      <c r="L5" s="625" t="s">
        <v>77</v>
      </c>
      <c r="M5" s="625" t="s">
        <v>582</v>
      </c>
      <c r="N5" s="625" t="s">
        <v>78</v>
      </c>
      <c r="O5" s="625" t="s">
        <v>80</v>
      </c>
      <c r="P5" s="669"/>
      <c r="Q5" s="669"/>
      <c r="R5" s="677"/>
      <c r="S5" s="683"/>
    </row>
    <row r="6" spans="2:23" ht="15">
      <c r="B6" s="463" t="s">
        <v>442</v>
      </c>
      <c r="C6" s="644">
        <v>2584672.0999999996</v>
      </c>
      <c r="D6" s="644"/>
      <c r="E6" s="644" t="s">
        <v>443</v>
      </c>
      <c r="F6" s="644" t="s">
        <v>443</v>
      </c>
      <c r="G6" s="644" t="s">
        <v>443</v>
      </c>
      <c r="H6" s="644" t="s">
        <v>443</v>
      </c>
      <c r="I6" s="644" t="s">
        <v>443</v>
      </c>
      <c r="J6" s="644" t="s">
        <v>443</v>
      </c>
      <c r="K6" s="644">
        <v>957528.6</v>
      </c>
      <c r="L6" s="644"/>
      <c r="M6" s="644"/>
      <c r="N6" s="644"/>
      <c r="O6" s="644"/>
      <c r="P6" s="644" t="s">
        <v>443</v>
      </c>
      <c r="Q6" s="644" t="s">
        <v>443</v>
      </c>
      <c r="R6" s="643" t="s">
        <v>443</v>
      </c>
      <c r="S6" s="503">
        <f>SUM(F6:R6)+D6</f>
        <v>957528.6</v>
      </c>
    </row>
    <row r="7" spans="2:23">
      <c r="B7" s="466" t="s">
        <v>444</v>
      </c>
      <c r="C7" s="639">
        <v>12678.1</v>
      </c>
      <c r="D7" s="639"/>
      <c r="E7" s="639">
        <v>11999.1</v>
      </c>
      <c r="F7" s="639">
        <v>52.1</v>
      </c>
      <c r="G7" s="639">
        <v>7343.5</v>
      </c>
      <c r="H7" s="639">
        <v>21.3</v>
      </c>
      <c r="I7" s="639" t="s">
        <v>443</v>
      </c>
      <c r="J7" s="639">
        <v>1504.7</v>
      </c>
      <c r="K7" s="639" t="s">
        <v>443</v>
      </c>
      <c r="L7" s="639"/>
      <c r="M7" s="639"/>
      <c r="N7" s="639"/>
      <c r="O7" s="639"/>
      <c r="P7" s="639" t="s">
        <v>443</v>
      </c>
      <c r="Q7" s="639">
        <v>492.8</v>
      </c>
      <c r="R7" s="638">
        <v>186.2</v>
      </c>
      <c r="S7" s="503">
        <f>SUM(F7:R7)+D7</f>
        <v>9600.6</v>
      </c>
    </row>
    <row r="8" spans="2:23">
      <c r="B8" s="466" t="s">
        <v>445</v>
      </c>
      <c r="C8" s="639">
        <v>-1861834.3</v>
      </c>
      <c r="D8" s="639"/>
      <c r="E8" s="639">
        <v>-48099.7</v>
      </c>
      <c r="F8" s="639">
        <v>-2499.3000000000002</v>
      </c>
      <c r="G8" s="639" t="s">
        <v>443</v>
      </c>
      <c r="H8" s="639">
        <v>-32461.200000000001</v>
      </c>
      <c r="I8" s="639">
        <v>-8.5</v>
      </c>
      <c r="J8" s="639">
        <v>-7471.6</v>
      </c>
      <c r="K8" s="639">
        <v>-462197</v>
      </c>
      <c r="L8" s="639"/>
      <c r="M8" s="639"/>
      <c r="N8" s="639"/>
      <c r="O8" s="639"/>
      <c r="P8" s="639" t="s">
        <v>443</v>
      </c>
      <c r="Q8" s="639">
        <v>-5367.2</v>
      </c>
      <c r="R8" s="638" t="s">
        <v>443</v>
      </c>
      <c r="S8" s="503">
        <f>SUM(F8:R8)+D8</f>
        <v>-510004.8</v>
      </c>
    </row>
    <row r="9" spans="2:23" ht="15">
      <c r="B9" s="468" t="s">
        <v>446</v>
      </c>
      <c r="C9" s="639">
        <v>-14818.8</v>
      </c>
      <c r="D9" s="639"/>
      <c r="E9" s="639">
        <v>-14818.8</v>
      </c>
      <c r="F9" s="639" t="s">
        <v>443</v>
      </c>
      <c r="G9" s="639" t="s">
        <v>443</v>
      </c>
      <c r="H9" s="639">
        <v>-1305.3</v>
      </c>
      <c r="I9" s="639" t="s">
        <v>443</v>
      </c>
      <c r="J9" s="639" t="s">
        <v>443</v>
      </c>
      <c r="K9" s="639" t="s">
        <v>443</v>
      </c>
      <c r="L9" s="639"/>
      <c r="M9" s="639"/>
      <c r="N9" s="639"/>
      <c r="O9" s="639"/>
      <c r="P9" s="639" t="s">
        <v>443</v>
      </c>
      <c r="Q9" s="639" t="s">
        <v>443</v>
      </c>
      <c r="R9" s="638" t="s">
        <v>443</v>
      </c>
      <c r="S9" s="503">
        <f>SUM(F9:R9)+D9</f>
        <v>-1305.3</v>
      </c>
    </row>
    <row r="10" spans="2:23">
      <c r="B10" s="469" t="s">
        <v>447</v>
      </c>
      <c r="C10" s="639">
        <v>-1305.3</v>
      </c>
      <c r="D10" s="639"/>
      <c r="E10" s="639">
        <v>-1305.3</v>
      </c>
      <c r="F10" s="639" t="s">
        <v>443</v>
      </c>
      <c r="G10" s="639" t="s">
        <v>443</v>
      </c>
      <c r="H10" s="639">
        <v>-1305.3</v>
      </c>
      <c r="I10" s="639" t="s">
        <v>443</v>
      </c>
      <c r="J10" s="639" t="s">
        <v>443</v>
      </c>
      <c r="K10" s="639" t="s">
        <v>443</v>
      </c>
      <c r="L10" s="639"/>
      <c r="M10" s="639"/>
      <c r="N10" s="639"/>
      <c r="O10" s="639"/>
      <c r="P10" s="639" t="s">
        <v>443</v>
      </c>
      <c r="Q10" s="639" t="s">
        <v>443</v>
      </c>
      <c r="R10" s="638" t="s">
        <v>443</v>
      </c>
      <c r="S10" s="503">
        <f>SUM(F10:R10)+D10</f>
        <v>-1305.3</v>
      </c>
    </row>
    <row r="11" spans="2:23">
      <c r="B11" s="469" t="s">
        <v>448</v>
      </c>
      <c r="C11" s="639">
        <v>-13513.5</v>
      </c>
      <c r="D11" s="639"/>
      <c r="E11" s="639">
        <v>-13513.5</v>
      </c>
      <c r="F11" s="639" t="s">
        <v>443</v>
      </c>
      <c r="G11" s="639" t="s">
        <v>443</v>
      </c>
      <c r="H11" s="639" t="s">
        <v>443</v>
      </c>
      <c r="I11" s="639" t="s">
        <v>443</v>
      </c>
      <c r="J11" s="639" t="s">
        <v>443</v>
      </c>
      <c r="K11" s="639" t="s">
        <v>443</v>
      </c>
      <c r="L11" s="639"/>
      <c r="M11" s="639"/>
      <c r="N11" s="639"/>
      <c r="O11" s="639"/>
      <c r="P11" s="639" t="s">
        <v>443</v>
      </c>
      <c r="Q11" s="639" t="s">
        <v>443</v>
      </c>
      <c r="R11" s="638" t="s">
        <v>443</v>
      </c>
      <c r="S11" s="503">
        <f>SUM(F11:R11)+D11</f>
        <v>0</v>
      </c>
    </row>
    <row r="12" spans="2:23">
      <c r="B12" s="470" t="s">
        <v>449</v>
      </c>
      <c r="C12" s="639">
        <v>-7141.9000000000005</v>
      </c>
      <c r="D12" s="639"/>
      <c r="E12" s="639">
        <v>-1403.8000000000002</v>
      </c>
      <c r="F12" s="639">
        <v>464.7</v>
      </c>
      <c r="G12" s="639">
        <v>1114.5</v>
      </c>
      <c r="H12" s="639">
        <v>170.6</v>
      </c>
      <c r="I12" s="639">
        <v>-2081.5</v>
      </c>
      <c r="J12" s="639">
        <v>-845.6</v>
      </c>
      <c r="K12" s="639">
        <v>-4948.8999999999996</v>
      </c>
      <c r="L12" s="639"/>
      <c r="M12" s="639"/>
      <c r="N12" s="639"/>
      <c r="O12" s="639"/>
      <c r="P12" s="639" t="s">
        <v>443</v>
      </c>
      <c r="Q12" s="639" t="s">
        <v>443</v>
      </c>
      <c r="R12" s="638">
        <v>2.8</v>
      </c>
      <c r="S12" s="503">
        <f>SUM(F12:R12)+D12</f>
        <v>-6123.4</v>
      </c>
    </row>
    <row r="13" spans="2:23">
      <c r="B13" s="471" t="s">
        <v>450</v>
      </c>
      <c r="C13" s="642">
        <v>713555.2</v>
      </c>
      <c r="D13" s="642"/>
      <c r="E13" s="642">
        <v>-52323.199999999997</v>
      </c>
      <c r="F13" s="639">
        <v>-1982.5</v>
      </c>
      <c r="G13" s="639">
        <v>8458</v>
      </c>
      <c r="H13" s="639">
        <v>-33574.6</v>
      </c>
      <c r="I13" s="639">
        <v>-2090</v>
      </c>
      <c r="J13" s="639">
        <v>-6812.5</v>
      </c>
      <c r="K13" s="642">
        <v>490382.7</v>
      </c>
      <c r="L13" s="642"/>
      <c r="M13" s="642"/>
      <c r="N13" s="642"/>
      <c r="O13" s="642"/>
      <c r="P13" s="639" t="s">
        <v>443</v>
      </c>
      <c r="Q13" s="642">
        <v>-4874.3999999999996</v>
      </c>
      <c r="R13" s="641">
        <v>189</v>
      </c>
      <c r="S13" s="503">
        <f>SUM(F13:R13)+D13</f>
        <v>449695.7</v>
      </c>
    </row>
    <row r="14" spans="2:23">
      <c r="B14" s="473" t="s">
        <v>451</v>
      </c>
      <c r="C14" s="642">
        <v>2461.4</v>
      </c>
      <c r="D14" s="642"/>
      <c r="E14" s="642">
        <v>955.00000000000011</v>
      </c>
      <c r="F14" s="639" t="s">
        <v>443</v>
      </c>
      <c r="G14" s="639">
        <v>375.8</v>
      </c>
      <c r="H14" s="639">
        <v>563.1</v>
      </c>
      <c r="I14" s="639" t="s">
        <v>443</v>
      </c>
      <c r="J14" s="639">
        <v>16.100000000000001</v>
      </c>
      <c r="K14" s="642">
        <v>1402.3</v>
      </c>
      <c r="L14" s="642"/>
      <c r="M14" s="642"/>
      <c r="N14" s="642"/>
      <c r="O14" s="642"/>
      <c r="P14" s="639" t="s">
        <v>443</v>
      </c>
      <c r="Q14" s="642">
        <v>104.1</v>
      </c>
      <c r="R14" s="638" t="s">
        <v>443</v>
      </c>
      <c r="S14" s="503">
        <f>SUM(F14:R14)+D14</f>
        <v>2461.4</v>
      </c>
    </row>
    <row r="15" spans="2:23">
      <c r="B15" s="473" t="s">
        <v>452</v>
      </c>
      <c r="C15" s="639" t="s">
        <v>443</v>
      </c>
      <c r="D15" s="639"/>
      <c r="E15" s="639" t="s">
        <v>443</v>
      </c>
      <c r="F15" s="639" t="s">
        <v>443</v>
      </c>
      <c r="G15" s="639" t="s">
        <v>443</v>
      </c>
      <c r="H15" s="639" t="s">
        <v>443</v>
      </c>
      <c r="I15" s="639" t="s">
        <v>443</v>
      </c>
      <c r="J15" s="639" t="s">
        <v>443</v>
      </c>
      <c r="K15" s="639" t="s">
        <v>443</v>
      </c>
      <c r="L15" s="639"/>
      <c r="M15" s="639"/>
      <c r="N15" s="639"/>
      <c r="O15" s="639"/>
      <c r="P15" s="639" t="s">
        <v>443</v>
      </c>
      <c r="Q15" s="639" t="s">
        <v>443</v>
      </c>
      <c r="R15" s="638" t="s">
        <v>443</v>
      </c>
      <c r="S15" s="503">
        <f>SUM(F15:R15)+D15</f>
        <v>0</v>
      </c>
    </row>
    <row r="16" spans="2:23">
      <c r="B16" s="473" t="s">
        <v>453</v>
      </c>
      <c r="C16" s="642">
        <v>-152555.29999999999</v>
      </c>
      <c r="D16" s="642"/>
      <c r="E16" s="642">
        <v>256780.2</v>
      </c>
      <c r="F16" s="639">
        <v>9959.2000000000007</v>
      </c>
      <c r="G16" s="639">
        <v>50169</v>
      </c>
      <c r="H16" s="639">
        <v>95067.5</v>
      </c>
      <c r="I16" s="639">
        <v>5365.2</v>
      </c>
      <c r="J16" s="639">
        <v>46513.4</v>
      </c>
      <c r="K16" s="642">
        <v>-241023.6</v>
      </c>
      <c r="L16" s="642"/>
      <c r="M16" s="642"/>
      <c r="N16" s="642"/>
      <c r="O16" s="642"/>
      <c r="P16" s="642">
        <v>14016</v>
      </c>
      <c r="Q16" s="642">
        <v>93862.5</v>
      </c>
      <c r="R16" s="638" t="s">
        <v>443</v>
      </c>
      <c r="S16" s="503">
        <f>SUM(F16:R16)+D16</f>
        <v>73929.200000000012</v>
      </c>
    </row>
    <row r="17" spans="1:23">
      <c r="B17" s="469" t="s">
        <v>454</v>
      </c>
      <c r="C17" s="639">
        <v>-85949.999999999985</v>
      </c>
      <c r="D17" s="639"/>
      <c r="E17" s="639">
        <v>-597.20000000000005</v>
      </c>
      <c r="F17" s="639" t="s">
        <v>443</v>
      </c>
      <c r="G17" s="639" t="s">
        <v>443</v>
      </c>
      <c r="H17" s="639">
        <v>-597.20000000000005</v>
      </c>
      <c r="I17" s="639" t="s">
        <v>443</v>
      </c>
      <c r="J17" s="639" t="s">
        <v>443</v>
      </c>
      <c r="K17" s="639">
        <v>-142783.79999999999</v>
      </c>
      <c r="L17" s="639"/>
      <c r="M17" s="639"/>
      <c r="N17" s="639"/>
      <c r="O17" s="639"/>
      <c r="P17" s="639" t="s">
        <v>443</v>
      </c>
      <c r="Q17" s="639">
        <v>66677.8</v>
      </c>
      <c r="R17" s="638" t="s">
        <v>443</v>
      </c>
      <c r="S17" s="503">
        <f>SUM(F17:R17)+D17</f>
        <v>-76703.199999999997</v>
      </c>
      <c r="T17" s="500" t="e">
        <f>(Q17+#REF!)/SUM(F17:K17)*-1</f>
        <v>#REF!</v>
      </c>
      <c r="V17" s="501">
        <f>SUM(P17:Q17)/SUM(F17:O17)*-1</f>
        <v>0.46503930088365963</v>
      </c>
    </row>
    <row r="18" spans="1:23">
      <c r="B18" s="469" t="s">
        <v>455</v>
      </c>
      <c r="C18" s="639">
        <v>-54926.900000000009</v>
      </c>
      <c r="D18" s="639"/>
      <c r="E18" s="639">
        <v>-8.5</v>
      </c>
      <c r="F18" s="639" t="s">
        <v>443</v>
      </c>
      <c r="G18" s="639" t="s">
        <v>443</v>
      </c>
      <c r="H18" s="639">
        <v>-8.5</v>
      </c>
      <c r="I18" s="639" t="s">
        <v>443</v>
      </c>
      <c r="J18" s="639" t="s">
        <v>443</v>
      </c>
      <c r="K18" s="639">
        <v>-89888.8</v>
      </c>
      <c r="L18" s="639"/>
      <c r="M18" s="639"/>
      <c r="N18" s="639"/>
      <c r="O18" s="639"/>
      <c r="P18" s="639">
        <v>7785.7</v>
      </c>
      <c r="Q18" s="639">
        <v>27184.7</v>
      </c>
      <c r="R18" s="638" t="s">
        <v>443</v>
      </c>
      <c r="S18" s="503">
        <f>SUM(F18:R18)+D18</f>
        <v>-54926.900000000009</v>
      </c>
      <c r="T18" s="501">
        <f>SUM(P18:Q18)/SUM(F18:O18)*-1</f>
        <v>0.38900389666875423</v>
      </c>
    </row>
    <row r="19" spans="1:23">
      <c r="B19" s="469" t="s">
        <v>456</v>
      </c>
      <c r="C19" s="639">
        <v>-1922.8999999999996</v>
      </c>
      <c r="D19" s="639"/>
      <c r="E19" s="639">
        <v>-17</v>
      </c>
      <c r="F19" s="639" t="s">
        <v>443</v>
      </c>
      <c r="G19" s="639" t="s">
        <v>443</v>
      </c>
      <c r="H19" s="639">
        <v>-8.5</v>
      </c>
      <c r="I19" s="639">
        <v>-8.5</v>
      </c>
      <c r="J19" s="639" t="s">
        <v>443</v>
      </c>
      <c r="K19" s="639">
        <v>-8136.2</v>
      </c>
      <c r="L19" s="639"/>
      <c r="M19" s="639"/>
      <c r="N19" s="639"/>
      <c r="O19" s="639"/>
      <c r="P19" s="639">
        <v>6230.3</v>
      </c>
      <c r="Q19" s="639" t="s">
        <v>443</v>
      </c>
      <c r="R19" s="638" t="s">
        <v>443</v>
      </c>
      <c r="S19" s="503">
        <f>SUM(F19:R19)+D19</f>
        <v>-1922.8999999999996</v>
      </c>
      <c r="T19" s="501">
        <f>SUM(P19:Q19)/SUM(F19:O19)*-1</f>
        <v>0.76415395182259727</v>
      </c>
    </row>
    <row r="20" spans="1:23">
      <c r="B20" s="469" t="s">
        <v>457</v>
      </c>
      <c r="C20" s="639">
        <v>1174.4000000000001</v>
      </c>
      <c r="D20" s="639"/>
      <c r="E20" s="639">
        <v>1389.2</v>
      </c>
      <c r="F20" s="639">
        <v>569.1</v>
      </c>
      <c r="G20" s="639" t="s">
        <v>443</v>
      </c>
      <c r="H20" s="639" t="s">
        <v>443</v>
      </c>
      <c r="I20" s="639" t="s">
        <v>443</v>
      </c>
      <c r="J20" s="639">
        <v>820.1</v>
      </c>
      <c r="K20" s="639">
        <v>-214.8</v>
      </c>
      <c r="L20" s="639"/>
      <c r="M20" s="639"/>
      <c r="N20" s="639"/>
      <c r="O20" s="639"/>
      <c r="P20" s="639" t="s">
        <v>443</v>
      </c>
      <c r="Q20" s="639" t="s">
        <v>443</v>
      </c>
      <c r="R20" s="638" t="s">
        <v>443</v>
      </c>
      <c r="S20" s="503">
        <f>SUM(F20:R20)+D20</f>
        <v>1174.4000000000001</v>
      </c>
    </row>
    <row r="21" spans="1:23">
      <c r="B21" s="469" t="s">
        <v>458</v>
      </c>
      <c r="C21" s="639" t="s">
        <v>443</v>
      </c>
      <c r="D21" s="639"/>
      <c r="E21" s="639" t="s">
        <v>443</v>
      </c>
      <c r="F21" s="639" t="s">
        <v>443</v>
      </c>
      <c r="G21" s="639" t="s">
        <v>443</v>
      </c>
      <c r="H21" s="639" t="s">
        <v>443</v>
      </c>
      <c r="I21" s="639" t="s">
        <v>443</v>
      </c>
      <c r="J21" s="639" t="s">
        <v>443</v>
      </c>
      <c r="K21" s="639" t="s">
        <v>443</v>
      </c>
      <c r="L21" s="639"/>
      <c r="M21" s="639"/>
      <c r="N21" s="639"/>
      <c r="O21" s="639"/>
      <c r="P21" s="639" t="s">
        <v>443</v>
      </c>
      <c r="Q21" s="639" t="s">
        <v>443</v>
      </c>
      <c r="R21" s="638" t="s">
        <v>443</v>
      </c>
      <c r="S21" s="503">
        <f>SUM(F21:R21)+D21</f>
        <v>0</v>
      </c>
    </row>
    <row r="22" spans="1:23" ht="15">
      <c r="A22" s="501" t="e">
        <f>(C22-C25-Q25)/#REF!</f>
        <v>#REF!</v>
      </c>
      <c r="B22" s="474" t="s">
        <v>459</v>
      </c>
      <c r="C22" s="639">
        <v>-10927.8</v>
      </c>
      <c r="D22" s="639"/>
      <c r="E22" s="639">
        <v>256013.7</v>
      </c>
      <c r="F22" s="639">
        <v>9390.1</v>
      </c>
      <c r="G22" s="639">
        <v>50169</v>
      </c>
      <c r="H22" s="639">
        <v>95681.7</v>
      </c>
      <c r="I22" s="639">
        <v>5373.7</v>
      </c>
      <c r="J22" s="639">
        <v>45693.3</v>
      </c>
      <c r="K22" s="639" t="s">
        <v>443</v>
      </c>
      <c r="L22" s="639"/>
      <c r="M22" s="639"/>
      <c r="N22" s="639"/>
      <c r="O22" s="639"/>
      <c r="P22" s="639" t="s">
        <v>443</v>
      </c>
      <c r="Q22" s="639" t="s">
        <v>443</v>
      </c>
      <c r="R22" s="638" t="s">
        <v>443</v>
      </c>
      <c r="S22" s="503">
        <f>SUM(F22:R22)+D22</f>
        <v>206307.8</v>
      </c>
      <c r="T22" s="485">
        <v>29</v>
      </c>
      <c r="U22" s="485">
        <f>T22/$T$26</f>
        <v>5.8467741935483868E-2</v>
      </c>
    </row>
    <row r="23" spans="1:23" ht="15">
      <c r="B23" s="474" t="s">
        <v>460</v>
      </c>
      <c r="C23" s="639" t="s">
        <v>443</v>
      </c>
      <c r="D23" s="639"/>
      <c r="E23" s="639" t="s">
        <v>443</v>
      </c>
      <c r="F23" s="639" t="s">
        <v>443</v>
      </c>
      <c r="G23" s="639" t="s">
        <v>443</v>
      </c>
      <c r="H23" s="639" t="s">
        <v>443</v>
      </c>
      <c r="I23" s="639" t="s">
        <v>443</v>
      </c>
      <c r="J23" s="639" t="s">
        <v>443</v>
      </c>
      <c r="K23" s="639" t="s">
        <v>443</v>
      </c>
      <c r="L23" s="639"/>
      <c r="M23" s="639"/>
      <c r="N23" s="639"/>
      <c r="O23" s="639"/>
      <c r="P23" s="639" t="s">
        <v>443</v>
      </c>
      <c r="Q23" s="639" t="s">
        <v>443</v>
      </c>
      <c r="R23" s="638" t="s">
        <v>443</v>
      </c>
      <c r="S23" s="503">
        <f>SUM(F23:R23)+D23</f>
        <v>0</v>
      </c>
      <c r="T23" s="485">
        <v>54</v>
      </c>
      <c r="U23" s="485">
        <f>T23/$T$26</f>
        <v>0.10887096774193548</v>
      </c>
    </row>
    <row r="24" spans="1:23">
      <c r="B24" s="469" t="s">
        <v>461</v>
      </c>
      <c r="C24" s="639">
        <v>-2.0999999999999996</v>
      </c>
      <c r="D24" s="639"/>
      <c r="E24" s="639" t="s">
        <v>443</v>
      </c>
      <c r="F24" s="639" t="s">
        <v>443</v>
      </c>
      <c r="G24" s="639" t="s">
        <v>443</v>
      </c>
      <c r="H24" s="639" t="s">
        <v>443</v>
      </c>
      <c r="I24" s="639" t="s">
        <v>443</v>
      </c>
      <c r="J24" s="639" t="s">
        <v>443</v>
      </c>
      <c r="K24" s="639" t="s">
        <v>443</v>
      </c>
      <c r="L24" s="639"/>
      <c r="M24" s="639"/>
      <c r="N24" s="639"/>
      <c r="O24" s="639"/>
      <c r="P24" s="639" t="s">
        <v>443</v>
      </c>
      <c r="Q24" s="639" t="s">
        <v>443</v>
      </c>
      <c r="R24" s="638" t="s">
        <v>443</v>
      </c>
      <c r="S24" s="503">
        <f>SUM(F24:R24)+D24</f>
        <v>0</v>
      </c>
      <c r="T24" s="485">
        <v>98</v>
      </c>
      <c r="U24" s="485">
        <f>T24/$T$26</f>
        <v>0.19758064516129031</v>
      </c>
    </row>
    <row r="25" spans="1:23" ht="15">
      <c r="B25" s="475" t="s">
        <v>462</v>
      </c>
      <c r="C25" s="642">
        <v>47230.5</v>
      </c>
      <c r="D25" s="642"/>
      <c r="E25" s="642">
        <v>13615.7</v>
      </c>
      <c r="F25" s="639" t="s">
        <v>443</v>
      </c>
      <c r="G25" s="639" t="s">
        <v>443</v>
      </c>
      <c r="H25" s="639" t="s">
        <v>443</v>
      </c>
      <c r="I25" s="639" t="s">
        <v>443</v>
      </c>
      <c r="J25" s="639">
        <v>5647.7</v>
      </c>
      <c r="K25" s="642">
        <v>19479.2</v>
      </c>
      <c r="L25" s="642"/>
      <c r="M25" s="642"/>
      <c r="N25" s="642"/>
      <c r="O25" s="642"/>
      <c r="P25" s="642">
        <v>9.6</v>
      </c>
      <c r="Q25" s="642">
        <v>13673.5</v>
      </c>
      <c r="R25" s="638" t="s">
        <v>443</v>
      </c>
      <c r="S25" s="503">
        <f>SUM(F25:R25)+D25</f>
        <v>38810</v>
      </c>
      <c r="T25" s="485">
        <v>315</v>
      </c>
      <c r="U25" s="485">
        <f>T25/$T$26</f>
        <v>0.63508064516129037</v>
      </c>
    </row>
    <row r="26" spans="1:23" ht="15">
      <c r="B26" s="475" t="s">
        <v>463</v>
      </c>
      <c r="C26" s="642">
        <v>38719.5</v>
      </c>
      <c r="D26" s="642"/>
      <c r="E26" s="639" t="s">
        <v>443</v>
      </c>
      <c r="F26" s="639" t="s">
        <v>443</v>
      </c>
      <c r="G26" s="639" t="s">
        <v>443</v>
      </c>
      <c r="H26" s="639" t="s">
        <v>443</v>
      </c>
      <c r="I26" s="639" t="s">
        <v>443</v>
      </c>
      <c r="J26" s="639" t="s">
        <v>443</v>
      </c>
      <c r="K26" s="642">
        <v>28154.5</v>
      </c>
      <c r="L26" s="642"/>
      <c r="M26" s="642"/>
      <c r="N26" s="642"/>
      <c r="O26" s="642"/>
      <c r="P26" s="642">
        <v>798.9</v>
      </c>
      <c r="Q26" s="642">
        <v>8012.2</v>
      </c>
      <c r="R26" s="638" t="s">
        <v>443</v>
      </c>
      <c r="S26" s="503">
        <f>SUM(F26:R26)+D26</f>
        <v>36965.599999999999</v>
      </c>
      <c r="T26" s="485">
        <f>SUM(T22:T25)</f>
        <v>496</v>
      </c>
      <c r="U26" s="498"/>
    </row>
    <row r="27" spans="1:23" ht="15">
      <c r="B27" s="475" t="s">
        <v>464</v>
      </c>
      <c r="C27" s="642">
        <v>472588.5</v>
      </c>
      <c r="D27" s="642"/>
      <c r="E27" s="642">
        <v>189886.30000000002</v>
      </c>
      <c r="F27" s="639">
        <v>7976.7</v>
      </c>
      <c r="G27" s="639">
        <v>58251.199999999997</v>
      </c>
      <c r="H27" s="639">
        <v>60929.8</v>
      </c>
      <c r="I27" s="639">
        <v>3275.2</v>
      </c>
      <c r="J27" s="639">
        <v>34037.1</v>
      </c>
      <c r="K27" s="642">
        <v>200323.1</v>
      </c>
      <c r="L27" s="642"/>
      <c r="M27" s="642"/>
      <c r="N27" s="642"/>
      <c r="O27" s="642"/>
      <c r="P27" s="642">
        <v>13207.5</v>
      </c>
      <c r="Q27" s="642">
        <v>67198.3</v>
      </c>
      <c r="R27" s="641">
        <v>189</v>
      </c>
      <c r="S27" s="503">
        <f>SUM(F27:R27)+D27</f>
        <v>445387.89999999997</v>
      </c>
    </row>
    <row r="28" spans="1:23" ht="15">
      <c r="B28" s="475" t="s">
        <v>465</v>
      </c>
      <c r="C28" s="642">
        <v>417127.69999999995</v>
      </c>
      <c r="D28" s="642"/>
      <c r="E28" s="642">
        <v>135808.9</v>
      </c>
      <c r="F28" s="639">
        <v>1033.7</v>
      </c>
      <c r="G28" s="639">
        <v>58251.199999999997</v>
      </c>
      <c r="H28" s="639">
        <v>60784.800000000003</v>
      </c>
      <c r="I28" s="639">
        <v>2655</v>
      </c>
      <c r="J28" s="639">
        <v>97.6</v>
      </c>
      <c r="K28" s="642">
        <v>199092.7</v>
      </c>
      <c r="L28" s="629"/>
      <c r="M28" s="629"/>
      <c r="N28" s="629"/>
      <c r="O28" s="629"/>
      <c r="P28" s="628"/>
      <c r="Q28" s="642">
        <v>67198.3</v>
      </c>
      <c r="R28" s="641">
        <v>36</v>
      </c>
      <c r="S28" s="503">
        <f>SUM(F28:R28)+D28</f>
        <v>389149.3</v>
      </c>
    </row>
    <row r="29" spans="1:23">
      <c r="B29" s="476" t="s">
        <v>466</v>
      </c>
      <c r="C29" s="631">
        <v>2329926.804</v>
      </c>
      <c r="D29" s="632">
        <v>128697.84699999999</v>
      </c>
      <c r="E29" s="631">
        <v>137636.19099999999</v>
      </c>
      <c r="F29" s="630">
        <v>2799.81</v>
      </c>
      <c r="G29" s="631">
        <v>3086.5129999999999</v>
      </c>
      <c r="H29" s="631">
        <v>79286.168999999994</v>
      </c>
      <c r="I29" s="631">
        <v>25940.548999999999</v>
      </c>
      <c r="J29" s="640">
        <f>E29-SUM(F29:I29)-W29</f>
        <v>12011.201999999994</v>
      </c>
      <c r="K29" s="644">
        <v>829920.46100000001</v>
      </c>
      <c r="L29" s="629">
        <v>3327</v>
      </c>
      <c r="M29" s="631">
        <v>2745.6530000000002</v>
      </c>
      <c r="N29" s="631">
        <v>85623</v>
      </c>
      <c r="O29" s="631">
        <v>76057</v>
      </c>
      <c r="P29" s="630">
        <v>179213</v>
      </c>
      <c r="Q29" s="630">
        <v>803761.2</v>
      </c>
      <c r="R29" s="629">
        <v>96992.4</v>
      </c>
      <c r="S29" s="503">
        <f>SUM(F29:R29)+D29</f>
        <v>2329461.804</v>
      </c>
      <c r="T29" s="498">
        <f>S29-C29</f>
        <v>-465</v>
      </c>
      <c r="U29" s="498"/>
      <c r="W29" s="485">
        <v>14511.948</v>
      </c>
    </row>
    <row r="30" spans="1:23" ht="15">
      <c r="B30" s="477" t="s">
        <v>467</v>
      </c>
      <c r="C30" s="632">
        <v>298073.03499999997</v>
      </c>
      <c r="D30" s="631">
        <v>28433.278999999999</v>
      </c>
      <c r="E30" s="632">
        <v>600.34400000000005</v>
      </c>
      <c r="F30" s="632">
        <v>43.073999999999998</v>
      </c>
      <c r="G30" s="629">
        <v>0</v>
      </c>
      <c r="H30" s="629">
        <v>429.27</v>
      </c>
      <c r="I30" s="629">
        <v>0</v>
      </c>
      <c r="J30" s="640">
        <f>E30-SUM(F30:I30)-W30</f>
        <v>128.00000000000006</v>
      </c>
      <c r="K30" s="644">
        <v>86104.111999999994</v>
      </c>
      <c r="L30" s="630">
        <v>0</v>
      </c>
      <c r="M30" s="632">
        <v>0</v>
      </c>
      <c r="N30" s="632">
        <v>4</v>
      </c>
      <c r="O30" s="632">
        <v>0</v>
      </c>
      <c r="P30" s="629">
        <v>1410</v>
      </c>
      <c r="Q30" s="629">
        <v>87739.199999999997</v>
      </c>
      <c r="R30" s="630">
        <v>93782.1</v>
      </c>
      <c r="S30" s="503">
        <f>SUM(F30:R30)+D30</f>
        <v>298073.03499999997</v>
      </c>
      <c r="T30" s="498">
        <f>S30-C30</f>
        <v>0</v>
      </c>
      <c r="U30" s="498"/>
      <c r="W30" s="485">
        <v>0</v>
      </c>
    </row>
    <row r="31" spans="1:23" ht="15">
      <c r="B31" s="477" t="s">
        <v>468</v>
      </c>
      <c r="C31" s="631">
        <v>567567.06900000002</v>
      </c>
      <c r="D31" s="632">
        <v>14652.936</v>
      </c>
      <c r="E31" s="631">
        <v>35945.790999999997</v>
      </c>
      <c r="F31" s="630">
        <v>0</v>
      </c>
      <c r="G31" s="630">
        <v>0</v>
      </c>
      <c r="H31" s="631">
        <v>1588.299</v>
      </c>
      <c r="I31" s="631">
        <v>21139.732</v>
      </c>
      <c r="J31" s="640">
        <f>E31-SUM(F31:I31)-W31</f>
        <v>479.99999999999818</v>
      </c>
      <c r="K31" s="644">
        <v>222522.37600000002</v>
      </c>
      <c r="L31" s="629">
        <v>682</v>
      </c>
      <c r="M31" s="631">
        <v>26.925999999999998</v>
      </c>
      <c r="N31" s="631">
        <v>1113</v>
      </c>
      <c r="O31" s="631">
        <v>8748</v>
      </c>
      <c r="P31" s="630">
        <v>105172</v>
      </c>
      <c r="Q31" s="630">
        <v>189748.8</v>
      </c>
      <c r="R31" s="629">
        <v>1692</v>
      </c>
      <c r="S31" s="503">
        <f>SUM(F31:R31)+D31</f>
        <v>567566.0689999999</v>
      </c>
      <c r="T31" s="498">
        <f>S31-C31</f>
        <v>-1.0000000001164153</v>
      </c>
      <c r="U31" s="498"/>
      <c r="W31" s="485">
        <v>12737.76</v>
      </c>
    </row>
    <row r="32" spans="1:23" ht="15">
      <c r="B32" s="477" t="s">
        <v>469</v>
      </c>
      <c r="C32" s="632">
        <v>94496.457999999999</v>
      </c>
      <c r="D32" s="631">
        <v>1097.598</v>
      </c>
      <c r="E32" s="632">
        <v>1601.681</v>
      </c>
      <c r="F32" s="632">
        <v>86.147999999999996</v>
      </c>
      <c r="G32" s="629">
        <v>0</v>
      </c>
      <c r="H32" s="632">
        <v>472.197</v>
      </c>
      <c r="I32" s="632">
        <v>685.83100000000002</v>
      </c>
      <c r="J32" s="640">
        <f>E32-SUM(F32:I32)-W32</f>
        <v>357.50500000000011</v>
      </c>
      <c r="K32" s="644">
        <v>35464.18</v>
      </c>
      <c r="L32" s="630">
        <v>10</v>
      </c>
      <c r="M32" s="629">
        <v>0</v>
      </c>
      <c r="N32" s="629">
        <v>0</v>
      </c>
      <c r="O32" s="629">
        <v>238</v>
      </c>
      <c r="P32" s="629">
        <v>1131</v>
      </c>
      <c r="Q32" s="629">
        <v>54954</v>
      </c>
      <c r="R32" s="630">
        <v>0</v>
      </c>
      <c r="S32" s="503">
        <f>SUM(F32:R32)+D32</f>
        <v>94496.459000000003</v>
      </c>
      <c r="T32" s="498">
        <f>S32-C32</f>
        <v>1.0000000038417056E-3</v>
      </c>
      <c r="U32" s="498"/>
      <c r="W32" s="485">
        <v>0</v>
      </c>
    </row>
    <row r="33" spans="2:23" ht="15">
      <c r="B33" s="477" t="s">
        <v>470</v>
      </c>
      <c r="C33" s="631">
        <v>281834.08299999998</v>
      </c>
      <c r="D33" s="632">
        <v>53875.453000000001</v>
      </c>
      <c r="E33" s="631">
        <v>16428.066999999999</v>
      </c>
      <c r="F33" s="631">
        <v>516.88800000000003</v>
      </c>
      <c r="G33" s="630">
        <v>0</v>
      </c>
      <c r="H33" s="631">
        <v>3176.598</v>
      </c>
      <c r="I33" s="631">
        <v>2339.8939999999998</v>
      </c>
      <c r="J33" s="640">
        <f>E33-SUM(F33:I33)-W33</f>
        <v>10394.687</v>
      </c>
      <c r="K33" s="644">
        <v>105073.03</v>
      </c>
      <c r="L33" s="629">
        <v>12</v>
      </c>
      <c r="M33" s="630">
        <v>242.334</v>
      </c>
      <c r="N33" s="630">
        <v>6651</v>
      </c>
      <c r="O33" s="630">
        <v>53692</v>
      </c>
      <c r="P33" s="630">
        <v>889</v>
      </c>
      <c r="Q33" s="630">
        <v>44971.199999999997</v>
      </c>
      <c r="R33" s="629">
        <v>0</v>
      </c>
      <c r="S33" s="503">
        <f>SUM(F33:R33)+D33</f>
        <v>281834.08399999997</v>
      </c>
      <c r="T33" s="498">
        <f>S33-C33</f>
        <v>9.9999998928979039E-4</v>
      </c>
      <c r="U33" s="498"/>
      <c r="W33" s="485">
        <v>0</v>
      </c>
    </row>
    <row r="34" spans="2:23" ht="15">
      <c r="B34" s="477" t="s">
        <v>471</v>
      </c>
      <c r="C34" s="632">
        <v>120246.702</v>
      </c>
      <c r="D34" s="630">
        <v>7161.88</v>
      </c>
      <c r="E34" s="632">
        <v>1628.5350000000001</v>
      </c>
      <c r="F34" s="629">
        <v>215.37</v>
      </c>
      <c r="G34" s="629">
        <v>0</v>
      </c>
      <c r="H34" s="632">
        <v>1373.664</v>
      </c>
      <c r="I34" s="629">
        <v>0</v>
      </c>
      <c r="J34" s="640">
        <f>E34-SUM(F34:I34)-W34</f>
        <v>39.500999999999976</v>
      </c>
      <c r="K34" s="644">
        <v>36605.161</v>
      </c>
      <c r="L34" s="630">
        <v>119</v>
      </c>
      <c r="M34" s="632">
        <v>26.925999999999998</v>
      </c>
      <c r="N34" s="632">
        <v>318</v>
      </c>
      <c r="O34" s="632">
        <v>0</v>
      </c>
      <c r="P34" s="629">
        <v>12126</v>
      </c>
      <c r="Q34" s="629">
        <v>61120.800000000003</v>
      </c>
      <c r="R34" s="630">
        <v>1139.4000000000001</v>
      </c>
      <c r="S34" s="503">
        <f>SUM(F34:R34)+D34</f>
        <v>120245.702</v>
      </c>
      <c r="T34" s="498">
        <f>S34-C34</f>
        <v>-1</v>
      </c>
      <c r="U34" s="498"/>
      <c r="W34" s="485">
        <v>0</v>
      </c>
    </row>
    <row r="35" spans="2:23" ht="15">
      <c r="B35" s="477" t="s">
        <v>342</v>
      </c>
      <c r="C35" s="631">
        <v>214289.12599999999</v>
      </c>
      <c r="D35" s="632">
        <v>574.64200000000005</v>
      </c>
      <c r="E35" s="631">
        <v>8575.7720000000008</v>
      </c>
      <c r="F35" s="631">
        <v>947.62800000000004</v>
      </c>
      <c r="G35" s="630">
        <v>0</v>
      </c>
      <c r="H35" s="631">
        <v>7469.2979999999998</v>
      </c>
      <c r="I35" s="631">
        <v>40.343000000000004</v>
      </c>
      <c r="J35" s="640">
        <f>E35-SUM(F35:I35)-W35</f>
        <v>118.50300000000061</v>
      </c>
      <c r="K35" s="644">
        <v>73810.733999999997</v>
      </c>
      <c r="L35" s="629">
        <v>103</v>
      </c>
      <c r="M35" s="631">
        <v>80.778000000000006</v>
      </c>
      <c r="N35" s="631">
        <v>1258</v>
      </c>
      <c r="O35" s="631">
        <v>781</v>
      </c>
      <c r="P35" s="630">
        <v>10178</v>
      </c>
      <c r="Q35" s="630">
        <v>118558.8</v>
      </c>
      <c r="R35" s="629">
        <v>365.4</v>
      </c>
      <c r="S35" s="503">
        <f>SUM(F35:R35)+D35</f>
        <v>214286.12599999999</v>
      </c>
      <c r="T35" s="498">
        <f>S35-C35</f>
        <v>-3</v>
      </c>
      <c r="U35" s="498"/>
      <c r="W35" s="485">
        <v>0</v>
      </c>
    </row>
    <row r="36" spans="2:23">
      <c r="B36" s="478" t="s">
        <v>472</v>
      </c>
      <c r="C36" s="632">
        <v>14600.868</v>
      </c>
      <c r="D36" s="630">
        <v>2624.08</v>
      </c>
      <c r="E36" s="632">
        <v>1194.825</v>
      </c>
      <c r="F36" s="632">
        <v>129.22200000000001</v>
      </c>
      <c r="G36" s="629">
        <v>0</v>
      </c>
      <c r="H36" s="632">
        <v>729.75900000000001</v>
      </c>
      <c r="I36" s="632">
        <v>40.343000000000004</v>
      </c>
      <c r="J36" s="640">
        <f>E36-SUM(F36:I36)-W36</f>
        <v>295.50100000000009</v>
      </c>
      <c r="K36" s="644">
        <v>3917.636</v>
      </c>
      <c r="L36" s="630">
        <v>73</v>
      </c>
      <c r="M36" s="632">
        <v>26.925999999999998</v>
      </c>
      <c r="N36" s="632">
        <v>130</v>
      </c>
      <c r="O36" s="632">
        <v>0</v>
      </c>
      <c r="P36" s="629">
        <v>194</v>
      </c>
      <c r="Q36" s="629">
        <v>6440.4</v>
      </c>
      <c r="R36" s="630">
        <v>0</v>
      </c>
      <c r="S36" s="503">
        <f>SUM(F36:R36)+D36</f>
        <v>14600.867</v>
      </c>
      <c r="T36" s="498">
        <f>S36-C36</f>
        <v>-1.0000000002037268E-3</v>
      </c>
      <c r="U36" s="498"/>
      <c r="W36" s="485">
        <v>0</v>
      </c>
    </row>
    <row r="37" spans="2:23">
      <c r="B37" s="478" t="s">
        <v>473</v>
      </c>
      <c r="C37" s="631">
        <v>213476.288</v>
      </c>
      <c r="D37" s="632">
        <v>7846.0739999999996</v>
      </c>
      <c r="E37" s="631">
        <v>6834.6090000000004</v>
      </c>
      <c r="F37" s="631">
        <v>258.44400000000002</v>
      </c>
      <c r="G37" s="630">
        <v>0</v>
      </c>
      <c r="H37" s="631">
        <v>5365.875</v>
      </c>
      <c r="I37" s="630">
        <v>1210.29</v>
      </c>
      <c r="J37" s="640">
        <f>E37-SUM(F37:I37)-W37</f>
        <v>0</v>
      </c>
      <c r="K37" s="644">
        <v>116593.553</v>
      </c>
      <c r="L37" s="629">
        <v>844</v>
      </c>
      <c r="M37" s="631">
        <v>53.851999999999997</v>
      </c>
      <c r="N37" s="631">
        <v>2111</v>
      </c>
      <c r="O37" s="631">
        <v>0</v>
      </c>
      <c r="P37" s="630">
        <v>11956</v>
      </c>
      <c r="Q37" s="630">
        <v>67237.2</v>
      </c>
      <c r="R37" s="629">
        <v>0</v>
      </c>
      <c r="S37" s="503">
        <f>SUM(F37:R37)+D37</f>
        <v>213476.28799999997</v>
      </c>
      <c r="T37" s="498">
        <f>S37-C37</f>
        <v>0</v>
      </c>
      <c r="U37" s="498"/>
      <c r="W37" s="485">
        <v>0</v>
      </c>
    </row>
    <row r="38" spans="2:23">
      <c r="B38" s="478" t="s">
        <v>474</v>
      </c>
      <c r="C38" s="632">
        <v>223933.81700000001</v>
      </c>
      <c r="D38" s="630">
        <v>10776.85</v>
      </c>
      <c r="E38" s="632">
        <v>1645.181</v>
      </c>
      <c r="F38" s="632">
        <v>86.147999999999996</v>
      </c>
      <c r="G38" s="629">
        <v>0</v>
      </c>
      <c r="H38" s="632">
        <v>1116.1020000000001</v>
      </c>
      <c r="I38" s="629">
        <v>403.43</v>
      </c>
      <c r="J38" s="640">
        <f>E38-SUM(F38:I38)-W38</f>
        <v>39.500999999999976</v>
      </c>
      <c r="K38" s="644">
        <v>78489.357000000004</v>
      </c>
      <c r="L38" s="630">
        <v>1340</v>
      </c>
      <c r="M38" s="632">
        <v>134.63</v>
      </c>
      <c r="N38" s="632">
        <v>21064</v>
      </c>
      <c r="O38" s="632">
        <v>12446</v>
      </c>
      <c r="P38" s="629">
        <v>26801</v>
      </c>
      <c r="Q38" s="629">
        <v>71236.800000000003</v>
      </c>
      <c r="R38" s="630">
        <v>0</v>
      </c>
      <c r="S38" s="503">
        <f>SUM(F38:R38)+D38</f>
        <v>223933.818</v>
      </c>
      <c r="T38" s="498">
        <f>S38-C38</f>
        <v>9.9999998928979039E-4</v>
      </c>
      <c r="U38" s="498"/>
      <c r="W38" s="485">
        <v>0</v>
      </c>
    </row>
    <row r="39" spans="2:23" ht="15">
      <c r="B39" s="477" t="s">
        <v>475</v>
      </c>
      <c r="C39" s="631">
        <v>72305.264999999999</v>
      </c>
      <c r="D39" s="629">
        <v>0</v>
      </c>
      <c r="E39" s="631">
        <v>641.46799999999996</v>
      </c>
      <c r="F39" s="631">
        <v>43.073999999999998</v>
      </c>
      <c r="G39" s="630">
        <v>0</v>
      </c>
      <c r="H39" s="631">
        <v>558.05100000000004</v>
      </c>
      <c r="I39" s="631">
        <v>40.343000000000004</v>
      </c>
      <c r="J39" s="640">
        <f>E39-SUM(F39:I39)-W39</f>
        <v>0</v>
      </c>
      <c r="K39" s="644">
        <v>4556.9449999999997</v>
      </c>
      <c r="L39" s="629">
        <v>5</v>
      </c>
      <c r="M39" s="631">
        <v>53.851999999999997</v>
      </c>
      <c r="N39" s="631">
        <v>48238</v>
      </c>
      <c r="O39" s="631">
        <v>149</v>
      </c>
      <c r="P39" s="630">
        <v>2227</v>
      </c>
      <c r="Q39" s="630">
        <v>16434</v>
      </c>
      <c r="R39" s="629">
        <v>0</v>
      </c>
      <c r="S39" s="503">
        <f>SUM(F39:R39)+D39</f>
        <v>72305.264999999999</v>
      </c>
      <c r="T39" s="498">
        <f>S39-C39</f>
        <v>0</v>
      </c>
      <c r="U39" s="498"/>
      <c r="W39" s="485">
        <v>0</v>
      </c>
    </row>
    <row r="40" spans="2:23">
      <c r="B40" s="478" t="s">
        <v>476</v>
      </c>
      <c r="C40" s="631">
        <v>17319.823</v>
      </c>
      <c r="D40" s="632">
        <v>180.55199999999999</v>
      </c>
      <c r="E40" s="631">
        <v>601.125</v>
      </c>
      <c r="F40" s="631">
        <v>43.073999999999998</v>
      </c>
      <c r="G40" s="630">
        <v>0</v>
      </c>
      <c r="H40" s="631">
        <v>558.05100000000004</v>
      </c>
      <c r="I40" s="630">
        <v>0</v>
      </c>
      <c r="J40" s="640">
        <f>E40-SUM(F40:I40)-W40</f>
        <v>0</v>
      </c>
      <c r="K40" s="644">
        <v>8865.5460000000003</v>
      </c>
      <c r="L40" s="629">
        <v>3</v>
      </c>
      <c r="M40" s="631">
        <v>0</v>
      </c>
      <c r="N40" s="631">
        <v>120</v>
      </c>
      <c r="O40" s="631">
        <v>0</v>
      </c>
      <c r="P40" s="630">
        <v>544</v>
      </c>
      <c r="Q40" s="630">
        <v>7005.6</v>
      </c>
      <c r="R40" s="630">
        <v>0</v>
      </c>
      <c r="S40" s="503">
        <f>SUM(F40:R40)+D40</f>
        <v>17319.823</v>
      </c>
      <c r="T40" s="498">
        <f>S40-C40</f>
        <v>0</v>
      </c>
      <c r="U40" s="498"/>
      <c r="W40" s="485">
        <v>0</v>
      </c>
    </row>
    <row r="41" spans="2:23">
      <c r="B41" s="478" t="s">
        <v>253</v>
      </c>
      <c r="C41" s="632">
        <v>102209.42200000001</v>
      </c>
      <c r="D41" s="630">
        <v>0</v>
      </c>
      <c r="E41" s="632">
        <v>56315.993000000002</v>
      </c>
      <c r="F41" s="629">
        <v>0</v>
      </c>
      <c r="G41" s="632">
        <v>3086.5129999999999</v>
      </c>
      <c r="H41" s="629">
        <v>53229.48</v>
      </c>
      <c r="I41" s="629">
        <v>0</v>
      </c>
      <c r="J41" s="640">
        <f>E41-SUM(F41:I41)-W41</f>
        <v>0</v>
      </c>
      <c r="K41" s="644">
        <v>26449.200000000001</v>
      </c>
      <c r="L41" s="630">
        <v>0</v>
      </c>
      <c r="M41" s="629">
        <v>2099.4290000000001</v>
      </c>
      <c r="N41" s="629">
        <v>0</v>
      </c>
      <c r="O41" s="629">
        <v>0</v>
      </c>
      <c r="P41" s="629">
        <v>0</v>
      </c>
      <c r="Q41" s="629">
        <v>17344.8</v>
      </c>
      <c r="R41" s="629">
        <v>0</v>
      </c>
      <c r="S41" s="503">
        <f>SUM(F41:R41)+D41</f>
        <v>102209.42200000001</v>
      </c>
      <c r="T41" s="498">
        <f>S41-C41</f>
        <v>0</v>
      </c>
      <c r="U41" s="498"/>
      <c r="W41" s="485">
        <v>0</v>
      </c>
    </row>
    <row r="42" spans="2:23" ht="15">
      <c r="B42" s="477" t="s">
        <v>477</v>
      </c>
      <c r="C42" s="632">
        <v>109114.848</v>
      </c>
      <c r="D42" s="631">
        <v>1474.5050000000001</v>
      </c>
      <c r="E42" s="629">
        <v>5622.8</v>
      </c>
      <c r="F42" s="629">
        <v>430.74</v>
      </c>
      <c r="G42" s="629">
        <v>0</v>
      </c>
      <c r="H42" s="632">
        <v>3219.5250000000001</v>
      </c>
      <c r="I42" s="632">
        <v>40.343000000000004</v>
      </c>
      <c r="J42" s="640">
        <f>E42-SUM(F42:I42)-W42</f>
        <v>158.00399999999991</v>
      </c>
      <c r="K42" s="644">
        <v>31468.631999999998</v>
      </c>
      <c r="L42" s="630">
        <v>136</v>
      </c>
      <c r="M42" s="632">
        <v>0</v>
      </c>
      <c r="N42" s="632">
        <v>4616</v>
      </c>
      <c r="O42" s="632">
        <v>3</v>
      </c>
      <c r="P42" s="629">
        <v>6585</v>
      </c>
      <c r="Q42" s="629">
        <v>60969.599999999999</v>
      </c>
      <c r="R42" s="630">
        <v>13.5</v>
      </c>
      <c r="S42" s="503">
        <f>SUM(F42:R42)+D42</f>
        <v>109114.849</v>
      </c>
      <c r="T42" s="498">
        <f>S42-C42</f>
        <v>1.0000000038417056E-3</v>
      </c>
      <c r="U42" s="498"/>
      <c r="W42" s="485">
        <v>1774.1880000000001</v>
      </c>
    </row>
    <row r="43" spans="2:23" ht="15">
      <c r="B43" s="479" t="s">
        <v>478</v>
      </c>
      <c r="C43" s="698">
        <v>116855.90000000001</v>
      </c>
      <c r="D43" s="698"/>
      <c r="E43" s="698">
        <v>115375.30000000002</v>
      </c>
      <c r="F43" s="699">
        <v>848.9</v>
      </c>
      <c r="G43" s="699">
        <v>58030.9</v>
      </c>
      <c r="H43" s="699">
        <v>43513.4</v>
      </c>
      <c r="I43" s="699">
        <v>17</v>
      </c>
      <c r="J43" s="699" t="s">
        <v>443</v>
      </c>
      <c r="K43" s="644" t="e">
        <f>#REF!+J43</f>
        <v>#REF!</v>
      </c>
      <c r="L43" s="698"/>
      <c r="M43" s="698">
        <v>0</v>
      </c>
      <c r="N43" s="698"/>
      <c r="O43" s="698"/>
      <c r="P43" s="699" t="s">
        <v>443</v>
      </c>
      <c r="Q43" s="698">
        <v>1427.4</v>
      </c>
      <c r="R43" s="641">
        <v>27.7</v>
      </c>
      <c r="S43" s="503" t="e">
        <f>SUM(F43:R43)+D43</f>
        <v>#REF!</v>
      </c>
      <c r="U43" s="498"/>
    </row>
    <row r="44" spans="2:23">
      <c r="B44" s="478" t="s">
        <v>479</v>
      </c>
      <c r="C44" s="699">
        <v>100725.3</v>
      </c>
      <c r="D44" s="699"/>
      <c r="E44" s="699">
        <v>100725.3</v>
      </c>
      <c r="F44" s="699">
        <v>848.9</v>
      </c>
      <c r="G44" s="699">
        <v>58030.9</v>
      </c>
      <c r="H44" s="699">
        <v>41845.5</v>
      </c>
      <c r="I44" s="699" t="s">
        <v>443</v>
      </c>
      <c r="J44" s="699" t="s">
        <v>443</v>
      </c>
      <c r="K44" s="644" t="e">
        <f>#REF!+J44</f>
        <v>#REF!</v>
      </c>
      <c r="L44" s="699"/>
      <c r="M44" s="699">
        <v>0</v>
      </c>
      <c r="N44" s="699"/>
      <c r="O44" s="699"/>
      <c r="P44" s="699" t="s">
        <v>443</v>
      </c>
      <c r="Q44" s="699" t="s">
        <v>443</v>
      </c>
      <c r="R44" s="638" t="s">
        <v>443</v>
      </c>
      <c r="S44" s="503" t="e">
        <f>SUM(F44:R44)+D44</f>
        <v>#REF!</v>
      </c>
      <c r="U44" s="498"/>
    </row>
    <row r="45" spans="2:23" ht="15">
      <c r="B45" s="477" t="s">
        <v>480</v>
      </c>
      <c r="C45" s="699">
        <v>1543</v>
      </c>
      <c r="D45" s="699"/>
      <c r="E45" s="699">
        <v>349.7</v>
      </c>
      <c r="F45" s="699" t="s">
        <v>443</v>
      </c>
      <c r="G45" s="699" t="s">
        <v>443</v>
      </c>
      <c r="H45" s="699">
        <v>345.5</v>
      </c>
      <c r="I45" s="699">
        <v>4.2</v>
      </c>
      <c r="J45" s="699" t="s">
        <v>443</v>
      </c>
      <c r="K45" s="644" t="e">
        <f>#REF!+J45</f>
        <v>#REF!</v>
      </c>
      <c r="L45" s="699"/>
      <c r="M45" s="699">
        <v>0</v>
      </c>
      <c r="N45" s="699"/>
      <c r="O45" s="699"/>
      <c r="P45" s="699" t="s">
        <v>443</v>
      </c>
      <c r="Q45" s="699">
        <v>1163.5</v>
      </c>
      <c r="R45" s="638">
        <v>27.7</v>
      </c>
      <c r="S45" s="503" t="e">
        <f>SUM(F45:R45)+D45</f>
        <v>#REF!</v>
      </c>
      <c r="U45" s="498"/>
    </row>
    <row r="46" spans="2:23">
      <c r="B46" s="478" t="s">
        <v>481</v>
      </c>
      <c r="C46" s="699">
        <v>12977.999999999998</v>
      </c>
      <c r="D46" s="699"/>
      <c r="E46" s="699">
        <v>12977.999999999998</v>
      </c>
      <c r="F46" s="699" t="s">
        <v>443</v>
      </c>
      <c r="G46" s="699" t="s">
        <v>443</v>
      </c>
      <c r="H46" s="699">
        <v>12.9</v>
      </c>
      <c r="I46" s="699" t="s">
        <v>443</v>
      </c>
      <c r="J46" s="699" t="s">
        <v>443</v>
      </c>
      <c r="K46" s="644" t="e">
        <f>#REF!+J46</f>
        <v>#REF!</v>
      </c>
      <c r="L46" s="699"/>
      <c r="M46" s="699">
        <v>0</v>
      </c>
      <c r="N46" s="699"/>
      <c r="O46" s="699"/>
      <c r="P46" s="699" t="s">
        <v>443</v>
      </c>
      <c r="Q46" s="699" t="s">
        <v>443</v>
      </c>
      <c r="R46" s="638" t="s">
        <v>443</v>
      </c>
      <c r="S46" s="503" t="e">
        <f>SUM(F46:R46)+D46</f>
        <v>#REF!</v>
      </c>
      <c r="U46" s="498"/>
    </row>
    <row r="47" spans="2:23">
      <c r="B47" s="478" t="s">
        <v>482</v>
      </c>
      <c r="C47" s="699">
        <v>1309.5</v>
      </c>
      <c r="D47" s="699"/>
      <c r="E47" s="699">
        <v>1309.5</v>
      </c>
      <c r="F47" s="699" t="s">
        <v>443</v>
      </c>
      <c r="G47" s="699" t="s">
        <v>443</v>
      </c>
      <c r="H47" s="699">
        <v>1309.5</v>
      </c>
      <c r="I47" s="699" t="s">
        <v>443</v>
      </c>
      <c r="J47" s="699" t="s">
        <v>443</v>
      </c>
      <c r="K47" s="644" t="e">
        <f>#REF!+J47</f>
        <v>#REF!</v>
      </c>
      <c r="L47" s="699"/>
      <c r="M47" s="699">
        <v>0</v>
      </c>
      <c r="N47" s="699"/>
      <c r="O47" s="699"/>
      <c r="P47" s="699" t="s">
        <v>443</v>
      </c>
      <c r="Q47" s="699" t="s">
        <v>443</v>
      </c>
      <c r="R47" s="638" t="s">
        <v>443</v>
      </c>
      <c r="S47" s="503" t="e">
        <f>SUM(F47:R47)+D47</f>
        <v>#REF!</v>
      </c>
      <c r="U47" s="498"/>
    </row>
    <row r="48" spans="2:23">
      <c r="B48" s="478" t="s">
        <v>495</v>
      </c>
      <c r="C48" s="699">
        <v>287.29999999999995</v>
      </c>
      <c r="D48" s="699"/>
      <c r="E48" s="699" t="s">
        <v>443</v>
      </c>
      <c r="F48" s="699" t="s">
        <v>443</v>
      </c>
      <c r="G48" s="699" t="s">
        <v>443</v>
      </c>
      <c r="H48" s="699" t="s">
        <v>443</v>
      </c>
      <c r="I48" s="699" t="s">
        <v>443</v>
      </c>
      <c r="J48" s="699" t="s">
        <v>443</v>
      </c>
      <c r="K48" s="644" t="e">
        <f>#REF!+J48</f>
        <v>#REF!</v>
      </c>
      <c r="L48" s="699"/>
      <c r="M48" s="699">
        <v>0</v>
      </c>
      <c r="N48" s="699"/>
      <c r="O48" s="699"/>
      <c r="P48" s="699" t="s">
        <v>443</v>
      </c>
      <c r="Q48" s="699">
        <v>263.89999999999998</v>
      </c>
      <c r="R48" s="638" t="s">
        <v>443</v>
      </c>
      <c r="S48" s="503" t="e">
        <f>SUM(F48:R48)+D48</f>
        <v>#REF!</v>
      </c>
      <c r="U48" s="498"/>
    </row>
    <row r="49" spans="2:21" ht="15">
      <c r="B49" s="480" t="s">
        <v>484</v>
      </c>
      <c r="C49" s="699">
        <v>12.8</v>
      </c>
      <c r="D49" s="699"/>
      <c r="E49" s="699">
        <v>12.8</v>
      </c>
      <c r="F49" s="699" t="s">
        <v>443</v>
      </c>
      <c r="G49" s="699" t="s">
        <v>443</v>
      </c>
      <c r="H49" s="699" t="s">
        <v>443</v>
      </c>
      <c r="I49" s="699">
        <v>12.8</v>
      </c>
      <c r="J49" s="699" t="s">
        <v>443</v>
      </c>
      <c r="K49" s="644" t="e">
        <f>#REF!+J49</f>
        <v>#REF!</v>
      </c>
      <c r="L49" s="699"/>
      <c r="M49" s="699">
        <v>0</v>
      </c>
      <c r="N49" s="699"/>
      <c r="O49" s="699"/>
      <c r="P49" s="699" t="s">
        <v>443</v>
      </c>
      <c r="Q49" s="699" t="s">
        <v>443</v>
      </c>
      <c r="R49" s="638" t="s">
        <v>443</v>
      </c>
      <c r="S49" s="503" t="e">
        <f>SUM(F49:R49)+D49</f>
        <v>#REF!</v>
      </c>
      <c r="U49" s="498"/>
    </row>
    <row r="50" spans="2:21" ht="15">
      <c r="B50" s="479" t="s">
        <v>485</v>
      </c>
      <c r="C50" s="698">
        <v>232306.1</v>
      </c>
      <c r="D50" s="698"/>
      <c r="E50" s="698">
        <v>14639.2</v>
      </c>
      <c r="F50" s="699">
        <v>161.30000000000001</v>
      </c>
      <c r="G50" s="699">
        <v>220.3</v>
      </c>
      <c r="H50" s="699">
        <v>13641.4</v>
      </c>
      <c r="I50" s="699">
        <v>594.70000000000005</v>
      </c>
      <c r="J50" s="699" t="s">
        <v>443</v>
      </c>
      <c r="K50" s="644" t="e">
        <f>#REF!+J50</f>
        <v>#REF!</v>
      </c>
      <c r="L50" s="629"/>
      <c r="M50" s="629">
        <v>0</v>
      </c>
      <c r="N50" s="629"/>
      <c r="O50" s="629"/>
      <c r="P50" s="628"/>
      <c r="Q50" s="698">
        <v>49938.5</v>
      </c>
      <c r="R50" s="641">
        <v>8.3000000000000007</v>
      </c>
      <c r="S50" s="503" t="e">
        <f>SUM(F50:R50)+D50</f>
        <v>#REF!</v>
      </c>
      <c r="U50" s="498"/>
    </row>
    <row r="51" spans="2:21" ht="15">
      <c r="B51" s="477" t="s">
        <v>486</v>
      </c>
      <c r="C51" s="631">
        <v>149608.41699999999</v>
      </c>
      <c r="D51" s="629">
        <v>0</v>
      </c>
      <c r="E51" s="631">
        <v>88423.578999999998</v>
      </c>
      <c r="F51" s="630">
        <v>8830.17</v>
      </c>
      <c r="G51" s="631">
        <v>2367.7359999999999</v>
      </c>
      <c r="H51" s="631">
        <v>77225.672999999995</v>
      </c>
      <c r="I51" s="630">
        <v>0</v>
      </c>
      <c r="J51" s="640">
        <f>E51-SUM(F51:I51)</f>
        <v>0</v>
      </c>
      <c r="K51" s="644">
        <v>10788.3</v>
      </c>
      <c r="L51" s="629">
        <v>23474</v>
      </c>
      <c r="M51" s="630">
        <v>4423.1379999999999</v>
      </c>
      <c r="N51" s="630">
        <v>4242</v>
      </c>
      <c r="O51" s="630">
        <v>0</v>
      </c>
      <c r="P51" s="630">
        <v>0</v>
      </c>
      <c r="Q51" s="630">
        <v>18212.400000000001</v>
      </c>
      <c r="R51" s="630">
        <v>0</v>
      </c>
      <c r="S51" s="503">
        <f>SUM(F51:R51)+D51</f>
        <v>149563.41699999999</v>
      </c>
      <c r="U51" s="498"/>
    </row>
    <row r="52" spans="2:21">
      <c r="B52" s="478" t="s">
        <v>487</v>
      </c>
      <c r="C52" s="639">
        <v>51900.800000000003</v>
      </c>
      <c r="D52" s="639"/>
      <c r="E52" s="639">
        <v>636.6</v>
      </c>
      <c r="F52" s="639">
        <v>19</v>
      </c>
      <c r="G52" s="639" t="s">
        <v>443</v>
      </c>
      <c r="H52" s="639">
        <v>345.5</v>
      </c>
      <c r="I52" s="639">
        <v>254.9</v>
      </c>
      <c r="J52" s="639" t="s">
        <v>443</v>
      </c>
      <c r="K52" s="639">
        <v>26521.7</v>
      </c>
      <c r="L52" s="639"/>
      <c r="M52" s="639"/>
      <c r="N52" s="639"/>
      <c r="O52" s="639"/>
      <c r="P52" s="639">
        <v>979.3</v>
      </c>
      <c r="Q52" s="639">
        <v>22712.400000000001</v>
      </c>
      <c r="R52" s="638">
        <v>8.3000000000000007</v>
      </c>
      <c r="S52" s="503">
        <f>SUM(F52:R52)+D52</f>
        <v>50841.100000000006</v>
      </c>
    </row>
    <row r="53" spans="2:21">
      <c r="B53" s="478" t="s">
        <v>488</v>
      </c>
      <c r="C53" s="639">
        <v>158674.6</v>
      </c>
      <c r="D53" s="639"/>
      <c r="E53" s="639">
        <v>491.5</v>
      </c>
      <c r="F53" s="639">
        <v>132.80000000000001</v>
      </c>
      <c r="G53" s="639">
        <v>30.2</v>
      </c>
      <c r="H53" s="639">
        <v>324.2</v>
      </c>
      <c r="I53" s="639" t="s">
        <v>443</v>
      </c>
      <c r="J53" s="639" t="s">
        <v>443</v>
      </c>
      <c r="K53" s="639">
        <v>129558.1</v>
      </c>
      <c r="L53" s="639"/>
      <c r="M53" s="639"/>
      <c r="N53" s="639"/>
      <c r="O53" s="639"/>
      <c r="P53" s="639">
        <v>5062.1000000000004</v>
      </c>
      <c r="Q53" s="639">
        <v>23104.799999999999</v>
      </c>
      <c r="R53" s="638" t="s">
        <v>443</v>
      </c>
      <c r="S53" s="503">
        <f>SUM(F53:R53)+D53</f>
        <v>158212.19999999998</v>
      </c>
    </row>
    <row r="54" spans="2:21">
      <c r="B54" s="478" t="s">
        <v>489</v>
      </c>
      <c r="C54" s="639" t="s">
        <v>443</v>
      </c>
      <c r="D54" s="639"/>
      <c r="E54" s="639" t="s">
        <v>443</v>
      </c>
      <c r="F54" s="639" t="s">
        <v>443</v>
      </c>
      <c r="G54" s="639" t="s">
        <v>443</v>
      </c>
      <c r="H54" s="639" t="s">
        <v>443</v>
      </c>
      <c r="I54" s="639" t="s">
        <v>443</v>
      </c>
      <c r="J54" s="639" t="s">
        <v>443</v>
      </c>
      <c r="K54" s="639" t="s">
        <v>443</v>
      </c>
      <c r="L54" s="639"/>
      <c r="M54" s="639"/>
      <c r="N54" s="639"/>
      <c r="O54" s="639"/>
      <c r="P54" s="639" t="s">
        <v>443</v>
      </c>
      <c r="Q54" s="639" t="s">
        <v>443</v>
      </c>
      <c r="R54" s="638" t="s">
        <v>443</v>
      </c>
      <c r="S54" s="503">
        <f>SUM(F54:R54)+D54</f>
        <v>0</v>
      </c>
    </row>
    <row r="55" spans="2:21" ht="16" thickBot="1">
      <c r="B55" s="481" t="s">
        <v>490</v>
      </c>
      <c r="C55" s="637">
        <v>55460.800000000003</v>
      </c>
      <c r="D55" s="637"/>
      <c r="E55" s="637">
        <v>54077.4</v>
      </c>
      <c r="F55" s="636">
        <v>6943</v>
      </c>
      <c r="G55" s="636" t="s">
        <v>443</v>
      </c>
      <c r="H55" s="636">
        <v>145</v>
      </c>
      <c r="I55" s="636">
        <v>620.20000000000005</v>
      </c>
      <c r="J55" s="636">
        <v>33939.5</v>
      </c>
      <c r="K55" s="637">
        <v>1230.4000000000001</v>
      </c>
      <c r="L55" s="637"/>
      <c r="M55" s="637"/>
      <c r="N55" s="637"/>
      <c r="O55" s="637"/>
      <c r="P55" s="636" t="s">
        <v>443</v>
      </c>
      <c r="Q55" s="636" t="s">
        <v>443</v>
      </c>
      <c r="R55" s="635">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3.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2022-03-21T12:25:17Z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