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xl/drawings/drawing14.xml" ContentType="application/vnd.openxmlformats-officedocument.drawing+xml"/>
  <Override PartName="/xl/comments10.xml" ContentType="application/vnd.openxmlformats-officedocument.spreadsheetml.comments+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12.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codeName="ThisWorkbook" defaultThemeVersion="124226"/>
  <mc:AlternateContent xmlns:mc="http://schemas.openxmlformats.org/markup-compatibility/2006">
    <mc:Choice Requires="x15">
      <x15ac:absPath xmlns:x15ac="http://schemas.microsoft.com/office/spreadsheetml/2010/11/ac" url="/Users/Jonathan/Documents/GitHub/Bachelor_Git/TIMES-DE/SubRES_TMPL/"/>
    </mc:Choice>
  </mc:AlternateContent>
  <xr:revisionPtr revIDLastSave="0" documentId="13_ncr:1_{58B746BA-C77D-FB44-9371-11AD99D7F671}" xr6:coauthVersionLast="47" xr6:coauthVersionMax="47" xr10:uidLastSave="{00000000-0000-0000-0000-000000000000}"/>
  <bookViews>
    <workbookView xWindow="0" yWindow="0" windowWidth="25600" windowHeight="16000" tabRatio="725" firstSheet="3" activeTab="9" xr2:uid="{00000000-000D-0000-FFFF-FFFF00000000}"/>
  </bookViews>
  <sheets>
    <sheet name="LOG" sheetId="34" r:id="rId1"/>
    <sheet name="Intro" sheetId="35" r:id="rId2"/>
    <sheet name="READ THIS" sheetId="21" r:id="rId3"/>
    <sheet name="Commodity" sheetId="47" r:id="rId4"/>
    <sheet name="Processes" sheetId="43" r:id="rId5"/>
    <sheet name="Appliances&amp;Cooking" sheetId="44" r:id="rId6"/>
    <sheet name="Cooling" sheetId="45" r:id="rId7"/>
    <sheet name="HOU_Deta Boil" sheetId="31" r:id="rId8"/>
    <sheet name="HOU_Multi Boil" sheetId="32" r:id="rId9"/>
    <sheet name="Commodities_VT" sheetId="42" r:id="rId10"/>
    <sheet name="HP, gas absorption,air-to-water" sheetId="28" r:id="rId11"/>
    <sheet name="HP, gas absorpt,brine-to-water" sheetId="29" r:id="rId12"/>
    <sheet name="HP, gas adsorpt,brine to water" sheetId="27" r:id="rId13"/>
    <sheet name="Heat pump, air-to-air" sheetId="9" r:id="rId14"/>
    <sheet name="Oil-fired boiler" sheetId="1" r:id="rId15"/>
    <sheet name="Natural gas boiler" sheetId="4" r:id="rId16"/>
    <sheet name="DH substation" sheetId="5" r:id="rId17"/>
    <sheet name="Biomass boiler, automatic" sheetId="6" r:id="rId18"/>
    <sheet name="Electric heating" sheetId="14" r:id="rId19"/>
    <sheet name="Solar heating" sheetId="13" r:id="rId20"/>
    <sheet name="Heat pump, air-to-water" sheetId="10" r:id="rId21"/>
    <sheet name="Heat pump, ground source" sheetId="11" r:id="rId22"/>
    <sheet name="Biomass boiler, manual" sheetId="7" r:id="rId23"/>
    <sheet name="Wood stove" sheetId="8" r:id="rId24"/>
    <sheet name="Heat pump, gas engine air-water" sheetId="30" r:id="rId25"/>
    <sheet name="Heat pump, gas engine Brine-wat" sheetId="24" r:id="rId26"/>
    <sheet name="Heat pump, ventilation" sheetId="12" r:id="rId27"/>
    <sheet name="Micro CHP, natural gas FC" sheetId="15" r:id="rId28"/>
    <sheet name="Micro CHP, hydrogen FC" sheetId="16" r:id="rId29"/>
    <sheet name="Micro CHP - Stirling engine" sheetId="17" r:id="rId30"/>
    <sheet name="Micro CHP - Gas engine" sheetId="18" r:id="rId31"/>
    <sheet name="DH network" sheetId="19" r:id="rId32"/>
    <sheet name="Electrical grid" sheetId="20" r:id="rId33"/>
    <sheet name="DBcompar after new tech ka sept" sheetId="37" r:id="rId34"/>
    <sheet name="MBcompar after new tech ka sept" sheetId="38"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_xlnm._FilterDatabase" localSheetId="33" hidden="1">'DBcompar after new tech ka sept'!$A$2:$U$45</definedName>
    <definedName name="_ftn1" localSheetId="29">'Micro CHP - Stirling engine'!$B$92</definedName>
    <definedName name="_ftnref1" localSheetId="29">'Micro CHP - Stirling engine'!#REF!</definedName>
    <definedName name="_Order1" hidden="1">255</definedName>
    <definedName name="_Order2" hidden="1">255</definedName>
    <definedName name="_Toc305146851" localSheetId="17">'Biomass boiler, automatic'!$B$1</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[3]Subsidy!#REF!</definedName>
    <definedName name="Euro">Intro!$C$39</definedName>
    <definedName name="Fastprisår">[5]Forside!$B$5</definedName>
    <definedName name="FID_1">[6]AGR_Fuels!$A$2</definedName>
    <definedName name="FID_2">[7]LOG!#REF!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IXWSTBP">'[9]O&amp;M waste '!$C$4</definedName>
    <definedName name="FuelDesc">[2]Fuel!$T$12:$U$34</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[3]General!#REF!</definedName>
    <definedName name="LastPSOYear">[3]Plants!$H$2</definedName>
    <definedName name="Nettarif">[3]TechnologyData!$F$11</definedName>
    <definedName name="NGCC_SmallBP">[3]TechnologyData!$A$72:$M$99</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#REF!</definedName>
    <definedName name="Raggr1">[10]Rækker!$A$4:$A$4</definedName>
    <definedName name="Raggr2">[10]Rækker!$B$4:$B$4</definedName>
    <definedName name="Raggr3">[10]Rækker!$C$4:$C$4</definedName>
    <definedName name="Real_interest_rate">[11]TechnologyData!$B$37</definedName>
    <definedName name="RefurbishedCoalBioCHP">[3]TechnologyData!$A$43:$M$70</definedName>
    <definedName name="RenovCKV">[3]Plants!$J$4</definedName>
    <definedName name="rSØK">'[4]Centrale data'!$C$32</definedName>
    <definedName name="Saggr1">[10]Søjler!$A$4:$A$7</definedName>
    <definedName name="Saggr2">[10]Søjler!$B$4:$B$7</definedName>
    <definedName name="Saggr3">[10]Søjler!$C$4:$C$7</definedName>
    <definedName name="Saggr4">[10]Søjler!$D$4:$D$7</definedName>
    <definedName name="Saggr5">[10]Søjler!$E$4:$E$7</definedName>
    <definedName name="Saggr6">[10]Søjler!$F$4:$F$7</definedName>
    <definedName name="Saggr7">[10]Søjler!$G$4:$G$7</definedName>
    <definedName name="Saggr8">[10]Søjler!$H$4:$H$7</definedName>
    <definedName name="TechName_1">[2]Plants1!$CP$14:$CP$1884</definedName>
    <definedName name="Translate">'[2]Plants Translate 1'!$E$12:$K$55</definedName>
    <definedName name="VARWSTBO">'[9]O&amp;M waste '!$D$5</definedName>
    <definedName name="VARWSTBP">'[9]O&amp;M waste '!$D$4</definedName>
    <definedName name="WasteCHP">[3]TechnologyData!$A$101:$M$129</definedName>
    <definedName name="Wood_SmallBP">[3]TechnologyData!$A$131:$M$158</definedName>
    <definedName name="x" localSheetId="9">[12]AGR_Fuels!$A$2</definedName>
    <definedName name="x">[12]AGR_Fuels!$A$2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9" i="44" l="1"/>
  <c r="L57" i="32"/>
  <c r="L56" i="32"/>
  <c r="L55" i="32"/>
  <c r="L54" i="32"/>
  <c r="N73" i="32"/>
  <c r="M73" i="32"/>
  <c r="L73" i="32"/>
  <c r="K73" i="32"/>
  <c r="J73" i="32"/>
  <c r="H73" i="32"/>
  <c r="N72" i="32"/>
  <c r="M72" i="32"/>
  <c r="L72" i="32"/>
  <c r="K72" i="32"/>
  <c r="J72" i="32"/>
  <c r="H72" i="32"/>
  <c r="N71" i="32"/>
  <c r="M71" i="32"/>
  <c r="L71" i="32"/>
  <c r="K71" i="32"/>
  <c r="J71" i="32"/>
  <c r="H71" i="32"/>
  <c r="P70" i="32"/>
  <c r="O70" i="32"/>
  <c r="N70" i="32"/>
  <c r="M70" i="32"/>
  <c r="L70" i="32"/>
  <c r="K70" i="32"/>
  <c r="J70" i="32"/>
  <c r="H70" i="32"/>
  <c r="E96" i="43"/>
  <c r="D70" i="32" s="1"/>
  <c r="D96" i="43"/>
  <c r="C70" i="32" s="1"/>
  <c r="F70" i="32"/>
  <c r="P78" i="31"/>
  <c r="O78" i="31"/>
  <c r="N81" i="31"/>
  <c r="N80" i="31"/>
  <c r="N79" i="31"/>
  <c r="N78" i="31"/>
  <c r="M81" i="31"/>
  <c r="M80" i="31"/>
  <c r="M79" i="31"/>
  <c r="M78" i="31"/>
  <c r="L81" i="31"/>
  <c r="L80" i="31"/>
  <c r="L79" i="31"/>
  <c r="L78" i="31"/>
  <c r="K81" i="31"/>
  <c r="K80" i="31"/>
  <c r="K79" i="31"/>
  <c r="K78" i="31"/>
  <c r="J81" i="31"/>
  <c r="J80" i="31"/>
  <c r="J79" i="31"/>
  <c r="J78" i="31"/>
  <c r="H81" i="31"/>
  <c r="H80" i="31"/>
  <c r="H79" i="31"/>
  <c r="H78" i="31"/>
  <c r="D76" i="43"/>
  <c r="C78" i="31" s="1"/>
  <c r="E76" i="43"/>
  <c r="D78" i="31" s="1"/>
  <c r="F78" i="31"/>
  <c r="E11" i="43"/>
  <c r="C29" i="44" s="1"/>
  <c r="E11" i="47"/>
  <c r="D11" i="47"/>
  <c r="D11" i="43" l="1"/>
  <c r="B29" i="44" s="1"/>
  <c r="C15" i="42"/>
  <c r="F90" i="31" s="1"/>
  <c r="K12" i="44"/>
  <c r="J12" i="44"/>
  <c r="I12" i="44"/>
  <c r="H12" i="44"/>
  <c r="K9" i="44"/>
  <c r="E9" i="44"/>
  <c r="E12" i="44" s="1"/>
  <c r="D12" i="44"/>
  <c r="S9" i="43"/>
  <c r="T9" i="43" s="1"/>
  <c r="E9" i="43" s="1"/>
  <c r="C12" i="44" s="1"/>
  <c r="F38" i="31"/>
  <c r="Q21" i="45"/>
  <c r="Q22" i="45" s="1"/>
  <c r="P21" i="45"/>
  <c r="P22" i="45" s="1"/>
  <c r="O21" i="45"/>
  <c r="O22" i="45" s="1"/>
  <c r="M21" i="45"/>
  <c r="M22" i="45" s="1"/>
  <c r="Q20" i="45"/>
  <c r="P20" i="45"/>
  <c r="O20" i="45"/>
  <c r="N20" i="45"/>
  <c r="N21" i="45" s="1"/>
  <c r="N22" i="45" s="1"/>
  <c r="M20" i="45"/>
  <c r="L20" i="45"/>
  <c r="L21" i="45" s="1"/>
  <c r="L22" i="45" s="1"/>
  <c r="Q19" i="45"/>
  <c r="P19" i="45"/>
  <c r="O19" i="45"/>
  <c r="N19" i="45"/>
  <c r="M19" i="45"/>
  <c r="L19" i="45"/>
  <c r="Q16" i="45"/>
  <c r="Q17" i="45" s="1"/>
  <c r="Q18" i="45" s="1"/>
  <c r="P16" i="45"/>
  <c r="P17" i="45" s="1"/>
  <c r="P18" i="45" s="1"/>
  <c r="O16" i="45"/>
  <c r="O17" i="45" s="1"/>
  <c r="O18" i="45" s="1"/>
  <c r="N16" i="45"/>
  <c r="N17" i="45" s="1"/>
  <c r="N18" i="45" s="1"/>
  <c r="M16" i="45"/>
  <c r="M17" i="45" s="1"/>
  <c r="M18" i="45" s="1"/>
  <c r="L16" i="45"/>
  <c r="L17" i="45" s="1"/>
  <c r="L18" i="45" s="1"/>
  <c r="Q15" i="45"/>
  <c r="P15" i="45"/>
  <c r="O15" i="45"/>
  <c r="N15" i="45"/>
  <c r="M15" i="45"/>
  <c r="L15" i="45"/>
  <c r="Q13" i="45"/>
  <c r="Q14" i="45" s="1"/>
  <c r="P13" i="45"/>
  <c r="P14" i="45" s="1"/>
  <c r="N13" i="45"/>
  <c r="N14" i="45" s="1"/>
  <c r="Q12" i="45"/>
  <c r="P12" i="45"/>
  <c r="O12" i="45"/>
  <c r="O13" i="45" s="1"/>
  <c r="O14" i="45" s="1"/>
  <c r="N12" i="45"/>
  <c r="M12" i="45"/>
  <c r="M13" i="45" s="1"/>
  <c r="M14" i="45" s="1"/>
  <c r="L12" i="45"/>
  <c r="L13" i="45" s="1"/>
  <c r="L14" i="45" s="1"/>
  <c r="Q11" i="45"/>
  <c r="P11" i="45"/>
  <c r="O11" i="45"/>
  <c r="N11" i="45"/>
  <c r="M11" i="45"/>
  <c r="L11" i="45"/>
  <c r="L8" i="45"/>
  <c r="L9" i="45" s="1"/>
  <c r="L10" i="45" s="1"/>
  <c r="M8" i="45"/>
  <c r="M9" i="45" s="1"/>
  <c r="M10" i="45" s="1"/>
  <c r="N8" i="45"/>
  <c r="N9" i="45" s="1"/>
  <c r="N10" i="45" s="1"/>
  <c r="O8" i="45"/>
  <c r="O9" i="45" s="1"/>
  <c r="O10" i="45" s="1"/>
  <c r="P8" i="45"/>
  <c r="P9" i="45" s="1"/>
  <c r="P10" i="45" s="1"/>
  <c r="Q8" i="45"/>
  <c r="Q9" i="45" s="1"/>
  <c r="Q10" i="45" s="1"/>
  <c r="Q7" i="45"/>
  <c r="P7" i="45"/>
  <c r="O7" i="45"/>
  <c r="N7" i="45"/>
  <c r="M7" i="45"/>
  <c r="L7" i="45"/>
  <c r="C88" i="9"/>
  <c r="D88" i="9"/>
  <c r="E88" i="9"/>
  <c r="F88" i="9"/>
  <c r="F43" i="27"/>
  <c r="F17" i="9"/>
  <c r="D17" i="9"/>
  <c r="E99" i="43"/>
  <c r="D82" i="32" s="1"/>
  <c r="E98" i="43"/>
  <c r="D78" i="32" s="1"/>
  <c r="E97" i="43"/>
  <c r="D74" i="32" s="1"/>
  <c r="E95" i="43"/>
  <c r="D66" i="32" s="1"/>
  <c r="E94" i="43"/>
  <c r="D62" i="32" s="1"/>
  <c r="E93" i="43"/>
  <c r="D58" i="32" s="1"/>
  <c r="E92" i="43"/>
  <c r="D54" i="32" s="1"/>
  <c r="E91" i="43"/>
  <c r="D50" i="32" s="1"/>
  <c r="E90" i="43"/>
  <c r="D46" i="32" s="1"/>
  <c r="E89" i="43"/>
  <c r="D42" i="32" s="1"/>
  <c r="E88" i="43"/>
  <c r="D38" i="32" s="1"/>
  <c r="E87" i="43"/>
  <c r="D34" i="32" s="1"/>
  <c r="E86" i="43"/>
  <c r="D30" i="32" s="1"/>
  <c r="E85" i="43"/>
  <c r="D26" i="32" s="1"/>
  <c r="E84" i="43"/>
  <c r="D22" i="32" s="1"/>
  <c r="E83" i="43"/>
  <c r="D18" i="32" s="1"/>
  <c r="E82" i="43"/>
  <c r="D14" i="32" s="1"/>
  <c r="E81" i="43"/>
  <c r="D10" i="32" s="1"/>
  <c r="E80" i="43"/>
  <c r="E79" i="43"/>
  <c r="D90" i="31" s="1"/>
  <c r="E78" i="43"/>
  <c r="D86" i="31" s="1"/>
  <c r="E77" i="43"/>
  <c r="D82" i="31" s="1"/>
  <c r="E75" i="43"/>
  <c r="D74" i="31" s="1"/>
  <c r="E74" i="43"/>
  <c r="D70" i="31" s="1"/>
  <c r="E73" i="43"/>
  <c r="D66" i="31" s="1"/>
  <c r="E72" i="43"/>
  <c r="D62" i="31" s="1"/>
  <c r="E71" i="43"/>
  <c r="D58" i="31" s="1"/>
  <c r="E70" i="43"/>
  <c r="D54" i="31" s="1"/>
  <c r="E69" i="43"/>
  <c r="D50" i="31" s="1"/>
  <c r="E68" i="43"/>
  <c r="D46" i="31" s="1"/>
  <c r="E67" i="43"/>
  <c r="D42" i="31" s="1"/>
  <c r="E66" i="43"/>
  <c r="D38" i="31" s="1"/>
  <c r="E65" i="43"/>
  <c r="D34" i="31" s="1"/>
  <c r="E64" i="43"/>
  <c r="D30" i="31" s="1"/>
  <c r="E63" i="43"/>
  <c r="D26" i="31" s="1"/>
  <c r="E62" i="43"/>
  <c r="D22" i="31" s="1"/>
  <c r="E61" i="43"/>
  <c r="D18" i="31" s="1"/>
  <c r="E60" i="43"/>
  <c r="D14" i="31" s="1"/>
  <c r="E59" i="43"/>
  <c r="D10" i="31" s="1"/>
  <c r="E58" i="43"/>
  <c r="D6" i="31" s="1"/>
  <c r="D99" i="43"/>
  <c r="D98" i="43"/>
  <c r="D97" i="43"/>
  <c r="D95" i="43"/>
  <c r="D94" i="43"/>
  <c r="D93" i="43"/>
  <c r="D92" i="43"/>
  <c r="D91" i="43"/>
  <c r="D90" i="43"/>
  <c r="D89" i="43"/>
  <c r="D88" i="43"/>
  <c r="D87" i="43"/>
  <c r="D86" i="43"/>
  <c r="D85" i="43"/>
  <c r="D84" i="43"/>
  <c r="D83" i="43"/>
  <c r="D82" i="43"/>
  <c r="D81" i="43"/>
  <c r="D80" i="43"/>
  <c r="D79" i="43"/>
  <c r="D78" i="43"/>
  <c r="D77" i="43"/>
  <c r="D75" i="43"/>
  <c r="D74" i="43"/>
  <c r="D73" i="43"/>
  <c r="D72" i="43"/>
  <c r="D71" i="43"/>
  <c r="D70" i="43"/>
  <c r="D69" i="43"/>
  <c r="D68" i="43"/>
  <c r="D67" i="43"/>
  <c r="D66" i="43"/>
  <c r="D65" i="43"/>
  <c r="D64" i="43"/>
  <c r="D63" i="43"/>
  <c r="D62" i="43"/>
  <c r="D61" i="43"/>
  <c r="D60" i="43"/>
  <c r="D59" i="43"/>
  <c r="D58" i="43"/>
  <c r="D6" i="32" l="1"/>
  <c r="F70" i="31"/>
  <c r="F46" i="32"/>
  <c r="F62" i="32"/>
  <c r="F78" i="32"/>
  <c r="F38" i="32"/>
  <c r="F50" i="32"/>
  <c r="F74" i="32"/>
  <c r="F82" i="32"/>
  <c r="F10" i="32"/>
  <c r="F30" i="32"/>
  <c r="F54" i="32"/>
  <c r="F22" i="31"/>
  <c r="F6" i="32"/>
  <c r="F14" i="32"/>
  <c r="D29" i="44"/>
  <c r="F10" i="31"/>
  <c r="F18" i="31"/>
  <c r="F30" i="31"/>
  <c r="F82" i="31"/>
  <c r="F18" i="32"/>
  <c r="F66" i="32"/>
  <c r="F58" i="31"/>
  <c r="F26" i="32"/>
  <c r="F58" i="32"/>
  <c r="F42" i="31"/>
  <c r="F54" i="31"/>
  <c r="F34" i="32"/>
  <c r="F6" i="31"/>
  <c r="F34" i="31"/>
  <c r="F62" i="31"/>
  <c r="F14" i="31"/>
  <c r="F46" i="31"/>
  <c r="F66" i="31"/>
  <c r="F74" i="31"/>
  <c r="F86" i="31"/>
  <c r="P9" i="43"/>
  <c r="D9" i="43" s="1"/>
  <c r="B9" i="44" s="1"/>
  <c r="B12" i="44" s="1"/>
  <c r="C7" i="42"/>
  <c r="D7" i="42"/>
  <c r="C8" i="42"/>
  <c r="D8" i="42"/>
  <c r="C9" i="42"/>
  <c r="D9" i="42"/>
  <c r="C10" i="42"/>
  <c r="D10" i="42"/>
  <c r="C11" i="42"/>
  <c r="D11" i="42"/>
  <c r="C12" i="42"/>
  <c r="D12" i="42"/>
  <c r="C13" i="42"/>
  <c r="D13" i="42"/>
  <c r="C14" i="42"/>
  <c r="D14" i="42"/>
  <c r="D15" i="42"/>
  <c r="C16" i="42"/>
  <c r="D16" i="42"/>
  <c r="C17" i="42"/>
  <c r="D17" i="42"/>
  <c r="C18" i="42"/>
  <c r="D18" i="42"/>
  <c r="C19" i="42"/>
  <c r="D19" i="42"/>
  <c r="C20" i="42"/>
  <c r="D20" i="42"/>
  <c r="C21" i="42"/>
  <c r="D21" i="42"/>
  <c r="C22" i="42"/>
  <c r="D22" i="42"/>
  <c r="C23" i="42"/>
  <c r="D23" i="42"/>
  <c r="C24" i="42"/>
  <c r="D24" i="42"/>
  <c r="C25" i="42"/>
  <c r="D25" i="42"/>
  <c r="C26" i="42"/>
  <c r="D26" i="42"/>
  <c r="C27" i="42"/>
  <c r="D27" i="42"/>
  <c r="C28" i="42"/>
  <c r="D28" i="42"/>
  <c r="C29" i="42"/>
  <c r="D29" i="42"/>
  <c r="C30" i="42"/>
  <c r="D30" i="42"/>
  <c r="C31" i="42"/>
  <c r="D31" i="42"/>
  <c r="C32" i="42"/>
  <c r="D32" i="42"/>
  <c r="C33" i="42"/>
  <c r="D33" i="42"/>
  <c r="C34" i="42"/>
  <c r="D34" i="42"/>
  <c r="C35" i="42"/>
  <c r="D35" i="42"/>
  <c r="C36" i="42"/>
  <c r="D36" i="42"/>
  <c r="C37" i="42"/>
  <c r="D37" i="42"/>
  <c r="C38" i="42"/>
  <c r="D38" i="42"/>
  <c r="C39" i="42"/>
  <c r="D39" i="42"/>
  <c r="C40" i="42"/>
  <c r="D40" i="42"/>
  <c r="C41" i="42"/>
  <c r="D41" i="42"/>
  <c r="C42" i="42"/>
  <c r="D42" i="42"/>
  <c r="C43" i="42"/>
  <c r="D43" i="42"/>
  <c r="C44" i="42"/>
  <c r="D44" i="42"/>
  <c r="C45" i="42"/>
  <c r="D45" i="42"/>
  <c r="C46" i="42"/>
  <c r="D46" i="42"/>
  <c r="C47" i="42"/>
  <c r="D47" i="42"/>
  <c r="C48" i="42"/>
  <c r="D48" i="42"/>
  <c r="C49" i="42"/>
  <c r="D49" i="42"/>
  <c r="C50" i="42"/>
  <c r="D50" i="42"/>
  <c r="C51" i="42"/>
  <c r="D51" i="42"/>
  <c r="C52" i="42"/>
  <c r="D52" i="42"/>
  <c r="C53" i="42"/>
  <c r="D53" i="42"/>
  <c r="C54" i="42"/>
  <c r="D54" i="42"/>
  <c r="C55" i="42"/>
  <c r="D55" i="42"/>
  <c r="C56" i="42"/>
  <c r="D56" i="42"/>
  <c r="C57" i="42"/>
  <c r="D57" i="42"/>
  <c r="C58" i="42"/>
  <c r="D58" i="42"/>
  <c r="C59" i="42"/>
  <c r="D59" i="42"/>
  <c r="C60" i="42"/>
  <c r="D60" i="42"/>
  <c r="C61" i="42"/>
  <c r="D61" i="42"/>
  <c r="C62" i="42"/>
  <c r="D62" i="42"/>
  <c r="C63" i="42"/>
  <c r="D63" i="42"/>
  <c r="C64" i="42"/>
  <c r="D64" i="42"/>
  <c r="C65" i="42"/>
  <c r="D65" i="42"/>
  <c r="C66" i="42"/>
  <c r="D66" i="42"/>
  <c r="C67" i="42"/>
  <c r="D67" i="42"/>
  <c r="C68" i="42"/>
  <c r="D68" i="42"/>
  <c r="C69" i="42"/>
  <c r="D69" i="42"/>
  <c r="C70" i="42"/>
  <c r="D70" i="42"/>
  <c r="C71" i="42"/>
  <c r="D71" i="42"/>
  <c r="C72" i="42"/>
  <c r="D72" i="42"/>
  <c r="C73" i="42"/>
  <c r="D73" i="42"/>
  <c r="C74" i="42"/>
  <c r="D74" i="42"/>
  <c r="C75" i="42"/>
  <c r="D75" i="42"/>
  <c r="C76" i="42"/>
  <c r="D76" i="42"/>
  <c r="C77" i="42"/>
  <c r="D77" i="42"/>
  <c r="C6" i="31"/>
  <c r="F42" i="32"/>
  <c r="F26" i="31" l="1"/>
  <c r="F50" i="31"/>
  <c r="F22" i="32"/>
  <c r="J8" i="32"/>
  <c r="K29" i="44"/>
  <c r="K21" i="44"/>
  <c r="J21" i="44"/>
  <c r="I21" i="44"/>
  <c r="H21" i="44"/>
  <c r="K20" i="44"/>
  <c r="K11" i="44"/>
  <c r="J11" i="44"/>
  <c r="I11" i="44"/>
  <c r="H11" i="44"/>
  <c r="K10" i="44"/>
  <c r="J10" i="44"/>
  <c r="I10" i="44"/>
  <c r="H10" i="44"/>
  <c r="K8" i="44"/>
  <c r="K7" i="44"/>
  <c r="P51" i="43"/>
  <c r="D51" i="43" s="1"/>
  <c r="S47" i="43"/>
  <c r="T47" i="43" s="1"/>
  <c r="E47" i="43" s="1"/>
  <c r="P41" i="43"/>
  <c r="D41" i="43" s="1"/>
  <c r="P31" i="43"/>
  <c r="D31" i="43" s="1"/>
  <c r="P21" i="43"/>
  <c r="D21" i="43" s="1"/>
  <c r="S7" i="43"/>
  <c r="T7" i="43" s="1"/>
  <c r="E7" i="43" s="1"/>
  <c r="C7" i="44" s="1"/>
  <c r="C10" i="44" s="1"/>
  <c r="G19" i="45"/>
  <c r="G15" i="45"/>
  <c r="G11" i="45"/>
  <c r="G7" i="45"/>
  <c r="S22" i="43"/>
  <c r="D20" i="44"/>
  <c r="D21" i="44" s="1"/>
  <c r="F19" i="45"/>
  <c r="E7" i="44"/>
  <c r="E10" i="44" s="1"/>
  <c r="E20" i="44"/>
  <c r="E21" i="44" s="1"/>
  <c r="T22" i="43" l="1"/>
  <c r="E22" i="43" s="1"/>
  <c r="P22" i="43"/>
  <c r="D22" i="43" s="1"/>
  <c r="P7" i="43"/>
  <c r="D7" i="43" s="1"/>
  <c r="B7" i="44" s="1"/>
  <c r="B10" i="44" s="1"/>
  <c r="S19" i="43"/>
  <c r="S24" i="43"/>
  <c r="S37" i="43"/>
  <c r="S42" i="43"/>
  <c r="P47" i="43"/>
  <c r="D47" i="43" s="1"/>
  <c r="S50" i="43"/>
  <c r="S55" i="43"/>
  <c r="D8" i="44"/>
  <c r="D11" i="44" s="1"/>
  <c r="S16" i="43"/>
  <c r="S29" i="43"/>
  <c r="S34" i="43"/>
  <c r="S52" i="43"/>
  <c r="E8" i="44"/>
  <c r="E11" i="44" s="1"/>
  <c r="S13" i="43"/>
  <c r="T21" i="43"/>
  <c r="E21" i="43" s="1"/>
  <c r="S26" i="43"/>
  <c r="S39" i="43"/>
  <c r="S44" i="43"/>
  <c r="S57" i="43"/>
  <c r="S10" i="43"/>
  <c r="S18" i="43"/>
  <c r="S23" i="43"/>
  <c r="T31" i="43"/>
  <c r="E31" i="43" s="1"/>
  <c r="S36" i="43"/>
  <c r="S49" i="43"/>
  <c r="S54" i="43"/>
  <c r="F7" i="45"/>
  <c r="F11" i="45"/>
  <c r="F15" i="45"/>
  <c r="S15" i="43"/>
  <c r="S28" i="43"/>
  <c r="S33" i="43"/>
  <c r="T41" i="43"/>
  <c r="E41" i="43" s="1"/>
  <c r="S46" i="43"/>
  <c r="S12" i="43"/>
  <c r="S20" i="43"/>
  <c r="S25" i="43"/>
  <c r="S38" i="43"/>
  <c r="S43" i="43"/>
  <c r="T51" i="43"/>
  <c r="E51" i="43" s="1"/>
  <c r="S56" i="43"/>
  <c r="S8" i="43"/>
  <c r="S17" i="43"/>
  <c r="S30" i="43"/>
  <c r="S35" i="43"/>
  <c r="S48" i="43"/>
  <c r="S53" i="43"/>
  <c r="D7" i="44"/>
  <c r="D10" i="44" s="1"/>
  <c r="S14" i="43"/>
  <c r="S27" i="43"/>
  <c r="S32" i="43"/>
  <c r="S40" i="43"/>
  <c r="S45" i="43"/>
  <c r="T34" i="43" l="1"/>
  <c r="E34" i="43" s="1"/>
  <c r="P34" i="43"/>
  <c r="D34" i="43" s="1"/>
  <c r="P45" i="43"/>
  <c r="D45" i="43" s="1"/>
  <c r="T45" i="43"/>
  <c r="E45" i="43" s="1"/>
  <c r="T12" i="43"/>
  <c r="E12" i="43" s="1"/>
  <c r="P12" i="43"/>
  <c r="D12" i="43" s="1"/>
  <c r="T46" i="43"/>
  <c r="E46" i="43" s="1"/>
  <c r="P46" i="43"/>
  <c r="D46" i="43" s="1"/>
  <c r="T54" i="43"/>
  <c r="E54" i="43" s="1"/>
  <c r="C7" i="45" s="1"/>
  <c r="P54" i="43"/>
  <c r="D54" i="43" s="1"/>
  <c r="B7" i="45" s="1"/>
  <c r="T29" i="43"/>
  <c r="E29" i="43" s="1"/>
  <c r="P29" i="43"/>
  <c r="D29" i="43" s="1"/>
  <c r="P42" i="43"/>
  <c r="D42" i="43" s="1"/>
  <c r="T42" i="43"/>
  <c r="E42" i="43" s="1"/>
  <c r="T8" i="43"/>
  <c r="E8" i="43" s="1"/>
  <c r="C8" i="44" s="1"/>
  <c r="C11" i="44" s="1"/>
  <c r="P8" i="43"/>
  <c r="D8" i="43" s="1"/>
  <c r="B8" i="44" s="1"/>
  <c r="B11" i="44" s="1"/>
  <c r="T20" i="43"/>
  <c r="E20" i="43" s="1"/>
  <c r="P20" i="43"/>
  <c r="D20" i="43" s="1"/>
  <c r="P40" i="43"/>
  <c r="D40" i="43" s="1"/>
  <c r="T40" i="43"/>
  <c r="E40" i="43" s="1"/>
  <c r="T49" i="43"/>
  <c r="E49" i="43" s="1"/>
  <c r="P49" i="43"/>
  <c r="D49" i="43" s="1"/>
  <c r="T57" i="43"/>
  <c r="E57" i="43" s="1"/>
  <c r="C19" i="45" s="1"/>
  <c r="P57" i="43"/>
  <c r="D57" i="43" s="1"/>
  <c r="B19" i="45" s="1"/>
  <c r="T16" i="43"/>
  <c r="E16" i="43" s="1"/>
  <c r="P16" i="43"/>
  <c r="D16" i="43" s="1"/>
  <c r="P37" i="43"/>
  <c r="D37" i="43" s="1"/>
  <c r="T37" i="43"/>
  <c r="E37" i="43" s="1"/>
  <c r="P32" i="43"/>
  <c r="D32" i="43" s="1"/>
  <c r="T32" i="43"/>
  <c r="E32" i="43" s="1"/>
  <c r="T53" i="43"/>
  <c r="E53" i="43" s="1"/>
  <c r="P53" i="43"/>
  <c r="D53" i="43" s="1"/>
  <c r="T56" i="43"/>
  <c r="E56" i="43" s="1"/>
  <c r="C15" i="45" s="1"/>
  <c r="P56" i="43"/>
  <c r="D56" i="43" s="1"/>
  <c r="B15" i="45" s="1"/>
  <c r="T33" i="43"/>
  <c r="E33" i="43" s="1"/>
  <c r="P33" i="43"/>
  <c r="D33" i="43" s="1"/>
  <c r="T36" i="43"/>
  <c r="E36" i="43" s="1"/>
  <c r="P36" i="43"/>
  <c r="D36" i="43" s="1"/>
  <c r="T44" i="43"/>
  <c r="E44" i="43" s="1"/>
  <c r="P44" i="43"/>
  <c r="D44" i="43" s="1"/>
  <c r="P24" i="43"/>
  <c r="D24" i="43" s="1"/>
  <c r="T24" i="43"/>
  <c r="E24" i="43" s="1"/>
  <c r="P27" i="43"/>
  <c r="D27" i="43" s="1"/>
  <c r="T27" i="43"/>
  <c r="E27" i="43" s="1"/>
  <c r="T48" i="43"/>
  <c r="E48" i="43" s="1"/>
  <c r="P48" i="43"/>
  <c r="D48" i="43" s="1"/>
  <c r="T28" i="43"/>
  <c r="E28" i="43" s="1"/>
  <c r="P28" i="43"/>
  <c r="D28" i="43" s="1"/>
  <c r="T39" i="43"/>
  <c r="E39" i="43" s="1"/>
  <c r="P39" i="43"/>
  <c r="D39" i="43" s="1"/>
  <c r="P19" i="43"/>
  <c r="D19" i="43" s="1"/>
  <c r="T19" i="43"/>
  <c r="E19" i="43" s="1"/>
  <c r="P14" i="43"/>
  <c r="D14" i="43" s="1"/>
  <c r="T14" i="43"/>
  <c r="E14" i="43" s="1"/>
  <c r="T35" i="43"/>
  <c r="E35" i="43" s="1"/>
  <c r="P35" i="43"/>
  <c r="D35" i="43" s="1"/>
  <c r="T43" i="43"/>
  <c r="E43" i="43" s="1"/>
  <c r="P43" i="43"/>
  <c r="D43" i="43" s="1"/>
  <c r="T15" i="43"/>
  <c r="E15" i="43" s="1"/>
  <c r="P15" i="43"/>
  <c r="D15" i="43" s="1"/>
  <c r="T23" i="43"/>
  <c r="E23" i="43" s="1"/>
  <c r="P23" i="43"/>
  <c r="D23" i="43" s="1"/>
  <c r="T26" i="43"/>
  <c r="E26" i="43" s="1"/>
  <c r="P26" i="43"/>
  <c r="D26" i="43" s="1"/>
  <c r="T30" i="43"/>
  <c r="E30" i="43" s="1"/>
  <c r="P30" i="43"/>
  <c r="D30" i="43" s="1"/>
  <c r="T38" i="43"/>
  <c r="E38" i="43" s="1"/>
  <c r="P38" i="43"/>
  <c r="D38" i="43" s="1"/>
  <c r="T18" i="43"/>
  <c r="E18" i="43" s="1"/>
  <c r="P18" i="43"/>
  <c r="D18" i="43" s="1"/>
  <c r="P55" i="43"/>
  <c r="D55" i="43" s="1"/>
  <c r="B11" i="45" s="1"/>
  <c r="T55" i="43"/>
  <c r="E55" i="43" s="1"/>
  <c r="C11" i="45" s="1"/>
  <c r="T17" i="43"/>
  <c r="E17" i="43" s="1"/>
  <c r="P17" i="43"/>
  <c r="D17" i="43" s="1"/>
  <c r="T25" i="43"/>
  <c r="E25" i="43" s="1"/>
  <c r="P25" i="43"/>
  <c r="D25" i="43" s="1"/>
  <c r="T10" i="43"/>
  <c r="E10" i="43" s="1"/>
  <c r="C20" i="44" s="1"/>
  <c r="C21" i="44" s="1"/>
  <c r="P10" i="43"/>
  <c r="D10" i="43" s="1"/>
  <c r="B20" i="44" s="1"/>
  <c r="B21" i="44" s="1"/>
  <c r="T13" i="43"/>
  <c r="E13" i="43" s="1"/>
  <c r="P13" i="43"/>
  <c r="D13" i="43" s="1"/>
  <c r="T52" i="43"/>
  <c r="E52" i="43" s="1"/>
  <c r="P52" i="43"/>
  <c r="D52" i="43" s="1"/>
  <c r="P50" i="43"/>
  <c r="D50" i="43" s="1"/>
  <c r="T50" i="43"/>
  <c r="E50" i="43" s="1"/>
  <c r="C6" i="32" l="1"/>
  <c r="D5" i="34"/>
  <c r="J11" i="8"/>
  <c r="J10" i="8"/>
  <c r="J9" i="8"/>
  <c r="J8" i="8"/>
  <c r="D53" i="8"/>
  <c r="H9" i="8" s="1"/>
  <c r="E53" i="8"/>
  <c r="H10" i="8" s="1"/>
  <c r="F53" i="8"/>
  <c r="C53" i="8"/>
  <c r="H8" i="8" s="1"/>
  <c r="J11" i="13"/>
  <c r="J10" i="13"/>
  <c r="J9" i="13"/>
  <c r="J8" i="13"/>
  <c r="P50" i="31" s="1"/>
  <c r="J8" i="6"/>
  <c r="D6" i="34"/>
  <c r="D7" i="34"/>
  <c r="J11" i="1"/>
  <c r="J10" i="1"/>
  <c r="J9" i="1"/>
  <c r="J8" i="1"/>
  <c r="P39" i="31"/>
  <c r="P40" i="31"/>
  <c r="P41" i="31"/>
  <c r="P27" i="31"/>
  <c r="J17" i="9"/>
  <c r="J16" i="9"/>
  <c r="J15" i="9"/>
  <c r="J14" i="9"/>
  <c r="J12" i="9"/>
  <c r="P29" i="31" s="1"/>
  <c r="J11" i="9"/>
  <c r="P28" i="31" s="1"/>
  <c r="J10" i="9"/>
  <c r="J9" i="9"/>
  <c r="J8" i="28"/>
  <c r="J8" i="27"/>
  <c r="J8" i="29"/>
  <c r="P58" i="31" s="1"/>
  <c r="P50" i="32" s="1"/>
  <c r="D8" i="34"/>
  <c r="P51" i="31"/>
  <c r="P43" i="32" s="1"/>
  <c r="P52" i="31"/>
  <c r="P53" i="31"/>
  <c r="B64" i="13"/>
  <c r="N16" i="28"/>
  <c r="O16" i="28" s="1"/>
  <c r="P10" i="31"/>
  <c r="P10" i="32" s="1"/>
  <c r="D9" i="9"/>
  <c r="B62" i="13"/>
  <c r="D60" i="13"/>
  <c r="D61" i="13" s="1"/>
  <c r="D63" i="13" s="1"/>
  <c r="E60" i="13"/>
  <c r="E61" i="13"/>
  <c r="E63" i="13" s="1"/>
  <c r="F60" i="13"/>
  <c r="F61" i="13" s="1"/>
  <c r="F63" i="13" s="1"/>
  <c r="C60" i="13"/>
  <c r="C62" i="13" s="1"/>
  <c r="C58" i="11"/>
  <c r="C57" i="11"/>
  <c r="C54" i="11"/>
  <c r="C48" i="6"/>
  <c r="D48" i="6"/>
  <c r="E48" i="6"/>
  <c r="F48" i="6"/>
  <c r="C49" i="6"/>
  <c r="D49" i="6"/>
  <c r="E49" i="6"/>
  <c r="F49" i="6"/>
  <c r="C51" i="6"/>
  <c r="D51" i="6"/>
  <c r="E51" i="6"/>
  <c r="F51" i="6"/>
  <c r="C52" i="6"/>
  <c r="D52" i="6"/>
  <c r="E52" i="6"/>
  <c r="F52" i="6"/>
  <c r="C48" i="1"/>
  <c r="C49" i="1"/>
  <c r="C99" i="11"/>
  <c r="C96" i="11"/>
  <c r="C50" i="8"/>
  <c r="C49" i="8"/>
  <c r="D50" i="8"/>
  <c r="E50" i="8"/>
  <c r="F50" i="8"/>
  <c r="D8" i="13"/>
  <c r="D45" i="5"/>
  <c r="E45" i="5" s="1"/>
  <c r="F45" i="5" s="1"/>
  <c r="F43" i="5" s="1"/>
  <c r="J44" i="5"/>
  <c r="I44" i="5"/>
  <c r="H44" i="5"/>
  <c r="G44" i="5"/>
  <c r="F44" i="5"/>
  <c r="E44" i="5"/>
  <c r="E43" i="5" s="1"/>
  <c r="E51" i="5" s="1"/>
  <c r="G10" i="5" s="1"/>
  <c r="D44" i="5"/>
  <c r="C44" i="5"/>
  <c r="J43" i="5"/>
  <c r="I43" i="5"/>
  <c r="H43" i="5"/>
  <c r="G43" i="5"/>
  <c r="D43" i="5"/>
  <c r="C43" i="5"/>
  <c r="D39" i="5"/>
  <c r="E39" i="5" s="1"/>
  <c r="F39" i="5" s="1"/>
  <c r="D49" i="8"/>
  <c r="E49" i="8"/>
  <c r="F49" i="8"/>
  <c r="S38" i="32"/>
  <c r="T38" i="32"/>
  <c r="U38" i="32"/>
  <c r="V38" i="32"/>
  <c r="S39" i="32"/>
  <c r="T39" i="32"/>
  <c r="U39" i="32"/>
  <c r="V39" i="32"/>
  <c r="S40" i="32"/>
  <c r="T40" i="32"/>
  <c r="U40" i="32"/>
  <c r="V40" i="32"/>
  <c r="S41" i="32"/>
  <c r="T41" i="32"/>
  <c r="U41" i="32"/>
  <c r="V41" i="32"/>
  <c r="R39" i="32"/>
  <c r="R40" i="32"/>
  <c r="R41" i="32"/>
  <c r="R38" i="32"/>
  <c r="H39" i="32"/>
  <c r="S34" i="32"/>
  <c r="T34" i="32"/>
  <c r="U34" i="32"/>
  <c r="V34" i="32"/>
  <c r="S35" i="32"/>
  <c r="T35" i="32"/>
  <c r="U35" i="32"/>
  <c r="V35" i="32"/>
  <c r="S36" i="32"/>
  <c r="T36" i="32"/>
  <c r="U36" i="32"/>
  <c r="V36" i="32"/>
  <c r="S37" i="32"/>
  <c r="T37" i="32"/>
  <c r="U37" i="32"/>
  <c r="V37" i="32"/>
  <c r="R35" i="32"/>
  <c r="R36" i="32"/>
  <c r="R37" i="32"/>
  <c r="R34" i="32"/>
  <c r="V30" i="32"/>
  <c r="V31" i="32"/>
  <c r="V32" i="32"/>
  <c r="V33" i="32"/>
  <c r="K35" i="32"/>
  <c r="AD97" i="11"/>
  <c r="AC97" i="11"/>
  <c r="AB97" i="11"/>
  <c r="AA97" i="11"/>
  <c r="AD96" i="11"/>
  <c r="AC96" i="11"/>
  <c r="AD16" i="11" s="1"/>
  <c r="L40" i="32" s="1"/>
  <c r="AB96" i="11"/>
  <c r="AA96" i="11"/>
  <c r="AD14" i="11" s="1"/>
  <c r="L38" i="32" s="1"/>
  <c r="AH92" i="11"/>
  <c r="AG92" i="11"/>
  <c r="AF92" i="11"/>
  <c r="AE92" i="11"/>
  <c r="AD92" i="11"/>
  <c r="AD100" i="11" s="1"/>
  <c r="AF17" i="11" s="1"/>
  <c r="N41" i="32" s="1"/>
  <c r="AC92" i="11"/>
  <c r="AC100" i="11" s="1"/>
  <c r="AF16" i="11" s="1"/>
  <c r="N40" i="32" s="1"/>
  <c r="AB92" i="11"/>
  <c r="AB100" i="11"/>
  <c r="AF15" i="11" s="1"/>
  <c r="N39" i="32" s="1"/>
  <c r="AA92" i="11"/>
  <c r="AA100" i="11" s="1"/>
  <c r="AF14" i="11" s="1"/>
  <c r="N38" i="32" s="1"/>
  <c r="AH89" i="11"/>
  <c r="AG89" i="11"/>
  <c r="AF89" i="11"/>
  <c r="AE89" i="11"/>
  <c r="AD89" i="11"/>
  <c r="AD99" i="11" s="1"/>
  <c r="AE17" i="11" s="1"/>
  <c r="M41" i="32" s="1"/>
  <c r="AC89" i="11"/>
  <c r="AC99" i="11" s="1"/>
  <c r="AE16" i="11" s="1"/>
  <c r="M40" i="32" s="1"/>
  <c r="AB89" i="11"/>
  <c r="AB99" i="11" s="1"/>
  <c r="AE15" i="11" s="1"/>
  <c r="M39" i="32" s="1"/>
  <c r="AA89" i="11"/>
  <c r="AA99" i="11" s="1"/>
  <c r="AE14" i="11" s="1"/>
  <c r="M38" i="32" s="1"/>
  <c r="AD55" i="11"/>
  <c r="AC55" i="11"/>
  <c r="AB55" i="11"/>
  <c r="AA55" i="11"/>
  <c r="AD54" i="11"/>
  <c r="AD12" i="11" s="1"/>
  <c r="AC54" i="11"/>
  <c r="AD11" i="11" s="1"/>
  <c r="L32" i="32" s="1"/>
  <c r="J30" i="38" s="1"/>
  <c r="L30" i="38" s="1"/>
  <c r="AB54" i="11"/>
  <c r="AD10" i="11" s="1"/>
  <c r="AA54" i="11"/>
  <c r="AD9" i="11" s="1"/>
  <c r="L30" i="32" s="1"/>
  <c r="J28" i="38" s="1"/>
  <c r="L28" i="38" s="1"/>
  <c r="AH50" i="11"/>
  <c r="AG50" i="11"/>
  <c r="AF50" i="11"/>
  <c r="AE50" i="11"/>
  <c r="AD50" i="11"/>
  <c r="AD58" i="11" s="1"/>
  <c r="AF12" i="11" s="1"/>
  <c r="AC50" i="11"/>
  <c r="AC58" i="11" s="1"/>
  <c r="AF11" i="11" s="1"/>
  <c r="N32" i="32" s="1"/>
  <c r="AB50" i="11"/>
  <c r="AB58" i="11"/>
  <c r="AF10" i="11"/>
  <c r="AA50" i="11"/>
  <c r="AA58" i="11" s="1"/>
  <c r="AF9" i="11" s="1"/>
  <c r="AH47" i="11"/>
  <c r="AG47" i="11"/>
  <c r="AF47" i="11"/>
  <c r="AE47" i="11"/>
  <c r="AD47" i="11"/>
  <c r="AD57" i="11" s="1"/>
  <c r="AE12" i="11" s="1"/>
  <c r="M33" i="32" s="1"/>
  <c r="M31" i="38" s="1"/>
  <c r="O31" i="38" s="1"/>
  <c r="AC47" i="11"/>
  <c r="AC57" i="11" s="1"/>
  <c r="AE11" i="11" s="1"/>
  <c r="M32" i="32" s="1"/>
  <c r="M30" i="38" s="1"/>
  <c r="O30" i="38" s="1"/>
  <c r="AB47" i="11"/>
  <c r="AB57" i="11"/>
  <c r="AE10" i="11" s="1"/>
  <c r="M31" i="32" s="1"/>
  <c r="M29" i="38" s="1"/>
  <c r="O29" i="38" s="1"/>
  <c r="AA47" i="11"/>
  <c r="AA57" i="11" s="1"/>
  <c r="AE9" i="11" s="1"/>
  <c r="AH17" i="11"/>
  <c r="AD17" i="11"/>
  <c r="L41" i="32" s="1"/>
  <c r="AC17" i="11"/>
  <c r="K41" i="32" s="1"/>
  <c r="AB17" i="11"/>
  <c r="Z17" i="11"/>
  <c r="H41" i="32" s="1"/>
  <c r="AH16" i="11"/>
  <c r="AC16" i="11"/>
  <c r="K40" i="32" s="1"/>
  <c r="AB16" i="11"/>
  <c r="Z16" i="11"/>
  <c r="H40" i="32" s="1"/>
  <c r="AH15" i="11"/>
  <c r="AD15" i="11"/>
  <c r="L39" i="32" s="1"/>
  <c r="AC15" i="11"/>
  <c r="K39" i="32" s="1"/>
  <c r="AB15" i="11"/>
  <c r="Z15" i="11"/>
  <c r="AH14" i="11"/>
  <c r="AC14" i="11"/>
  <c r="K38" i="32" s="1"/>
  <c r="AB14" i="11"/>
  <c r="AA14" i="11"/>
  <c r="Z14" i="11"/>
  <c r="AC12" i="11"/>
  <c r="AB12" i="11"/>
  <c r="Z12" i="11"/>
  <c r="AC11" i="11"/>
  <c r="AB11" i="11"/>
  <c r="Z11" i="11"/>
  <c r="AC10" i="11"/>
  <c r="AB10" i="11"/>
  <c r="Z10" i="11"/>
  <c r="AC9" i="11"/>
  <c r="AB9" i="11"/>
  <c r="Z9" i="11"/>
  <c r="AA9" i="11" s="1"/>
  <c r="AA97" i="10"/>
  <c r="AB97" i="10"/>
  <c r="AC97" i="10"/>
  <c r="AD97" i="10"/>
  <c r="AD96" i="10"/>
  <c r="AD17" i="10" s="1"/>
  <c r="L37" i="32" s="1"/>
  <c r="AC96" i="10"/>
  <c r="AD16" i="10" s="1"/>
  <c r="L36" i="32" s="1"/>
  <c r="AB96" i="10"/>
  <c r="AD15" i="10" s="1"/>
  <c r="L35" i="32" s="1"/>
  <c r="AA96" i="10"/>
  <c r="AD14" i="10"/>
  <c r="L34" i="32" s="1"/>
  <c r="AA55" i="10"/>
  <c r="AB55" i="10"/>
  <c r="AC55" i="10"/>
  <c r="AD55" i="10"/>
  <c r="AD54" i="10"/>
  <c r="AD12" i="10" s="1"/>
  <c r="L29" i="32" s="1"/>
  <c r="J27" i="38" s="1"/>
  <c r="L27" i="38" s="1"/>
  <c r="AC54" i="10"/>
  <c r="AB54" i="10"/>
  <c r="AD10" i="10" s="1"/>
  <c r="L27" i="32" s="1"/>
  <c r="AA54" i="10"/>
  <c r="AD9" i="10" s="1"/>
  <c r="L26" i="32" s="1"/>
  <c r="J24" i="38" s="1"/>
  <c r="L24" i="38" s="1"/>
  <c r="AH93" i="10"/>
  <c r="AG93" i="10"/>
  <c r="AF93" i="10"/>
  <c r="AE93" i="10"/>
  <c r="AD93" i="10"/>
  <c r="AD100" i="10"/>
  <c r="AF17" i="10" s="1"/>
  <c r="N37" i="32" s="1"/>
  <c r="AC93" i="10"/>
  <c r="AC100" i="10" s="1"/>
  <c r="AF16" i="10"/>
  <c r="N36" i="32" s="1"/>
  <c r="AB93" i="10"/>
  <c r="AB100" i="10"/>
  <c r="AF15" i="10" s="1"/>
  <c r="N35" i="32" s="1"/>
  <c r="AA93" i="10"/>
  <c r="AA100" i="10" s="1"/>
  <c r="AF14" i="10" s="1"/>
  <c r="N34" i="32" s="1"/>
  <c r="AH90" i="10"/>
  <c r="AG90" i="10"/>
  <c r="AF90" i="10"/>
  <c r="AE90" i="10"/>
  <c r="AD90" i="10"/>
  <c r="AD99" i="10" s="1"/>
  <c r="AE17" i="10" s="1"/>
  <c r="M37" i="32" s="1"/>
  <c r="AC90" i="10"/>
  <c r="AC99" i="10"/>
  <c r="AE16" i="10" s="1"/>
  <c r="M36" i="32" s="1"/>
  <c r="AB90" i="10"/>
  <c r="AB99" i="10" s="1"/>
  <c r="AE15" i="10"/>
  <c r="M35" i="32" s="1"/>
  <c r="AA90" i="10"/>
  <c r="AA99" i="10"/>
  <c r="AE14" i="10" s="1"/>
  <c r="M34" i="32" s="1"/>
  <c r="AH51" i="10"/>
  <c r="AG51" i="10"/>
  <c r="AF51" i="10"/>
  <c r="AE51" i="10"/>
  <c r="AD51" i="10"/>
  <c r="AD58" i="10"/>
  <c r="AF12" i="10" s="1"/>
  <c r="N29" i="32" s="1"/>
  <c r="P27" i="38" s="1"/>
  <c r="R27" i="38" s="1"/>
  <c r="AC51" i="10"/>
  <c r="AC58" i="10"/>
  <c r="AF11" i="10" s="1"/>
  <c r="N28" i="32" s="1"/>
  <c r="P26" i="38" s="1"/>
  <c r="R26" i="38" s="1"/>
  <c r="AB51" i="10"/>
  <c r="AB58" i="10"/>
  <c r="AF10" i="10"/>
  <c r="N27" i="32" s="1"/>
  <c r="P25" i="38" s="1"/>
  <c r="R25" i="38" s="1"/>
  <c r="AA51" i="10"/>
  <c r="AA58" i="10"/>
  <c r="AF9" i="10" s="1"/>
  <c r="N26" i="32" s="1"/>
  <c r="P24" i="38" s="1"/>
  <c r="R24" i="38" s="1"/>
  <c r="AH48" i="10"/>
  <c r="AG48" i="10"/>
  <c r="AF48" i="10"/>
  <c r="AE48" i="10"/>
  <c r="AD48" i="10"/>
  <c r="AD57" i="10"/>
  <c r="AE12" i="10" s="1"/>
  <c r="M29" i="32" s="1"/>
  <c r="M27" i="38" s="1"/>
  <c r="O27" i="38" s="1"/>
  <c r="AC48" i="10"/>
  <c r="AC57" i="10"/>
  <c r="AE11" i="10"/>
  <c r="M28" i="32" s="1"/>
  <c r="M26" i="38" s="1"/>
  <c r="O26" i="38" s="1"/>
  <c r="AB48" i="10"/>
  <c r="AB57" i="10"/>
  <c r="AE10" i="10" s="1"/>
  <c r="M27" i="32" s="1"/>
  <c r="M25" i="38" s="1"/>
  <c r="O25" i="38" s="1"/>
  <c r="AA48" i="10"/>
  <c r="AA57" i="10"/>
  <c r="AE9" i="10"/>
  <c r="M26" i="32" s="1"/>
  <c r="M24" i="38" s="1"/>
  <c r="O24" i="38" s="1"/>
  <c r="AH17" i="10"/>
  <c r="AC17" i="10"/>
  <c r="K37" i="32" s="1"/>
  <c r="AB17" i="10"/>
  <c r="AA34" i="32"/>
  <c r="Z17" i="10"/>
  <c r="H37" i="32" s="1"/>
  <c r="AH16" i="10"/>
  <c r="AC16" i="10"/>
  <c r="K36" i="32" s="1"/>
  <c r="AB16" i="10"/>
  <c r="Z16" i="10"/>
  <c r="H36" i="32" s="1"/>
  <c r="AH15" i="10"/>
  <c r="AC15" i="10"/>
  <c r="AB15" i="10"/>
  <c r="Z15" i="10"/>
  <c r="H35" i="32" s="1"/>
  <c r="AH14" i="10"/>
  <c r="AC14" i="10"/>
  <c r="K34" i="32" s="1"/>
  <c r="AB14" i="10"/>
  <c r="Z14" i="10"/>
  <c r="AA14" i="10"/>
  <c r="AH12" i="10"/>
  <c r="AC12" i="10"/>
  <c r="AB12" i="10"/>
  <c r="Z12" i="10"/>
  <c r="H29" i="32" s="1"/>
  <c r="AH11" i="10"/>
  <c r="AD11" i="10"/>
  <c r="AC11" i="10"/>
  <c r="K28" i="32"/>
  <c r="AB11" i="10"/>
  <c r="Z11" i="10"/>
  <c r="H28" i="32" s="1"/>
  <c r="AH10" i="10"/>
  <c r="AC10" i="10"/>
  <c r="K27" i="32" s="1"/>
  <c r="AB10" i="10"/>
  <c r="Z10" i="10"/>
  <c r="AH9" i="10"/>
  <c r="AC9" i="10"/>
  <c r="K26" i="32"/>
  <c r="G24" i="38" s="1"/>
  <c r="G25" i="38" s="1"/>
  <c r="AB9" i="10"/>
  <c r="Z9" i="10"/>
  <c r="AA9" i="10" s="1"/>
  <c r="K30" i="32"/>
  <c r="K31" i="32"/>
  <c r="K32" i="32"/>
  <c r="K33" i="32"/>
  <c r="K29" i="32"/>
  <c r="L28" i="32"/>
  <c r="J26" i="38" s="1"/>
  <c r="L26" i="38" s="1"/>
  <c r="R26" i="32"/>
  <c r="S26" i="32"/>
  <c r="T26" i="32"/>
  <c r="U26" i="32"/>
  <c r="V26" i="32"/>
  <c r="R27" i="32"/>
  <c r="S27" i="32"/>
  <c r="T27" i="32"/>
  <c r="U27" i="32"/>
  <c r="V27" i="32"/>
  <c r="R28" i="32"/>
  <c r="S28" i="32"/>
  <c r="T28" i="32"/>
  <c r="U28" i="32"/>
  <c r="V28" i="32"/>
  <c r="R29" i="32"/>
  <c r="S29" i="32"/>
  <c r="T29" i="32"/>
  <c r="U29" i="32"/>
  <c r="V29" i="32"/>
  <c r="H27" i="32"/>
  <c r="C25" i="38" s="1"/>
  <c r="C26" i="32"/>
  <c r="AA41" i="32"/>
  <c r="Z41" i="32"/>
  <c r="AA40" i="32"/>
  <c r="Z40" i="32"/>
  <c r="AA39" i="32"/>
  <c r="Z39" i="32"/>
  <c r="AA38" i="32"/>
  <c r="Z38" i="32"/>
  <c r="AA37" i="32"/>
  <c r="Z37" i="32"/>
  <c r="AA36" i="32"/>
  <c r="Z36" i="32"/>
  <c r="AA35" i="32"/>
  <c r="Z35" i="32"/>
  <c r="Z34" i="32"/>
  <c r="D17" i="11"/>
  <c r="D16" i="11"/>
  <c r="D15" i="11"/>
  <c r="D14" i="11"/>
  <c r="F89" i="9"/>
  <c r="E89" i="9"/>
  <c r="D89" i="9"/>
  <c r="C89" i="9"/>
  <c r="F16" i="9"/>
  <c r="L40" i="31" s="1"/>
  <c r="F15" i="9"/>
  <c r="L39" i="31" s="1"/>
  <c r="D16" i="9"/>
  <c r="D15" i="9"/>
  <c r="D14" i="9"/>
  <c r="R46" i="31"/>
  <c r="S46" i="31"/>
  <c r="T46" i="31"/>
  <c r="U46" i="31"/>
  <c r="V46" i="31"/>
  <c r="R48" i="31"/>
  <c r="S48" i="31"/>
  <c r="T48" i="31"/>
  <c r="U48" i="31"/>
  <c r="V48" i="31"/>
  <c r="R49" i="31"/>
  <c r="S49" i="31"/>
  <c r="T49" i="31"/>
  <c r="U49" i="31"/>
  <c r="V49" i="31"/>
  <c r="V47" i="31"/>
  <c r="U47" i="31"/>
  <c r="T47" i="31"/>
  <c r="S47" i="31"/>
  <c r="R47" i="31"/>
  <c r="R42" i="31"/>
  <c r="S42" i="31"/>
  <c r="T42" i="31"/>
  <c r="U42" i="31"/>
  <c r="V42" i="31"/>
  <c r="R44" i="31"/>
  <c r="S44" i="31"/>
  <c r="T44" i="31"/>
  <c r="U44" i="31"/>
  <c r="V44" i="31"/>
  <c r="R45" i="31"/>
  <c r="S45" i="31"/>
  <c r="T45" i="31"/>
  <c r="U45" i="31"/>
  <c r="V45" i="31"/>
  <c r="V43" i="31"/>
  <c r="U43" i="31"/>
  <c r="T43" i="31"/>
  <c r="S43" i="31"/>
  <c r="R43" i="31"/>
  <c r="R40" i="31"/>
  <c r="S40" i="31"/>
  <c r="T40" i="31"/>
  <c r="U40" i="31"/>
  <c r="V40" i="31"/>
  <c r="R41" i="31"/>
  <c r="S41" i="31"/>
  <c r="T41" i="31"/>
  <c r="U41" i="31"/>
  <c r="V41" i="31"/>
  <c r="R38" i="31"/>
  <c r="S38" i="31"/>
  <c r="T38" i="31"/>
  <c r="U38" i="31"/>
  <c r="V38" i="31"/>
  <c r="V39" i="31"/>
  <c r="U39" i="31"/>
  <c r="T39" i="31"/>
  <c r="S39" i="31"/>
  <c r="R39" i="31"/>
  <c r="R32" i="31"/>
  <c r="S32" i="31"/>
  <c r="T32" i="31"/>
  <c r="U32" i="31"/>
  <c r="V32" i="31"/>
  <c r="R33" i="31"/>
  <c r="S33" i="31"/>
  <c r="T33" i="31"/>
  <c r="U33" i="31"/>
  <c r="V33" i="31"/>
  <c r="R30" i="31"/>
  <c r="S30" i="31"/>
  <c r="T30" i="31"/>
  <c r="U30" i="31"/>
  <c r="V30" i="31"/>
  <c r="V31" i="31"/>
  <c r="U31" i="31"/>
  <c r="T31" i="31"/>
  <c r="S31" i="31"/>
  <c r="R31" i="31"/>
  <c r="B17" i="11"/>
  <c r="H49" i="31" s="1"/>
  <c r="B16" i="11"/>
  <c r="H48" i="31" s="1"/>
  <c r="B15" i="11"/>
  <c r="H47" i="31"/>
  <c r="B14" i="11"/>
  <c r="C14" i="11"/>
  <c r="E17" i="11"/>
  <c r="K49" i="31" s="1"/>
  <c r="E16" i="11"/>
  <c r="K48" i="31" s="1"/>
  <c r="E15" i="11"/>
  <c r="K47" i="31"/>
  <c r="E14" i="11"/>
  <c r="K46" i="31"/>
  <c r="J17" i="11"/>
  <c r="J16" i="11"/>
  <c r="J15" i="11"/>
  <c r="J14" i="11"/>
  <c r="P46" i="31"/>
  <c r="P38" i="32" s="1"/>
  <c r="D14" i="10"/>
  <c r="D9" i="10"/>
  <c r="F96" i="10"/>
  <c r="F17" i="10" s="1"/>
  <c r="L45" i="31" s="1"/>
  <c r="E96" i="10"/>
  <c r="F16" i="10" s="1"/>
  <c r="L44" i="31" s="1"/>
  <c r="D96" i="10"/>
  <c r="F15" i="10" s="1"/>
  <c r="L43" i="31" s="1"/>
  <c r="C96" i="10"/>
  <c r="F14" i="10" s="1"/>
  <c r="L42" i="31" s="1"/>
  <c r="G14" i="11"/>
  <c r="M46" i="31" s="1"/>
  <c r="F96" i="11"/>
  <c r="F17" i="11" s="1"/>
  <c r="L49" i="31" s="1"/>
  <c r="E96" i="11"/>
  <c r="F16" i="11" s="1"/>
  <c r="L48" i="31" s="1"/>
  <c r="D96" i="11"/>
  <c r="F15" i="11"/>
  <c r="L47" i="31" s="1"/>
  <c r="F14" i="11"/>
  <c r="L46" i="31"/>
  <c r="F100" i="11"/>
  <c r="H17" i="11" s="1"/>
  <c r="N49" i="31" s="1"/>
  <c r="E100" i="11"/>
  <c r="H16" i="11" s="1"/>
  <c r="N48" i="31" s="1"/>
  <c r="D100" i="11"/>
  <c r="H15" i="11" s="1"/>
  <c r="N47" i="31" s="1"/>
  <c r="C100" i="11"/>
  <c r="H14" i="11" s="1"/>
  <c r="N46" i="31" s="1"/>
  <c r="F97" i="11"/>
  <c r="E97" i="11"/>
  <c r="D97" i="11"/>
  <c r="C97" i="11"/>
  <c r="F99" i="11"/>
  <c r="G17" i="11" s="1"/>
  <c r="M49" i="31" s="1"/>
  <c r="E99" i="11"/>
  <c r="G16" i="11" s="1"/>
  <c r="M48" i="31" s="1"/>
  <c r="D99" i="11"/>
  <c r="G15" i="11" s="1"/>
  <c r="M47" i="31" s="1"/>
  <c r="J14" i="10"/>
  <c r="P42" i="31" s="1"/>
  <c r="P34" i="32" s="1"/>
  <c r="J9" i="10"/>
  <c r="P30" i="31" s="1"/>
  <c r="P26" i="32" s="1"/>
  <c r="D17" i="10"/>
  <c r="D16" i="10"/>
  <c r="D15" i="10"/>
  <c r="D12" i="10"/>
  <c r="D11" i="10"/>
  <c r="D10" i="10"/>
  <c r="F100" i="10"/>
  <c r="H17" i="10" s="1"/>
  <c r="N45" i="31" s="1"/>
  <c r="E100" i="10"/>
  <c r="H16" i="10" s="1"/>
  <c r="N44" i="31" s="1"/>
  <c r="D100" i="10"/>
  <c r="H15" i="10" s="1"/>
  <c r="N43" i="31" s="1"/>
  <c r="C100" i="10"/>
  <c r="H14" i="10" s="1"/>
  <c r="N42" i="31" s="1"/>
  <c r="F97" i="10"/>
  <c r="E97" i="10"/>
  <c r="D97" i="10"/>
  <c r="C97" i="10"/>
  <c r="F99" i="10"/>
  <c r="G17" i="10" s="1"/>
  <c r="M45" i="31" s="1"/>
  <c r="E99" i="10"/>
  <c r="G16" i="10" s="1"/>
  <c r="M44" i="31" s="1"/>
  <c r="D99" i="10"/>
  <c r="G15" i="10" s="1"/>
  <c r="M43" i="31" s="1"/>
  <c r="C99" i="10"/>
  <c r="G14" i="10"/>
  <c r="M42" i="31" s="1"/>
  <c r="C55" i="10"/>
  <c r="C54" i="10"/>
  <c r="F9" i="10" s="1"/>
  <c r="L30" i="31" s="1"/>
  <c r="J24" i="37" s="1"/>
  <c r="L24" i="37" s="1"/>
  <c r="F58" i="10"/>
  <c r="H12" i="10" s="1"/>
  <c r="N33" i="31" s="1"/>
  <c r="P27" i="37" s="1"/>
  <c r="R27" i="37" s="1"/>
  <c r="E58" i="10"/>
  <c r="H11" i="10" s="1"/>
  <c r="N32" i="31" s="1"/>
  <c r="P26" i="37" s="1"/>
  <c r="R26" i="37" s="1"/>
  <c r="D58" i="10"/>
  <c r="H10" i="10" s="1"/>
  <c r="N31" i="31" s="1"/>
  <c r="C58" i="10"/>
  <c r="H9" i="10" s="1"/>
  <c r="N30" i="31" s="1"/>
  <c r="P24" i="37" s="1"/>
  <c r="R24" i="37" s="1"/>
  <c r="D57" i="10"/>
  <c r="G10" i="10" s="1"/>
  <c r="M31" i="31" s="1"/>
  <c r="M25" i="37" s="1"/>
  <c r="O25" i="37" s="1"/>
  <c r="C57" i="10"/>
  <c r="D54" i="10"/>
  <c r="F10" i="10" s="1"/>
  <c r="L31" i="31" s="1"/>
  <c r="J25" i="37" s="1"/>
  <c r="L25" i="37" s="1"/>
  <c r="E54" i="10"/>
  <c r="F11" i="10" s="1"/>
  <c r="L32" i="31" s="1"/>
  <c r="F54" i="10"/>
  <c r="F12" i="10" s="1"/>
  <c r="L33" i="31" s="1"/>
  <c r="D55" i="10"/>
  <c r="E55" i="10"/>
  <c r="F55" i="10"/>
  <c r="F57" i="10"/>
  <c r="G12" i="10"/>
  <c r="M33" i="31" s="1"/>
  <c r="M27" i="37" s="1"/>
  <c r="O27" i="37" s="1"/>
  <c r="E57" i="10"/>
  <c r="G11" i="10" s="1"/>
  <c r="M32" i="31" s="1"/>
  <c r="C50" i="9"/>
  <c r="F9" i="9" s="1"/>
  <c r="L26" i="31" s="1"/>
  <c r="F14" i="9"/>
  <c r="L38" i="31" s="1"/>
  <c r="J17" i="10"/>
  <c r="E17" i="10"/>
  <c r="K45" i="31" s="1"/>
  <c r="B17" i="10"/>
  <c r="H45" i="31"/>
  <c r="J16" i="10"/>
  <c r="E16" i="10"/>
  <c r="K44" i="31" s="1"/>
  <c r="B16" i="10"/>
  <c r="H44" i="31" s="1"/>
  <c r="J15" i="10"/>
  <c r="E15" i="10"/>
  <c r="K43" i="31" s="1"/>
  <c r="B15" i="10"/>
  <c r="H43" i="31"/>
  <c r="E14" i="10"/>
  <c r="K42" i="31" s="1"/>
  <c r="B14" i="10"/>
  <c r="C14" i="10" s="1"/>
  <c r="J12" i="10"/>
  <c r="E12" i="10"/>
  <c r="K33" i="31"/>
  <c r="B12" i="10"/>
  <c r="H33" i="31" s="1"/>
  <c r="J11" i="10"/>
  <c r="E11" i="10"/>
  <c r="K32" i="31" s="1"/>
  <c r="B11" i="10"/>
  <c r="H32" i="31" s="1"/>
  <c r="J10" i="10"/>
  <c r="E10" i="10"/>
  <c r="K31" i="31" s="1"/>
  <c r="B10" i="10"/>
  <c r="H31" i="31" s="1"/>
  <c r="E9" i="10"/>
  <c r="K30" i="31" s="1"/>
  <c r="G24" i="37" s="1"/>
  <c r="I24" i="37" s="1"/>
  <c r="B9" i="10"/>
  <c r="C9" i="10" s="1"/>
  <c r="P38" i="31"/>
  <c r="B17" i="9"/>
  <c r="H41" i="31" s="1"/>
  <c r="B16" i="9"/>
  <c r="H40" i="31"/>
  <c r="B15" i="9"/>
  <c r="H39" i="31" s="1"/>
  <c r="B14" i="9"/>
  <c r="C14" i="9"/>
  <c r="E14" i="9"/>
  <c r="K38" i="31" s="1"/>
  <c r="E17" i="9"/>
  <c r="K41" i="31"/>
  <c r="E16" i="9"/>
  <c r="K40" i="31" s="1"/>
  <c r="E15" i="9"/>
  <c r="K39" i="31"/>
  <c r="E9" i="9"/>
  <c r="K26" i="31" s="1"/>
  <c r="G20" i="37" s="1"/>
  <c r="F92" i="9"/>
  <c r="H17" i="9" s="1"/>
  <c r="N41" i="31" s="1"/>
  <c r="E92" i="9"/>
  <c r="H16" i="9" s="1"/>
  <c r="N40" i="31" s="1"/>
  <c r="D92" i="9"/>
  <c r="H15" i="9" s="1"/>
  <c r="N39" i="31" s="1"/>
  <c r="C92" i="9"/>
  <c r="H14" i="9" s="1"/>
  <c r="N38" i="31" s="1"/>
  <c r="F91" i="9"/>
  <c r="G17" i="9" s="1"/>
  <c r="M41" i="31" s="1"/>
  <c r="E91" i="9"/>
  <c r="G16" i="9" s="1"/>
  <c r="M40" i="31" s="1"/>
  <c r="D91" i="9"/>
  <c r="G15" i="9" s="1"/>
  <c r="M39" i="31" s="1"/>
  <c r="C91" i="9"/>
  <c r="G14" i="9" s="1"/>
  <c r="M38" i="31" s="1"/>
  <c r="L41" i="31"/>
  <c r="G9" i="10"/>
  <c r="M30" i="31" s="1"/>
  <c r="AA49" i="31"/>
  <c r="Z49" i="31"/>
  <c r="AA48" i="31"/>
  <c r="Z48" i="31"/>
  <c r="AA47" i="31"/>
  <c r="Z47" i="31"/>
  <c r="AA46" i="31"/>
  <c r="Z46" i="31"/>
  <c r="AA45" i="31"/>
  <c r="Z45" i="31"/>
  <c r="AA44" i="31"/>
  <c r="Z44" i="31"/>
  <c r="AA43" i="31"/>
  <c r="Z43" i="31"/>
  <c r="AA42" i="31"/>
  <c r="Z42" i="31"/>
  <c r="AA41" i="31"/>
  <c r="Z41" i="31"/>
  <c r="AA40" i="31"/>
  <c r="Z40" i="31"/>
  <c r="AA39" i="31"/>
  <c r="Z39" i="31"/>
  <c r="AA38" i="31"/>
  <c r="Z38" i="31"/>
  <c r="D11" i="1"/>
  <c r="D10" i="1"/>
  <c r="J12" i="31" s="1"/>
  <c r="D9" i="1"/>
  <c r="D8" i="1"/>
  <c r="AC11" i="1"/>
  <c r="AB11" i="1"/>
  <c r="Z11" i="1"/>
  <c r="AC10" i="1"/>
  <c r="AB10" i="1"/>
  <c r="Z10" i="1"/>
  <c r="AC9" i="1"/>
  <c r="AB9" i="1"/>
  <c r="Z9" i="1"/>
  <c r="AC8" i="1"/>
  <c r="AB8" i="1"/>
  <c r="Z8" i="1"/>
  <c r="AA8" i="1"/>
  <c r="J17" i="32"/>
  <c r="D15" i="38" s="1"/>
  <c r="F15" i="38" s="1"/>
  <c r="J16" i="32"/>
  <c r="D14" i="38" s="1"/>
  <c r="F14" i="38" s="1"/>
  <c r="J15" i="32"/>
  <c r="D13" i="38" s="1"/>
  <c r="F13" i="38" s="1"/>
  <c r="J14" i="32"/>
  <c r="D12" i="38" s="1"/>
  <c r="F12" i="38" s="1"/>
  <c r="J15" i="31"/>
  <c r="D13" i="37" s="1"/>
  <c r="F13" i="37" s="1"/>
  <c r="J16" i="31"/>
  <c r="D14" i="37" s="1"/>
  <c r="F14" i="37" s="1"/>
  <c r="J17" i="31"/>
  <c r="D15" i="37" s="1"/>
  <c r="F15" i="37" s="1"/>
  <c r="J14" i="31"/>
  <c r="D15" i="34"/>
  <c r="D16" i="34"/>
  <c r="P70" i="31"/>
  <c r="P34" i="31"/>
  <c r="P30" i="32" s="1"/>
  <c r="P14" i="31"/>
  <c r="P14" i="32" s="1"/>
  <c r="J11" i="24"/>
  <c r="J10" i="24"/>
  <c r="J9" i="24"/>
  <c r="J8" i="24"/>
  <c r="P58" i="32" s="1"/>
  <c r="J11" i="30"/>
  <c r="J10" i="30"/>
  <c r="J9" i="30"/>
  <c r="J8" i="30"/>
  <c r="P54" i="32" s="1"/>
  <c r="P18" i="31"/>
  <c r="P18" i="32" s="1"/>
  <c r="J11" i="14"/>
  <c r="J10" i="14"/>
  <c r="J9" i="14"/>
  <c r="J8" i="14"/>
  <c r="P22" i="31" s="1"/>
  <c r="J11" i="6"/>
  <c r="J10" i="6"/>
  <c r="J9" i="6"/>
  <c r="J11" i="5"/>
  <c r="J10" i="5"/>
  <c r="J9" i="5"/>
  <c r="J8" i="5"/>
  <c r="J11" i="4"/>
  <c r="J10" i="4"/>
  <c r="J9" i="4"/>
  <c r="J8" i="4"/>
  <c r="P6" i="31" s="1"/>
  <c r="P6" i="32" s="1"/>
  <c r="J11" i="27"/>
  <c r="J10" i="27"/>
  <c r="J9" i="27"/>
  <c r="J11" i="29"/>
  <c r="J10" i="29"/>
  <c r="J9" i="29"/>
  <c r="AH11" i="28"/>
  <c r="AH10" i="28"/>
  <c r="AH9" i="28"/>
  <c r="AH8" i="28"/>
  <c r="J11" i="28"/>
  <c r="J10" i="28"/>
  <c r="J9" i="28"/>
  <c r="P54" i="31"/>
  <c r="P46" i="32" s="1"/>
  <c r="P26" i="31"/>
  <c r="J45" i="32"/>
  <c r="D35" i="38" s="1"/>
  <c r="F35" i="38" s="1"/>
  <c r="J44" i="32"/>
  <c r="J43" i="32"/>
  <c r="D33" i="38" s="1"/>
  <c r="F33" i="38" s="1"/>
  <c r="J42" i="32"/>
  <c r="D32" i="38" s="1"/>
  <c r="F32" i="38" s="1"/>
  <c r="J50" i="31"/>
  <c r="J51" i="31" s="1"/>
  <c r="J52" i="31" s="1"/>
  <c r="J53" i="31" s="1"/>
  <c r="D35" i="37" s="1"/>
  <c r="F35" i="37" s="1"/>
  <c r="H82" i="32"/>
  <c r="C82" i="32"/>
  <c r="C78" i="32"/>
  <c r="O74" i="32"/>
  <c r="O78" i="32" s="1"/>
  <c r="O82" i="32" s="1"/>
  <c r="H74" i="32"/>
  <c r="O86" i="31"/>
  <c r="O82" i="31"/>
  <c r="O90" i="31" s="1"/>
  <c r="I82" i="31"/>
  <c r="H82" i="31"/>
  <c r="X11" i="5"/>
  <c r="D23" i="34"/>
  <c r="C18" i="31"/>
  <c r="H11" i="8"/>
  <c r="F52" i="8"/>
  <c r="G11" i="8" s="1"/>
  <c r="E52" i="8"/>
  <c r="G10" i="8" s="1"/>
  <c r="D52" i="8"/>
  <c r="G9" i="8" s="1"/>
  <c r="C52" i="8"/>
  <c r="G8" i="8" s="1"/>
  <c r="F11" i="8"/>
  <c r="L21" i="31" s="1"/>
  <c r="F10" i="8"/>
  <c r="L20" i="31" s="1"/>
  <c r="F8" i="8"/>
  <c r="L18" i="31"/>
  <c r="O11" i="8"/>
  <c r="V21" i="31" s="1"/>
  <c r="N11" i="8"/>
  <c r="U21" i="31" s="1"/>
  <c r="M11" i="8"/>
  <c r="T21" i="31"/>
  <c r="L11" i="8"/>
  <c r="S21" i="31"/>
  <c r="K11" i="8"/>
  <c r="R21" i="31" s="1"/>
  <c r="E11" i="8"/>
  <c r="K21" i="31" s="1"/>
  <c r="D11" i="8"/>
  <c r="J21" i="31" s="1"/>
  <c r="B11" i="8"/>
  <c r="H21" i="31"/>
  <c r="O10" i="8"/>
  <c r="V20" i="31" s="1"/>
  <c r="N10" i="8"/>
  <c r="U20" i="31" s="1"/>
  <c r="M10" i="8"/>
  <c r="T20" i="31" s="1"/>
  <c r="L10" i="8"/>
  <c r="S20" i="31"/>
  <c r="K10" i="8"/>
  <c r="R20" i="31" s="1"/>
  <c r="E10" i="8"/>
  <c r="K20" i="31" s="1"/>
  <c r="D10" i="8"/>
  <c r="J20" i="31" s="1"/>
  <c r="B10" i="8"/>
  <c r="H20" i="31"/>
  <c r="O9" i="8"/>
  <c r="V19" i="31" s="1"/>
  <c r="N9" i="8"/>
  <c r="U19" i="31" s="1"/>
  <c r="M9" i="8"/>
  <c r="T19" i="31" s="1"/>
  <c r="L9" i="8"/>
  <c r="S19" i="31"/>
  <c r="K9" i="8"/>
  <c r="R19" i="31" s="1"/>
  <c r="E9" i="8"/>
  <c r="K19" i="31" s="1"/>
  <c r="D9" i="8"/>
  <c r="J19" i="31" s="1"/>
  <c r="B9" i="8"/>
  <c r="H19" i="31"/>
  <c r="O8" i="8"/>
  <c r="V18" i="31" s="1"/>
  <c r="N8" i="8"/>
  <c r="U18" i="31" s="1"/>
  <c r="M8" i="8"/>
  <c r="T18" i="31" s="1"/>
  <c r="L8" i="8"/>
  <c r="S18" i="31"/>
  <c r="K8" i="8"/>
  <c r="R18" i="31" s="1"/>
  <c r="E8" i="8"/>
  <c r="K18" i="31" s="1"/>
  <c r="D8" i="8"/>
  <c r="J18" i="31" s="1"/>
  <c r="B8" i="8"/>
  <c r="C8" i="8"/>
  <c r="C90" i="31"/>
  <c r="C86" i="31"/>
  <c r="D24" i="34"/>
  <c r="D25" i="34"/>
  <c r="D26" i="34"/>
  <c r="AM55" i="1"/>
  <c r="AM56" i="1" s="1"/>
  <c r="O55" i="1"/>
  <c r="O54" i="1"/>
  <c r="F47" i="24"/>
  <c r="H11" i="24" s="1"/>
  <c r="N61" i="32" s="1"/>
  <c r="P51" i="38" s="1"/>
  <c r="R51" i="38" s="1"/>
  <c r="E47" i="24"/>
  <c r="D47" i="24"/>
  <c r="C47" i="24"/>
  <c r="F47" i="30"/>
  <c r="E47" i="30"/>
  <c r="H10" i="30" s="1"/>
  <c r="N56" i="32" s="1"/>
  <c r="P46" i="38" s="1"/>
  <c r="R46" i="38" s="1"/>
  <c r="D47" i="30"/>
  <c r="C47" i="30"/>
  <c r="AD56" i="13"/>
  <c r="AC56" i="13"/>
  <c r="AB56" i="13"/>
  <c r="AA56" i="13"/>
  <c r="F56" i="13"/>
  <c r="E56" i="13"/>
  <c r="D56" i="13"/>
  <c r="C56" i="13"/>
  <c r="AD52" i="14"/>
  <c r="AC52" i="14"/>
  <c r="AB52" i="14"/>
  <c r="AA52" i="14"/>
  <c r="F52" i="14"/>
  <c r="E52" i="14"/>
  <c r="D52" i="14"/>
  <c r="C52" i="14"/>
  <c r="AP52" i="6"/>
  <c r="AO52" i="6"/>
  <c r="AN52" i="6"/>
  <c r="AM52" i="6"/>
  <c r="AD52" i="6"/>
  <c r="AC52" i="6"/>
  <c r="AB52" i="6"/>
  <c r="AA52" i="6"/>
  <c r="R52" i="6"/>
  <c r="Q52" i="6"/>
  <c r="P52" i="6"/>
  <c r="O52" i="6"/>
  <c r="AD52" i="5"/>
  <c r="AC52" i="5"/>
  <c r="AB52" i="5"/>
  <c r="AA52" i="5"/>
  <c r="R52" i="5"/>
  <c r="Q52" i="5"/>
  <c r="P52" i="5"/>
  <c r="O52" i="5"/>
  <c r="F52" i="5"/>
  <c r="E52" i="5"/>
  <c r="D52" i="5"/>
  <c r="C52" i="5"/>
  <c r="AP52" i="1"/>
  <c r="AR11" i="1" s="1"/>
  <c r="N13" i="32" s="1"/>
  <c r="AO52" i="1"/>
  <c r="AN52" i="1"/>
  <c r="AM52" i="1"/>
  <c r="AD52" i="1"/>
  <c r="AF11" i="1" s="1"/>
  <c r="AC52" i="1"/>
  <c r="AF10" i="1" s="1"/>
  <c r="AB52" i="1"/>
  <c r="AF9" i="1" s="1"/>
  <c r="AA52" i="1"/>
  <c r="AF8" i="1" s="1"/>
  <c r="R52" i="1"/>
  <c r="Q52" i="1"/>
  <c r="P52" i="1"/>
  <c r="O52" i="1"/>
  <c r="F52" i="1"/>
  <c r="E52" i="1"/>
  <c r="D52" i="1"/>
  <c r="C52" i="1"/>
  <c r="H8" i="1" s="1"/>
  <c r="N10" i="31" s="1"/>
  <c r="P8" i="37" s="1"/>
  <c r="R8" i="37" s="1"/>
  <c r="F54" i="9"/>
  <c r="E54" i="9"/>
  <c r="H11" i="9" s="1"/>
  <c r="N28" i="31" s="1"/>
  <c r="D54" i="9"/>
  <c r="C54" i="9"/>
  <c r="F47" i="27"/>
  <c r="E47" i="27"/>
  <c r="D47" i="27"/>
  <c r="C47" i="27"/>
  <c r="H8" i="27" s="1"/>
  <c r="N70" i="31" s="1"/>
  <c r="P52" i="37" s="1"/>
  <c r="R52" i="37" s="1"/>
  <c r="AD47" i="29"/>
  <c r="AC47" i="29"/>
  <c r="AF10" i="29" s="1"/>
  <c r="N52" i="32" s="1"/>
  <c r="P42" i="38" s="1"/>
  <c r="R42" i="38" s="1"/>
  <c r="AB47" i="29"/>
  <c r="AA47" i="29"/>
  <c r="D47" i="29"/>
  <c r="E47" i="29"/>
  <c r="F47" i="29"/>
  <c r="C47" i="29"/>
  <c r="H8" i="29" s="1"/>
  <c r="N58" i="31" s="1"/>
  <c r="P40" i="37" s="1"/>
  <c r="R40" i="37" s="1"/>
  <c r="D47" i="28"/>
  <c r="E47" i="28"/>
  <c r="H10" i="28" s="1"/>
  <c r="N56" i="31" s="1"/>
  <c r="F47" i="28"/>
  <c r="C47" i="28"/>
  <c r="AB52" i="4"/>
  <c r="AC52" i="4"/>
  <c r="AD52" i="4"/>
  <c r="AA52" i="4"/>
  <c r="AF8" i="4" s="1"/>
  <c r="N6" i="32" s="1"/>
  <c r="P4" i="38" s="1"/>
  <c r="R4" i="38" s="1"/>
  <c r="R52" i="4"/>
  <c r="Q52" i="4"/>
  <c r="P52" i="4"/>
  <c r="O52" i="4"/>
  <c r="D52" i="4"/>
  <c r="E52" i="4"/>
  <c r="F52" i="4"/>
  <c r="C52" i="4"/>
  <c r="H8" i="4" s="1"/>
  <c r="N6" i="31" s="1"/>
  <c r="P4" i="37" s="1"/>
  <c r="R4" i="37" s="1"/>
  <c r="AA56" i="32"/>
  <c r="D46" i="38" s="1"/>
  <c r="F46" i="38" s="1"/>
  <c r="T55" i="32"/>
  <c r="R54" i="32"/>
  <c r="T59" i="32"/>
  <c r="S61" i="32"/>
  <c r="R58" i="32"/>
  <c r="K58" i="32"/>
  <c r="G48" i="38" s="1"/>
  <c r="I48" i="38" s="1"/>
  <c r="H8" i="24"/>
  <c r="N58" i="32" s="1"/>
  <c r="F46" i="24"/>
  <c r="G11" i="24"/>
  <c r="M61" i="32" s="1"/>
  <c r="E46" i="24"/>
  <c r="G10" i="24" s="1"/>
  <c r="M60" i="32" s="1"/>
  <c r="M50" i="38" s="1"/>
  <c r="O50" i="38" s="1"/>
  <c r="D46" i="24"/>
  <c r="G9" i="24" s="1"/>
  <c r="M59" i="32" s="1"/>
  <c r="C46" i="24"/>
  <c r="G8" i="24" s="1"/>
  <c r="M58" i="32" s="1"/>
  <c r="F44" i="24"/>
  <c r="E44" i="24"/>
  <c r="D44" i="24"/>
  <c r="C44" i="24"/>
  <c r="F43" i="24"/>
  <c r="F11" i="24" s="1"/>
  <c r="L61" i="32" s="1"/>
  <c r="J51" i="38" s="1"/>
  <c r="L51" i="38" s="1"/>
  <c r="E43" i="24"/>
  <c r="D43" i="24"/>
  <c r="F9" i="24" s="1"/>
  <c r="L59" i="32" s="1"/>
  <c r="J49" i="38" s="1"/>
  <c r="L49" i="38" s="1"/>
  <c r="C43" i="24"/>
  <c r="F8" i="24"/>
  <c r="L58" i="32" s="1"/>
  <c r="J48" i="38" s="1"/>
  <c r="L48" i="38" s="1"/>
  <c r="O11" i="24"/>
  <c r="V61" i="32" s="1"/>
  <c r="N11" i="24"/>
  <c r="U61" i="32" s="1"/>
  <c r="M11" i="24"/>
  <c r="T61" i="32"/>
  <c r="L11" i="24"/>
  <c r="K11" i="24"/>
  <c r="R61" i="32" s="1"/>
  <c r="E11" i="24"/>
  <c r="K61" i="32" s="1"/>
  <c r="D11" i="24"/>
  <c r="AA61" i="32" s="1"/>
  <c r="D51" i="38" s="1"/>
  <c r="F51" i="38" s="1"/>
  <c r="B11" i="24"/>
  <c r="O10" i="24"/>
  <c r="V60" i="32"/>
  <c r="N10" i="24"/>
  <c r="U60" i="32" s="1"/>
  <c r="M10" i="24"/>
  <c r="T60" i="32" s="1"/>
  <c r="L10" i="24"/>
  <c r="S60" i="32" s="1"/>
  <c r="K10" i="24"/>
  <c r="R60" i="32"/>
  <c r="H10" i="24"/>
  <c r="N60" i="32" s="1"/>
  <c r="P50" i="38" s="1"/>
  <c r="R50" i="38" s="1"/>
  <c r="F10" i="24"/>
  <c r="L60" i="32"/>
  <c r="J50" i="38" s="1"/>
  <c r="L50" i="38" s="1"/>
  <c r="E10" i="24"/>
  <c r="K60" i="32" s="1"/>
  <c r="D10" i="24"/>
  <c r="AA60" i="32" s="1"/>
  <c r="D50" i="38" s="1"/>
  <c r="F50" i="38" s="1"/>
  <c r="B10" i="24"/>
  <c r="O9" i="24"/>
  <c r="V59" i="32"/>
  <c r="N9" i="24"/>
  <c r="U59" i="32" s="1"/>
  <c r="M9" i="24"/>
  <c r="L9" i="24"/>
  <c r="S59" i="32" s="1"/>
  <c r="K9" i="24"/>
  <c r="R59" i="32" s="1"/>
  <c r="H9" i="24"/>
  <c r="N59" i="32" s="1"/>
  <c r="P49" i="38" s="1"/>
  <c r="R49" i="38" s="1"/>
  <c r="E9" i="24"/>
  <c r="K59" i="32" s="1"/>
  <c r="D9" i="24"/>
  <c r="AA59" i="32" s="1"/>
  <c r="D49" i="38" s="1"/>
  <c r="F49" i="38" s="1"/>
  <c r="B9" i="24"/>
  <c r="O8" i="24"/>
  <c r="V58" i="32" s="1"/>
  <c r="N8" i="24"/>
  <c r="U58" i="32"/>
  <c r="M8" i="24"/>
  <c r="T58" i="32" s="1"/>
  <c r="L8" i="24"/>
  <c r="S58" i="32" s="1"/>
  <c r="K8" i="24"/>
  <c r="E8" i="24"/>
  <c r="D8" i="24"/>
  <c r="AA58" i="32"/>
  <c r="D48" i="38" s="1"/>
  <c r="F48" i="38" s="1"/>
  <c r="C8" i="24"/>
  <c r="B8" i="24"/>
  <c r="O11" i="30"/>
  <c r="V57" i="32" s="1"/>
  <c r="N11" i="30"/>
  <c r="U57" i="32" s="1"/>
  <c r="M11" i="30"/>
  <c r="T57" i="32"/>
  <c r="L11" i="30"/>
  <c r="S57" i="32" s="1"/>
  <c r="K11" i="30"/>
  <c r="R57" i="32" s="1"/>
  <c r="O10" i="30"/>
  <c r="V56" i="32"/>
  <c r="N10" i="30"/>
  <c r="U56" i="32" s="1"/>
  <c r="M10" i="30"/>
  <c r="T56" i="32" s="1"/>
  <c r="L10" i="30"/>
  <c r="S56" i="32" s="1"/>
  <c r="K10" i="30"/>
  <c r="R56" i="32" s="1"/>
  <c r="O9" i="30"/>
  <c r="V55" i="32"/>
  <c r="N9" i="30"/>
  <c r="U55" i="32" s="1"/>
  <c r="M9" i="30"/>
  <c r="L9" i="30"/>
  <c r="S55" i="32"/>
  <c r="K9" i="30"/>
  <c r="R55" i="32" s="1"/>
  <c r="O8" i="30"/>
  <c r="V54" i="32" s="1"/>
  <c r="N8" i="30"/>
  <c r="U54" i="32" s="1"/>
  <c r="M8" i="30"/>
  <c r="T54" i="32"/>
  <c r="L8" i="30"/>
  <c r="S54" i="32"/>
  <c r="K8" i="30"/>
  <c r="H11" i="30"/>
  <c r="N57" i="32" s="1"/>
  <c r="P47" i="38" s="1"/>
  <c r="R47" i="38" s="1"/>
  <c r="E11" i="30"/>
  <c r="K57" i="32" s="1"/>
  <c r="D11" i="30"/>
  <c r="AA57" i="32"/>
  <c r="D47" i="38" s="1"/>
  <c r="F47" i="38" s="1"/>
  <c r="B11" i="30"/>
  <c r="E10" i="30"/>
  <c r="K56" i="32" s="1"/>
  <c r="D10" i="30"/>
  <c r="B10" i="30"/>
  <c r="H9" i="30"/>
  <c r="N55" i="32" s="1"/>
  <c r="P45" i="38" s="1"/>
  <c r="R45" i="38" s="1"/>
  <c r="E9" i="30"/>
  <c r="K55" i="32"/>
  <c r="D9" i="30"/>
  <c r="AA55" i="32" s="1"/>
  <c r="D45" i="38" s="1"/>
  <c r="F45" i="38" s="1"/>
  <c r="B9" i="30"/>
  <c r="H8" i="30"/>
  <c r="N54" i="32"/>
  <c r="E8" i="30"/>
  <c r="K54" i="32" s="1"/>
  <c r="D8" i="30"/>
  <c r="AA54" i="32"/>
  <c r="D44" i="38" s="1"/>
  <c r="F44" i="38" s="1"/>
  <c r="B8" i="30"/>
  <c r="C8" i="30" s="1"/>
  <c r="C43" i="30"/>
  <c r="F8" i="30" s="1"/>
  <c r="J44" i="38" s="1"/>
  <c r="L44" i="38" s="1"/>
  <c r="F46" i="30"/>
  <c r="G11" i="30" s="1"/>
  <c r="M57" i="32" s="1"/>
  <c r="M47" i="38" s="1"/>
  <c r="O47" i="38" s="1"/>
  <c r="E46" i="30"/>
  <c r="G10" i="30" s="1"/>
  <c r="M56" i="32" s="1"/>
  <c r="M46" i="38" s="1"/>
  <c r="O46" i="38" s="1"/>
  <c r="D46" i="30"/>
  <c r="G9" i="30" s="1"/>
  <c r="M55" i="32" s="1"/>
  <c r="M45" i="38" s="1"/>
  <c r="O45" i="38" s="1"/>
  <c r="C46" i="30"/>
  <c r="G8" i="30" s="1"/>
  <c r="M54" i="32" s="1"/>
  <c r="M44" i="38" s="1"/>
  <c r="O44" i="38" s="1"/>
  <c r="F44" i="30"/>
  <c r="E44" i="30"/>
  <c r="D44" i="30"/>
  <c r="C44" i="30"/>
  <c r="F43" i="30"/>
  <c r="F11" i="30" s="1"/>
  <c r="E43" i="30"/>
  <c r="F10" i="30" s="1"/>
  <c r="J46" i="38" s="1"/>
  <c r="L46" i="38" s="1"/>
  <c r="D43" i="30"/>
  <c r="F9" i="30"/>
  <c r="J45" i="38" s="1"/>
  <c r="L45" i="38" s="1"/>
  <c r="H11" i="27"/>
  <c r="E11" i="27"/>
  <c r="K73" i="31"/>
  <c r="D11" i="27"/>
  <c r="B11" i="27"/>
  <c r="H10" i="27"/>
  <c r="E10" i="27"/>
  <c r="K72" i="31"/>
  <c r="D10" i="27"/>
  <c r="B10" i="27"/>
  <c r="H9" i="27"/>
  <c r="N71" i="31" s="1"/>
  <c r="E9" i="27"/>
  <c r="K71" i="31" s="1"/>
  <c r="D9" i="27"/>
  <c r="B9" i="27"/>
  <c r="E8" i="27"/>
  <c r="K70" i="31" s="1"/>
  <c r="D8" i="27"/>
  <c r="B8" i="27"/>
  <c r="C8" i="27" s="1"/>
  <c r="F46" i="27"/>
  <c r="G11" i="27" s="1"/>
  <c r="M73" i="31" s="1"/>
  <c r="E46" i="27"/>
  <c r="G10" i="27" s="1"/>
  <c r="M72" i="31" s="1"/>
  <c r="D46" i="27"/>
  <c r="G9" i="27" s="1"/>
  <c r="M71" i="31" s="1"/>
  <c r="M53" i="37" s="1"/>
  <c r="O53" i="37" s="1"/>
  <c r="C46" i="27"/>
  <c r="G8" i="27" s="1"/>
  <c r="M70" i="31" s="1"/>
  <c r="M52" i="37" s="1"/>
  <c r="O52" i="37" s="1"/>
  <c r="F44" i="27"/>
  <c r="E44" i="27"/>
  <c r="D44" i="27"/>
  <c r="C44" i="27"/>
  <c r="F11" i="27"/>
  <c r="L73" i="31" s="1"/>
  <c r="J55" i="37" s="1"/>
  <c r="L55" i="37" s="1"/>
  <c r="E43" i="27"/>
  <c r="F10" i="27" s="1"/>
  <c r="L72" i="31" s="1"/>
  <c r="D43" i="27"/>
  <c r="F9" i="27" s="1"/>
  <c r="L71" i="31" s="1"/>
  <c r="C43" i="27"/>
  <c r="F8" i="27" s="1"/>
  <c r="L70" i="31" s="1"/>
  <c r="N73" i="31"/>
  <c r="N72" i="31"/>
  <c r="K52" i="32"/>
  <c r="AF11" i="29"/>
  <c r="N53" i="32" s="1"/>
  <c r="AC11" i="29"/>
  <c r="K53" i="32" s="1"/>
  <c r="AB11" i="29"/>
  <c r="AA53" i="32" s="1"/>
  <c r="D43" i="38" s="1"/>
  <c r="F43" i="38" s="1"/>
  <c r="Z11" i="29"/>
  <c r="H53" i="32"/>
  <c r="AC10" i="29"/>
  <c r="AB10" i="29"/>
  <c r="AA52" i="32"/>
  <c r="D42" i="38" s="1"/>
  <c r="F42" i="38" s="1"/>
  <c r="Z10" i="29"/>
  <c r="H52" i="32" s="1"/>
  <c r="AF9" i="29"/>
  <c r="N51" i="32" s="1"/>
  <c r="AC9" i="29"/>
  <c r="K51" i="32" s="1"/>
  <c r="AB9" i="29"/>
  <c r="AA51" i="32"/>
  <c r="D41" i="38" s="1"/>
  <c r="F41" i="38" s="1"/>
  <c r="Z9" i="29"/>
  <c r="H51" i="32" s="1"/>
  <c r="C41" i="38" s="1"/>
  <c r="AF8" i="29"/>
  <c r="N50" i="32" s="1"/>
  <c r="P40" i="38" s="1"/>
  <c r="R40" i="38" s="1"/>
  <c r="AC8" i="29"/>
  <c r="K50" i="32" s="1"/>
  <c r="G40" i="38" s="1"/>
  <c r="G41" i="38" s="1"/>
  <c r="AB8" i="29"/>
  <c r="AA50" i="32"/>
  <c r="D40" i="38" s="1"/>
  <c r="F40" i="38" s="1"/>
  <c r="Z8" i="29"/>
  <c r="AA8" i="29" s="1"/>
  <c r="H11" i="29"/>
  <c r="E11" i="29"/>
  <c r="K61" i="31"/>
  <c r="D11" i="29"/>
  <c r="B11" i="29"/>
  <c r="H10" i="29"/>
  <c r="N60" i="31" s="1"/>
  <c r="P42" i="37" s="1"/>
  <c r="R42" i="37" s="1"/>
  <c r="E10" i="29"/>
  <c r="K60" i="31" s="1"/>
  <c r="D10" i="29"/>
  <c r="B10" i="29"/>
  <c r="H9" i="29"/>
  <c r="N59" i="31" s="1"/>
  <c r="E9" i="29"/>
  <c r="K59" i="31"/>
  <c r="D9" i="29"/>
  <c r="B9" i="29"/>
  <c r="E8" i="29"/>
  <c r="K58" i="31"/>
  <c r="D8" i="29"/>
  <c r="B8" i="29"/>
  <c r="C8" i="29"/>
  <c r="AC11" i="28"/>
  <c r="AB11" i="28"/>
  <c r="AA49" i="32" s="1"/>
  <c r="D39" i="38" s="1"/>
  <c r="F39" i="38" s="1"/>
  <c r="Z11" i="28"/>
  <c r="AC10" i="28"/>
  <c r="AB10" i="28"/>
  <c r="AA48" i="32" s="1"/>
  <c r="D38" i="38" s="1"/>
  <c r="F38" i="38" s="1"/>
  <c r="Z10" i="28"/>
  <c r="AC9" i="28"/>
  <c r="AB9" i="28"/>
  <c r="AA47" i="32" s="1"/>
  <c r="D37" i="38" s="1"/>
  <c r="F37" i="38" s="1"/>
  <c r="Z9" i="28"/>
  <c r="AC8" i="28"/>
  <c r="AB8" i="28"/>
  <c r="AA46" i="32" s="1"/>
  <c r="D36" i="38" s="1"/>
  <c r="F36" i="38" s="1"/>
  <c r="Z8" i="28"/>
  <c r="AA8" i="28"/>
  <c r="H11" i="28"/>
  <c r="E11" i="28"/>
  <c r="K57" i="31"/>
  <c r="D11" i="28"/>
  <c r="B11" i="28"/>
  <c r="E10" i="28"/>
  <c r="K56" i="31"/>
  <c r="D10" i="28"/>
  <c r="B10" i="28"/>
  <c r="H9" i="28"/>
  <c r="E9" i="28"/>
  <c r="K55" i="31"/>
  <c r="D9" i="28"/>
  <c r="B9" i="28"/>
  <c r="H8" i="28"/>
  <c r="E8" i="28"/>
  <c r="K54" i="31" s="1"/>
  <c r="D8" i="28"/>
  <c r="B8" i="28"/>
  <c r="C8" i="28"/>
  <c r="F46" i="28"/>
  <c r="G11" i="28" s="1"/>
  <c r="M57" i="31" s="1"/>
  <c r="M39" i="37" s="1"/>
  <c r="O39" i="37" s="1"/>
  <c r="E46" i="28"/>
  <c r="G10" i="28" s="1"/>
  <c r="M56" i="31" s="1"/>
  <c r="D46" i="28"/>
  <c r="G9" i="28" s="1"/>
  <c r="M55" i="31" s="1"/>
  <c r="M37" i="37" s="1"/>
  <c r="O37" i="37" s="1"/>
  <c r="C46" i="28"/>
  <c r="G8" i="28" s="1"/>
  <c r="M54" i="31" s="1"/>
  <c r="M36" i="37" s="1"/>
  <c r="O36" i="37" s="1"/>
  <c r="F44" i="28"/>
  <c r="E44" i="28"/>
  <c r="D44" i="28"/>
  <c r="C44" i="28"/>
  <c r="F43" i="28"/>
  <c r="F11" i="28" s="1"/>
  <c r="L57" i="31" s="1"/>
  <c r="J39" i="37" s="1"/>
  <c r="L39" i="37" s="1"/>
  <c r="E43" i="28"/>
  <c r="F10" i="28"/>
  <c r="L56" i="31" s="1"/>
  <c r="D43" i="28"/>
  <c r="F9" i="28" s="1"/>
  <c r="L55" i="31" s="1"/>
  <c r="C43" i="28"/>
  <c r="F8" i="28" s="1"/>
  <c r="L54" i="31" s="1"/>
  <c r="AD46" i="29"/>
  <c r="AE11" i="29" s="1"/>
  <c r="M53" i="32" s="1"/>
  <c r="M43" i="38" s="1"/>
  <c r="O43" i="38" s="1"/>
  <c r="AC46" i="29"/>
  <c r="AE10" i="29" s="1"/>
  <c r="M52" i="32" s="1"/>
  <c r="AB46" i="29"/>
  <c r="AE9" i="29" s="1"/>
  <c r="M51" i="32" s="1"/>
  <c r="M41" i="38" s="1"/>
  <c r="O41" i="38" s="1"/>
  <c r="AA46" i="29"/>
  <c r="AE8" i="29" s="1"/>
  <c r="M50" i="32" s="1"/>
  <c r="M40" i="38" s="1"/>
  <c r="O40" i="38" s="1"/>
  <c r="AD44" i="29"/>
  <c r="AC44" i="29"/>
  <c r="AB44" i="29"/>
  <c r="AA44" i="29"/>
  <c r="AD43" i="29"/>
  <c r="AD11" i="29" s="1"/>
  <c r="L53" i="32" s="1"/>
  <c r="J43" i="38" s="1"/>
  <c r="L43" i="38" s="1"/>
  <c r="AC43" i="29"/>
  <c r="AD10" i="29" s="1"/>
  <c r="L52" i="32" s="1"/>
  <c r="AB43" i="29"/>
  <c r="AD9" i="29" s="1"/>
  <c r="L51" i="32" s="1"/>
  <c r="J41" i="38" s="1"/>
  <c r="L41" i="38" s="1"/>
  <c r="AA43" i="29"/>
  <c r="AD8" i="29"/>
  <c r="L50" i="32"/>
  <c r="J40" i="38" s="1"/>
  <c r="L40" i="38" s="1"/>
  <c r="F46" i="29"/>
  <c r="G11" i="29" s="1"/>
  <c r="M61" i="31" s="1"/>
  <c r="M43" i="37" s="1"/>
  <c r="O43" i="37" s="1"/>
  <c r="E46" i="29"/>
  <c r="G10" i="29" s="1"/>
  <c r="M60" i="31" s="1"/>
  <c r="D46" i="29"/>
  <c r="G9" i="29" s="1"/>
  <c r="M59" i="31" s="1"/>
  <c r="M41" i="37" s="1"/>
  <c r="O41" i="37" s="1"/>
  <c r="C46" i="29"/>
  <c r="G8" i="29" s="1"/>
  <c r="M58" i="31" s="1"/>
  <c r="M40" i="37" s="1"/>
  <c r="O40" i="37" s="1"/>
  <c r="F44" i="29"/>
  <c r="E44" i="29"/>
  <c r="D44" i="29"/>
  <c r="C44" i="29"/>
  <c r="F43" i="29"/>
  <c r="F11" i="29" s="1"/>
  <c r="L61" i="31" s="1"/>
  <c r="J43" i="37" s="1"/>
  <c r="L43" i="37" s="1"/>
  <c r="E43" i="29"/>
  <c r="F10" i="29" s="1"/>
  <c r="L60" i="31" s="1"/>
  <c r="J42" i="37" s="1"/>
  <c r="L42" i="37" s="1"/>
  <c r="D43" i="29"/>
  <c r="F9" i="29" s="1"/>
  <c r="L59" i="31" s="1"/>
  <c r="C43" i="29"/>
  <c r="F8" i="29" s="1"/>
  <c r="L58" i="31" s="1"/>
  <c r="AA43" i="28"/>
  <c r="AD8" i="28" s="1"/>
  <c r="AB43" i="28"/>
  <c r="AD9" i="28"/>
  <c r="L47" i="32" s="1"/>
  <c r="J37" i="38" s="1"/>
  <c r="L37" i="38" s="1"/>
  <c r="AC43" i="28"/>
  <c r="AD10" i="28" s="1"/>
  <c r="L48" i="32" s="1"/>
  <c r="J38" i="38" s="1"/>
  <c r="L38" i="38" s="1"/>
  <c r="AD43" i="28"/>
  <c r="AD11" i="28" s="1"/>
  <c r="AA44" i="28"/>
  <c r="AB44" i="28"/>
  <c r="AC44" i="28"/>
  <c r="AD44" i="28"/>
  <c r="AA46" i="28"/>
  <c r="AE8" i="28" s="1"/>
  <c r="AB46" i="28"/>
  <c r="AE9" i="28" s="1"/>
  <c r="M47" i="32" s="1"/>
  <c r="M37" i="38" s="1"/>
  <c r="O37" i="38" s="1"/>
  <c r="AC46" i="28"/>
  <c r="AE10" i="28" s="1"/>
  <c r="M48" i="32" s="1"/>
  <c r="M38" i="38" s="1"/>
  <c r="O38" i="38" s="1"/>
  <c r="AD46" i="28"/>
  <c r="AE11" i="28" s="1"/>
  <c r="M49" i="32" s="1"/>
  <c r="M39" i="38" s="1"/>
  <c r="O39" i="38" s="1"/>
  <c r="AM11" i="28"/>
  <c r="AL11" i="28"/>
  <c r="AK11" i="28"/>
  <c r="AJ11" i="28"/>
  <c r="AI11" i="28"/>
  <c r="AM10" i="28"/>
  <c r="AL10" i="28"/>
  <c r="AK10" i="28"/>
  <c r="AJ10" i="28"/>
  <c r="AI10" i="28"/>
  <c r="AM9" i="28"/>
  <c r="AL9" i="28"/>
  <c r="AK9" i="28"/>
  <c r="AJ9" i="28"/>
  <c r="AI9" i="28"/>
  <c r="AM8" i="28"/>
  <c r="AL8" i="28"/>
  <c r="AK8" i="28"/>
  <c r="AJ8" i="28"/>
  <c r="AI8" i="28"/>
  <c r="AD47" i="28"/>
  <c r="AF11" i="28" s="1"/>
  <c r="N49" i="32" s="1"/>
  <c r="P39" i="38" s="1"/>
  <c r="R39" i="38" s="1"/>
  <c r="AC47" i="28"/>
  <c r="AF10" i="28" s="1"/>
  <c r="N48" i="32" s="1"/>
  <c r="P38" i="38" s="1"/>
  <c r="R38" i="38" s="1"/>
  <c r="AB47" i="28"/>
  <c r="AF9" i="28" s="1"/>
  <c r="N47" i="32" s="1"/>
  <c r="AA47" i="28"/>
  <c r="AF8" i="28" s="1"/>
  <c r="H12" i="9"/>
  <c r="H10" i="9"/>
  <c r="N27" i="31" s="1"/>
  <c r="H9" i="9"/>
  <c r="D12" i="9"/>
  <c r="D11" i="9"/>
  <c r="D10" i="9"/>
  <c r="F51" i="9"/>
  <c r="E51" i="9"/>
  <c r="D51" i="9"/>
  <c r="C51" i="9"/>
  <c r="E12" i="9"/>
  <c r="K29" i="31" s="1"/>
  <c r="E11" i="9"/>
  <c r="K28" i="31" s="1"/>
  <c r="E10" i="9"/>
  <c r="K27" i="31" s="1"/>
  <c r="B12" i="9"/>
  <c r="B11" i="9"/>
  <c r="B10" i="9"/>
  <c r="H27" i="31"/>
  <c r="B9" i="9"/>
  <c r="C9" i="9" s="1"/>
  <c r="D53" i="9"/>
  <c r="G10" i="9"/>
  <c r="E53" i="9"/>
  <c r="G11" i="9" s="1"/>
  <c r="M28" i="31" s="1"/>
  <c r="M22" i="37" s="1"/>
  <c r="O22" i="37" s="1"/>
  <c r="F53" i="9"/>
  <c r="G12" i="9" s="1"/>
  <c r="M29" i="31" s="1"/>
  <c r="C53" i="9"/>
  <c r="G9" i="9" s="1"/>
  <c r="M26" i="31" s="1"/>
  <c r="D50" i="9"/>
  <c r="F10" i="9" s="1"/>
  <c r="E50" i="9"/>
  <c r="F11" i="9" s="1"/>
  <c r="L28" i="31" s="1"/>
  <c r="J22" i="37" s="1"/>
  <c r="L22" i="37" s="1"/>
  <c r="F50" i="9"/>
  <c r="F12" i="9" s="1"/>
  <c r="L29" i="31" s="1"/>
  <c r="J23" i="37" s="1"/>
  <c r="L23" i="37" s="1"/>
  <c r="M27" i="31"/>
  <c r="L27" i="31"/>
  <c r="N29" i="31"/>
  <c r="P23" i="37" s="1"/>
  <c r="R23" i="37" s="1"/>
  <c r="N26" i="31"/>
  <c r="N61" i="31"/>
  <c r="P43" i="37" s="1"/>
  <c r="R43" i="37" s="1"/>
  <c r="N54" i="31"/>
  <c r="N55" i="31"/>
  <c r="N57" i="31"/>
  <c r="K49" i="32"/>
  <c r="H49" i="32"/>
  <c r="C39" i="38" s="1"/>
  <c r="K48" i="32"/>
  <c r="H48" i="32"/>
  <c r="C38" i="38" s="1"/>
  <c r="K47" i="32"/>
  <c r="H47" i="32"/>
  <c r="N46" i="32"/>
  <c r="P36" i="38" s="1"/>
  <c r="R36" i="38" s="1"/>
  <c r="K46" i="32"/>
  <c r="G36" i="38" s="1"/>
  <c r="G37" i="38" s="1"/>
  <c r="G38" i="38" s="1"/>
  <c r="G39" i="38" s="1"/>
  <c r="I39" i="38" s="1"/>
  <c r="D52" i="38"/>
  <c r="F52" i="38" s="1"/>
  <c r="D53" i="38"/>
  <c r="F53" i="38" s="1"/>
  <c r="D54" i="38"/>
  <c r="F54" i="38" s="1"/>
  <c r="D55" i="38"/>
  <c r="F55" i="38" s="1"/>
  <c r="H13" i="38"/>
  <c r="H14" i="38"/>
  <c r="H15" i="38" s="1"/>
  <c r="H25" i="38"/>
  <c r="H26" i="38"/>
  <c r="H27" i="38" s="1"/>
  <c r="G28" i="38"/>
  <c r="H29" i="38"/>
  <c r="H30" i="38" s="1"/>
  <c r="D34" i="38"/>
  <c r="F34" i="38" s="1"/>
  <c r="H37" i="38"/>
  <c r="H38" i="38" s="1"/>
  <c r="H39" i="38" s="1"/>
  <c r="H45" i="38"/>
  <c r="H46" i="38"/>
  <c r="H47" i="38"/>
  <c r="H49" i="38"/>
  <c r="H50" i="38"/>
  <c r="H51" i="38" s="1"/>
  <c r="H53" i="38"/>
  <c r="H54" i="38"/>
  <c r="H55" i="38" s="1"/>
  <c r="C56" i="38"/>
  <c r="P2" i="38"/>
  <c r="M2" i="38"/>
  <c r="J2" i="38"/>
  <c r="P1" i="38"/>
  <c r="M1" i="38"/>
  <c r="J1" i="38"/>
  <c r="G1" i="38"/>
  <c r="D1" i="38"/>
  <c r="C1" i="38"/>
  <c r="B1" i="38"/>
  <c r="H41" i="38"/>
  <c r="H42" i="38" s="1"/>
  <c r="H17" i="38"/>
  <c r="H57" i="38"/>
  <c r="H9" i="38"/>
  <c r="H10" i="38" s="1"/>
  <c r="H11" i="38" s="1"/>
  <c r="H5" i="38"/>
  <c r="H58" i="38"/>
  <c r="H59" i="38"/>
  <c r="H18" i="38"/>
  <c r="H6" i="38"/>
  <c r="D37" i="37"/>
  <c r="F37" i="37" s="1"/>
  <c r="D38" i="37"/>
  <c r="D39" i="37"/>
  <c r="D40" i="37"/>
  <c r="F40" i="37" s="1"/>
  <c r="D41" i="37"/>
  <c r="F41" i="37" s="1"/>
  <c r="D42" i="37"/>
  <c r="F42" i="37" s="1"/>
  <c r="D43" i="37"/>
  <c r="D52" i="37"/>
  <c r="F52" i="37" s="1"/>
  <c r="D53" i="37"/>
  <c r="F53" i="37" s="1"/>
  <c r="D54" i="37"/>
  <c r="F54" i="37" s="1"/>
  <c r="D55" i="37"/>
  <c r="F55" i="37" s="1"/>
  <c r="D36" i="37"/>
  <c r="F36" i="37" s="1"/>
  <c r="H43" i="38"/>
  <c r="H19" i="38"/>
  <c r="H7" i="38"/>
  <c r="C56" i="37"/>
  <c r="H13" i="37"/>
  <c r="H14" i="37" s="1"/>
  <c r="H15" i="37" s="1"/>
  <c r="H17" i="37"/>
  <c r="H18" i="37"/>
  <c r="H19" i="37"/>
  <c r="H21" i="37"/>
  <c r="H22" i="37"/>
  <c r="H23" i="37" s="1"/>
  <c r="H25" i="37"/>
  <c r="H29" i="37"/>
  <c r="G36" i="37"/>
  <c r="G37" i="37" s="1"/>
  <c r="H37" i="37"/>
  <c r="H38" i="37" s="1"/>
  <c r="F38" i="37"/>
  <c r="F39" i="37"/>
  <c r="U4" i="37"/>
  <c r="P3" i="37"/>
  <c r="M3" i="37"/>
  <c r="J3" i="37"/>
  <c r="P2" i="37"/>
  <c r="C2" i="37"/>
  <c r="D2" i="37"/>
  <c r="G2" i="37"/>
  <c r="J2" i="37"/>
  <c r="M2" i="37"/>
  <c r="B2" i="37"/>
  <c r="H5" i="37"/>
  <c r="H6" i="37"/>
  <c r="H7" i="37" s="1"/>
  <c r="H30" i="37"/>
  <c r="H31" i="37" s="1"/>
  <c r="H26" i="37"/>
  <c r="F43" i="37"/>
  <c r="H53" i="37"/>
  <c r="H41" i="37"/>
  <c r="H9" i="37"/>
  <c r="H10" i="37" s="1"/>
  <c r="H11" i="37" s="1"/>
  <c r="M46" i="32"/>
  <c r="M36" i="38" s="1"/>
  <c r="O36" i="38" s="1"/>
  <c r="L49" i="32"/>
  <c r="J39" i="38" s="1"/>
  <c r="L39" i="38" s="1"/>
  <c r="L46" i="32"/>
  <c r="N33" i="32"/>
  <c r="F58" i="11"/>
  <c r="H12" i="11" s="1"/>
  <c r="N37" i="31" s="1"/>
  <c r="P31" i="37" s="1"/>
  <c r="R31" i="37" s="1"/>
  <c r="E58" i="11"/>
  <c r="H11" i="11" s="1"/>
  <c r="N36" i="31" s="1"/>
  <c r="P30" i="37" s="1"/>
  <c r="R30" i="37" s="1"/>
  <c r="D58" i="11"/>
  <c r="M30" i="32"/>
  <c r="F57" i="11"/>
  <c r="G12" i="11" s="1"/>
  <c r="M37" i="31" s="1"/>
  <c r="M31" i="37" s="1"/>
  <c r="O31" i="37" s="1"/>
  <c r="E57" i="11"/>
  <c r="G11" i="11" s="1"/>
  <c r="M36" i="31" s="1"/>
  <c r="M30" i="37" s="1"/>
  <c r="O30" i="37" s="1"/>
  <c r="D57" i="11"/>
  <c r="G10" i="11" s="1"/>
  <c r="M35" i="31" s="1"/>
  <c r="M29" i="37" s="1"/>
  <c r="O29" i="37" s="1"/>
  <c r="F55" i="11"/>
  <c r="E55" i="11"/>
  <c r="D55" i="11"/>
  <c r="C55" i="11"/>
  <c r="L33" i="32"/>
  <c r="L31" i="32"/>
  <c r="J29" i="38" s="1"/>
  <c r="L29" i="38" s="1"/>
  <c r="F54" i="11"/>
  <c r="F12" i="11" s="1"/>
  <c r="L37" i="31" s="1"/>
  <c r="J31" i="37" s="1"/>
  <c r="L31" i="37" s="1"/>
  <c r="E54" i="11"/>
  <c r="F11" i="11" s="1"/>
  <c r="L36" i="31" s="1"/>
  <c r="J30" i="37" s="1"/>
  <c r="L30" i="37" s="1"/>
  <c r="D54" i="11"/>
  <c r="F10" i="11" s="1"/>
  <c r="L35" i="31" s="1"/>
  <c r="J29" i="37" s="1"/>
  <c r="L29" i="37" s="1"/>
  <c r="F9" i="11"/>
  <c r="N31" i="32"/>
  <c r="N30" i="32"/>
  <c r="P28" i="38" s="1"/>
  <c r="R28" i="38" s="1"/>
  <c r="G9" i="11"/>
  <c r="M34" i="31" s="1"/>
  <c r="M28" i="37" s="1"/>
  <c r="O28" i="37" s="1"/>
  <c r="H33" i="32"/>
  <c r="C31" i="38" s="1"/>
  <c r="E12" i="11"/>
  <c r="K37" i="31" s="1"/>
  <c r="D12" i="11"/>
  <c r="B12" i="11"/>
  <c r="H37" i="31"/>
  <c r="C31" i="37" s="1"/>
  <c r="H32" i="32"/>
  <c r="E11" i="11"/>
  <c r="K36" i="31" s="1"/>
  <c r="D11" i="11"/>
  <c r="B11" i="11"/>
  <c r="H36" i="31" s="1"/>
  <c r="C30" i="37" s="1"/>
  <c r="H31" i="32"/>
  <c r="C29" i="38" s="1"/>
  <c r="E10" i="11"/>
  <c r="K35" i="31"/>
  <c r="D10" i="11"/>
  <c r="B10" i="11"/>
  <c r="H35" i="31"/>
  <c r="C29" i="37" s="1"/>
  <c r="E9" i="11"/>
  <c r="K34" i="31" s="1"/>
  <c r="G28" i="37" s="1"/>
  <c r="D9" i="11"/>
  <c r="B9" i="11"/>
  <c r="C9" i="11"/>
  <c r="H9" i="11"/>
  <c r="N34" i="31" s="1"/>
  <c r="P28" i="37" s="1"/>
  <c r="R28" i="37" s="1"/>
  <c r="H10" i="11"/>
  <c r="N35" i="31" s="1"/>
  <c r="P29" i="37" s="1"/>
  <c r="R29" i="37" s="1"/>
  <c r="L34" i="31"/>
  <c r="J28" i="37" s="1"/>
  <c r="L28" i="37" s="1"/>
  <c r="H54" i="37"/>
  <c r="H42" i="37"/>
  <c r="C27" i="38"/>
  <c r="C26" i="38"/>
  <c r="J25" i="38"/>
  <c r="L25" i="38" s="1"/>
  <c r="C24" i="38"/>
  <c r="H43" i="37"/>
  <c r="H55" i="37"/>
  <c r="P25" i="37"/>
  <c r="R25" i="37" s="1"/>
  <c r="M26" i="37"/>
  <c r="O26" i="37" s="1"/>
  <c r="J27" i="37"/>
  <c r="L27" i="37" s="1"/>
  <c r="J26" i="37"/>
  <c r="L26" i="37" s="1"/>
  <c r="M24" i="37"/>
  <c r="O24" i="37" s="1"/>
  <c r="D33" i="34"/>
  <c r="C48" i="14"/>
  <c r="AY11" i="1"/>
  <c r="V13" i="32" s="1"/>
  <c r="AX11" i="1"/>
  <c r="AW11" i="1"/>
  <c r="AV11" i="1"/>
  <c r="AU11" i="1"/>
  <c r="AO11" i="1"/>
  <c r="K13" i="32"/>
  <c r="AN11" i="1"/>
  <c r="J13" i="32"/>
  <c r="D11" i="38" s="1"/>
  <c r="F11" i="38" s="1"/>
  <c r="AL11" i="1"/>
  <c r="AY10" i="1"/>
  <c r="AX10" i="1"/>
  <c r="AW10" i="1"/>
  <c r="AV10" i="1"/>
  <c r="AU10" i="1"/>
  <c r="AO10" i="1"/>
  <c r="K12" i="32"/>
  <c r="AN10" i="1"/>
  <c r="J12" i="32"/>
  <c r="D10" i="38" s="1"/>
  <c r="F10" i="38" s="1"/>
  <c r="AL10" i="1"/>
  <c r="AY9" i="1"/>
  <c r="AX9" i="1"/>
  <c r="AW9" i="1"/>
  <c r="AV9" i="1"/>
  <c r="AU9" i="1"/>
  <c r="R11" i="32" s="1"/>
  <c r="AO9" i="1"/>
  <c r="K11" i="32"/>
  <c r="AN9" i="1"/>
  <c r="J11" i="32"/>
  <c r="AL9" i="1"/>
  <c r="AY8" i="1"/>
  <c r="AX8" i="1"/>
  <c r="AW8" i="1"/>
  <c r="T10" i="32" s="1"/>
  <c r="AV8" i="1"/>
  <c r="AU8" i="1"/>
  <c r="AO8" i="1"/>
  <c r="AN8" i="1"/>
  <c r="J10" i="32" s="1"/>
  <c r="D8" i="38" s="1"/>
  <c r="F8" i="38" s="1"/>
  <c r="AL8" i="1"/>
  <c r="AM8" i="1" s="1"/>
  <c r="C16" i="38"/>
  <c r="D53" i="13"/>
  <c r="E53" i="13"/>
  <c r="F53" i="13"/>
  <c r="AB53" i="13"/>
  <c r="AC53" i="13"/>
  <c r="AD53" i="13"/>
  <c r="AD55" i="13"/>
  <c r="AE11" i="13" s="1"/>
  <c r="M45" i="32" s="1"/>
  <c r="M35" i="38" s="1"/>
  <c r="O35" i="38" s="1"/>
  <c r="AC55" i="13"/>
  <c r="AE10" i="13" s="1"/>
  <c r="M44" i="32" s="1"/>
  <c r="M34" i="38" s="1"/>
  <c r="O34" i="38" s="1"/>
  <c r="AB55" i="13"/>
  <c r="AE9" i="13" s="1"/>
  <c r="M43" i="32" s="1"/>
  <c r="M33" i="38" s="1"/>
  <c r="O33" i="38" s="1"/>
  <c r="AA55" i="13"/>
  <c r="AE8" i="13" s="1"/>
  <c r="M42" i="32" s="1"/>
  <c r="M32" i="38" s="1"/>
  <c r="O32" i="38" s="1"/>
  <c r="AA53" i="13"/>
  <c r="AD52" i="13"/>
  <c r="AC52" i="13"/>
  <c r="AB52" i="13"/>
  <c r="AA52" i="13"/>
  <c r="C32" i="38"/>
  <c r="AF11" i="13"/>
  <c r="N45" i="32" s="1"/>
  <c r="P35" i="38" s="1"/>
  <c r="R35" i="38" s="1"/>
  <c r="AD11" i="13"/>
  <c r="L45" i="32" s="1"/>
  <c r="J35" i="38" s="1"/>
  <c r="L35" i="38" s="1"/>
  <c r="AC11" i="13"/>
  <c r="K45" i="32" s="1"/>
  <c r="G35" i="38" s="1"/>
  <c r="I35" i="38" s="1"/>
  <c r="AB11" i="13"/>
  <c r="Z11" i="13"/>
  <c r="H45" i="32"/>
  <c r="C35" i="38" s="1"/>
  <c r="AF10" i="13"/>
  <c r="N44" i="32" s="1"/>
  <c r="P34" i="38" s="1"/>
  <c r="R34" i="38" s="1"/>
  <c r="AD10" i="13"/>
  <c r="L44" i="32" s="1"/>
  <c r="J34" i="38" s="1"/>
  <c r="L34" i="38" s="1"/>
  <c r="AC10" i="13"/>
  <c r="K44" i="32" s="1"/>
  <c r="G34" i="38" s="1"/>
  <c r="I34" i="38" s="1"/>
  <c r="AB10" i="13"/>
  <c r="Z10" i="13"/>
  <c r="H44" i="32" s="1"/>
  <c r="C34" i="38" s="1"/>
  <c r="AF9" i="13"/>
  <c r="N43" i="32" s="1"/>
  <c r="P33" i="38" s="1"/>
  <c r="R33" i="38" s="1"/>
  <c r="AD9" i="13"/>
  <c r="L43" i="32" s="1"/>
  <c r="J33" i="38" s="1"/>
  <c r="L33" i="38" s="1"/>
  <c r="AC9" i="13"/>
  <c r="K43" i="32" s="1"/>
  <c r="G33" i="38" s="1"/>
  <c r="I33" i="38" s="1"/>
  <c r="AB9" i="13"/>
  <c r="Z9" i="13"/>
  <c r="H43" i="32"/>
  <c r="C33" i="38" s="1"/>
  <c r="AF8" i="13"/>
  <c r="N42" i="32" s="1"/>
  <c r="P32" i="38" s="1"/>
  <c r="R32" i="38" s="1"/>
  <c r="AD8" i="13"/>
  <c r="L42" i="32" s="1"/>
  <c r="J32" i="38" s="1"/>
  <c r="L32" i="38" s="1"/>
  <c r="AC8" i="13"/>
  <c r="K42" i="32" s="1"/>
  <c r="G32" i="38" s="1"/>
  <c r="I32" i="38" s="1"/>
  <c r="AB8" i="13"/>
  <c r="Z8" i="13"/>
  <c r="AA8" i="13" s="1"/>
  <c r="E11" i="13"/>
  <c r="K53" i="31"/>
  <c r="G35" i="37" s="1"/>
  <c r="I35" i="37" s="1"/>
  <c r="D11" i="13"/>
  <c r="B11" i="13"/>
  <c r="H53" i="31" s="1"/>
  <c r="C35" i="37" s="1"/>
  <c r="E10" i="13"/>
  <c r="K52" i="31"/>
  <c r="G34" i="37" s="1"/>
  <c r="I34" i="37" s="1"/>
  <c r="D10" i="13"/>
  <c r="B10" i="13"/>
  <c r="H52" i="31" s="1"/>
  <c r="C34" i="37" s="1"/>
  <c r="E9" i="13"/>
  <c r="K51" i="31"/>
  <c r="G33" i="37" s="1"/>
  <c r="I33" i="37" s="1"/>
  <c r="D9" i="13"/>
  <c r="B9" i="13"/>
  <c r="H51" i="31" s="1"/>
  <c r="C33" i="37" s="1"/>
  <c r="E8" i="13"/>
  <c r="B8" i="13"/>
  <c r="C8" i="13" s="1"/>
  <c r="C55" i="13"/>
  <c r="G8" i="13"/>
  <c r="M50" i="31" s="1"/>
  <c r="M32" i="37" s="1"/>
  <c r="O32" i="37" s="1"/>
  <c r="D55" i="13"/>
  <c r="G9" i="13" s="1"/>
  <c r="M51" i="31" s="1"/>
  <c r="M33" i="37" s="1"/>
  <c r="O33" i="37" s="1"/>
  <c r="E55" i="13"/>
  <c r="G10" i="13" s="1"/>
  <c r="F55" i="13"/>
  <c r="G11" i="13" s="1"/>
  <c r="M53" i="31" s="1"/>
  <c r="M35" i="37" s="1"/>
  <c r="O35" i="37" s="1"/>
  <c r="H11" i="13"/>
  <c r="N53" i="31" s="1"/>
  <c r="P35" i="37" s="1"/>
  <c r="R35" i="37" s="1"/>
  <c r="H10" i="13"/>
  <c r="H9" i="13"/>
  <c r="N51" i="31" s="1"/>
  <c r="P33" i="37" s="1"/>
  <c r="R33" i="37" s="1"/>
  <c r="H8" i="13"/>
  <c r="C53" i="13"/>
  <c r="D52" i="13"/>
  <c r="F9" i="13"/>
  <c r="L51" i="31" s="1"/>
  <c r="J33" i="37" s="1"/>
  <c r="L33" i="37" s="1"/>
  <c r="E52" i="13"/>
  <c r="F10" i="13" s="1"/>
  <c r="L52" i="31" s="1"/>
  <c r="J34" i="37" s="1"/>
  <c r="L34" i="37" s="1"/>
  <c r="F52" i="13"/>
  <c r="F11" i="13" s="1"/>
  <c r="L53" i="31" s="1"/>
  <c r="J35" i="37" s="1"/>
  <c r="L35" i="37" s="1"/>
  <c r="C52" i="13"/>
  <c r="F8" i="13"/>
  <c r="L50" i="31" s="1"/>
  <c r="J32" i="37" s="1"/>
  <c r="L32" i="37" s="1"/>
  <c r="N52" i="31"/>
  <c r="P34" i="37" s="1"/>
  <c r="R34" i="37" s="1"/>
  <c r="N50" i="31"/>
  <c r="P32" i="37" s="1"/>
  <c r="R32" i="37" s="1"/>
  <c r="M52" i="31"/>
  <c r="M34" i="37" s="1"/>
  <c r="O34" i="37" s="1"/>
  <c r="S22" i="31"/>
  <c r="T22" i="31"/>
  <c r="S23" i="31"/>
  <c r="T23" i="31"/>
  <c r="S24" i="31"/>
  <c r="T24" i="31"/>
  <c r="S25" i="31"/>
  <c r="T25" i="31"/>
  <c r="R23" i="31"/>
  <c r="R24" i="31"/>
  <c r="R25" i="31"/>
  <c r="R22" i="31"/>
  <c r="AB11" i="6"/>
  <c r="AB10" i="6"/>
  <c r="AB9" i="6"/>
  <c r="AB8" i="6"/>
  <c r="AN11" i="6"/>
  <c r="AN10" i="6"/>
  <c r="AN9" i="6"/>
  <c r="AN8" i="6"/>
  <c r="AB11" i="5"/>
  <c r="AB10" i="5"/>
  <c r="AB9" i="5"/>
  <c r="AB8" i="5"/>
  <c r="P11" i="5"/>
  <c r="P10" i="5"/>
  <c r="P9" i="5"/>
  <c r="P8" i="5"/>
  <c r="AB11" i="4"/>
  <c r="J9" i="32" s="1"/>
  <c r="D7" i="38" s="1"/>
  <c r="F7" i="38" s="1"/>
  <c r="AB10" i="4"/>
  <c r="AB9" i="4"/>
  <c r="J7" i="32"/>
  <c r="D5" i="38" s="1"/>
  <c r="F5" i="38" s="1"/>
  <c r="AB8" i="4"/>
  <c r="C12" i="38"/>
  <c r="AY11" i="6"/>
  <c r="V17" i="32"/>
  <c r="AX11" i="6"/>
  <c r="U17" i="32" s="1"/>
  <c r="AW11" i="6"/>
  <c r="T17" i="32"/>
  <c r="AV11" i="6"/>
  <c r="S17" i="32" s="1"/>
  <c r="AU11" i="6"/>
  <c r="R17" i="32"/>
  <c r="AY10" i="6"/>
  <c r="V16" i="32" s="1"/>
  <c r="AX10" i="6"/>
  <c r="U16" i="32"/>
  <c r="AW10" i="6"/>
  <c r="T16" i="32" s="1"/>
  <c r="AV10" i="6"/>
  <c r="S16" i="32"/>
  <c r="AU10" i="6"/>
  <c r="R16" i="32" s="1"/>
  <c r="AY9" i="6"/>
  <c r="V15" i="32"/>
  <c r="AX9" i="6"/>
  <c r="U15" i="32" s="1"/>
  <c r="AW9" i="6"/>
  <c r="T15" i="32"/>
  <c r="AV9" i="6"/>
  <c r="S15" i="32" s="1"/>
  <c r="AU9" i="6"/>
  <c r="R15" i="32"/>
  <c r="AY8" i="6"/>
  <c r="V14" i="32" s="1"/>
  <c r="AX8" i="6"/>
  <c r="U14" i="32"/>
  <c r="AW8" i="6"/>
  <c r="T14" i="32" s="1"/>
  <c r="AV8" i="6"/>
  <c r="S14" i="32"/>
  <c r="AU8" i="6"/>
  <c r="R14" i="32" s="1"/>
  <c r="AC11" i="14"/>
  <c r="K21" i="32"/>
  <c r="AB11" i="14"/>
  <c r="J21" i="32" s="1"/>
  <c r="D19" i="38" s="1"/>
  <c r="F19" i="38" s="1"/>
  <c r="Z11" i="14"/>
  <c r="H21" i="32" s="1"/>
  <c r="C19" i="38" s="1"/>
  <c r="AF10" i="14"/>
  <c r="N20" i="32" s="1"/>
  <c r="P18" i="38" s="1"/>
  <c r="R18" i="38" s="1"/>
  <c r="AC10" i="14"/>
  <c r="K20" i="32"/>
  <c r="AB10" i="14"/>
  <c r="J20" i="32"/>
  <c r="D18" i="38" s="1"/>
  <c r="F18" i="38" s="1"/>
  <c r="Z10" i="14"/>
  <c r="H20" i="32" s="1"/>
  <c r="C18" i="38" s="1"/>
  <c r="AC9" i="14"/>
  <c r="K19" i="32" s="1"/>
  <c r="AB9" i="14"/>
  <c r="J19" i="32"/>
  <c r="D17" i="38" s="1"/>
  <c r="F17" i="38" s="1"/>
  <c r="Z9" i="14"/>
  <c r="H19" i="32"/>
  <c r="C17" i="38" s="1"/>
  <c r="AF8" i="14"/>
  <c r="N18" i="32" s="1"/>
  <c r="P16" i="38" s="1"/>
  <c r="R16" i="38" s="1"/>
  <c r="AC8" i="14"/>
  <c r="K18" i="32" s="1"/>
  <c r="G16" i="38" s="1"/>
  <c r="AB8" i="14"/>
  <c r="J18" i="32" s="1"/>
  <c r="D16" i="38" s="1"/>
  <c r="F16" i="38" s="1"/>
  <c r="Z8" i="14"/>
  <c r="AA8" i="14" s="1"/>
  <c r="O11" i="14"/>
  <c r="V25" i="31" s="1"/>
  <c r="N11" i="14"/>
  <c r="U25" i="31"/>
  <c r="E11" i="14"/>
  <c r="K25" i="31"/>
  <c r="D11" i="14"/>
  <c r="J25" i="31"/>
  <c r="D19" i="37" s="1"/>
  <c r="F19" i="37" s="1"/>
  <c r="B11" i="14"/>
  <c r="O10" i="14"/>
  <c r="V24" i="31" s="1"/>
  <c r="N10" i="14"/>
  <c r="U24" i="31"/>
  <c r="E10" i="14"/>
  <c r="K24" i="31"/>
  <c r="D10" i="14"/>
  <c r="J24" i="31" s="1"/>
  <c r="D18" i="37" s="1"/>
  <c r="F18" i="37" s="1"/>
  <c r="B10" i="14"/>
  <c r="O9" i="14"/>
  <c r="V23" i="31" s="1"/>
  <c r="N9" i="14"/>
  <c r="U23" i="31"/>
  <c r="H9" i="14"/>
  <c r="E9" i="14"/>
  <c r="K23" i="31"/>
  <c r="D9" i="14"/>
  <c r="J23" i="31" s="1"/>
  <c r="D17" i="37" s="1"/>
  <c r="F17" i="37" s="1"/>
  <c r="B9" i="14"/>
  <c r="O8" i="14"/>
  <c r="V22" i="31" s="1"/>
  <c r="N8" i="14"/>
  <c r="U22" i="31"/>
  <c r="F8" i="14"/>
  <c r="E8" i="14"/>
  <c r="K22" i="31"/>
  <c r="G16" i="37" s="1"/>
  <c r="G17" i="37" s="1"/>
  <c r="D8" i="14"/>
  <c r="J22" i="31" s="1"/>
  <c r="D16" i="37" s="1"/>
  <c r="F16" i="37" s="1"/>
  <c r="B8" i="14"/>
  <c r="C8" i="14" s="1"/>
  <c r="AF11" i="14"/>
  <c r="N21" i="32" s="1"/>
  <c r="P19" i="38" s="1"/>
  <c r="R19" i="38" s="1"/>
  <c r="AF9" i="14"/>
  <c r="N19" i="32"/>
  <c r="P17" i="38" s="1"/>
  <c r="R17" i="38" s="1"/>
  <c r="AD51" i="14"/>
  <c r="AE11" i="14" s="1"/>
  <c r="AC51" i="14"/>
  <c r="AE10" i="14" s="1"/>
  <c r="AB51" i="14"/>
  <c r="AE9" i="14"/>
  <c r="AA51" i="14"/>
  <c r="AE8" i="14" s="1"/>
  <c r="AD49" i="14"/>
  <c r="AC49" i="14"/>
  <c r="AB49" i="14"/>
  <c r="AA49" i="14"/>
  <c r="AD48" i="14"/>
  <c r="AD11" i="14" s="1"/>
  <c r="AC48" i="14"/>
  <c r="AD10" i="14" s="1"/>
  <c r="AB48" i="14"/>
  <c r="AD9" i="14" s="1"/>
  <c r="AA48" i="14"/>
  <c r="AD8" i="14" s="1"/>
  <c r="H11" i="14"/>
  <c r="H10" i="14"/>
  <c r="H8" i="14"/>
  <c r="N22" i="31" s="1"/>
  <c r="P16" i="37" s="1"/>
  <c r="R16" i="37" s="1"/>
  <c r="F51" i="14"/>
  <c r="G11" i="14"/>
  <c r="E51" i="14"/>
  <c r="G10" i="14" s="1"/>
  <c r="M24" i="31" s="1"/>
  <c r="M18" i="37" s="1"/>
  <c r="O18" i="37" s="1"/>
  <c r="D51" i="14"/>
  <c r="G9" i="14" s="1"/>
  <c r="M23" i="31" s="1"/>
  <c r="M17" i="37" s="1"/>
  <c r="O17" i="37" s="1"/>
  <c r="C51" i="14"/>
  <c r="G8" i="14" s="1"/>
  <c r="M22" i="31" s="1"/>
  <c r="M16" i="37" s="1"/>
  <c r="O16" i="37" s="1"/>
  <c r="F49" i="14"/>
  <c r="E49" i="14"/>
  <c r="D49" i="14"/>
  <c r="C49" i="14"/>
  <c r="F48" i="14"/>
  <c r="F11" i="14" s="1"/>
  <c r="L25" i="31" s="1"/>
  <c r="J19" i="37" s="1"/>
  <c r="L19" i="37" s="1"/>
  <c r="E48" i="14"/>
  <c r="F10" i="14" s="1"/>
  <c r="L24" i="31" s="1"/>
  <c r="J18" i="37" s="1"/>
  <c r="L18" i="37" s="1"/>
  <c r="D48" i="14"/>
  <c r="F9" i="14"/>
  <c r="L23" i="31" s="1"/>
  <c r="J17" i="37" s="1"/>
  <c r="L17" i="37" s="1"/>
  <c r="AR10" i="1"/>
  <c r="N12" i="32"/>
  <c r="P10" i="38" s="1"/>
  <c r="R10" i="38" s="1"/>
  <c r="AR9" i="1"/>
  <c r="N11" i="32"/>
  <c r="N15" i="32" s="1"/>
  <c r="P13" i="38" s="1"/>
  <c r="R13" i="38" s="1"/>
  <c r="AR8" i="1"/>
  <c r="N10" i="32" s="1"/>
  <c r="AP51" i="1"/>
  <c r="AQ11" i="1" s="1"/>
  <c r="M13" i="32" s="1"/>
  <c r="AO51" i="1"/>
  <c r="AQ10" i="1"/>
  <c r="M12" i="32" s="1"/>
  <c r="M16" i="32" s="1"/>
  <c r="M14" i="38" s="1"/>
  <c r="O14" i="38" s="1"/>
  <c r="AN51" i="1"/>
  <c r="AQ9" i="1" s="1"/>
  <c r="M11" i="32" s="1"/>
  <c r="AM51" i="1"/>
  <c r="AQ8" i="1"/>
  <c r="M10" i="32" s="1"/>
  <c r="AP49" i="1"/>
  <c r="AO49" i="1"/>
  <c r="AN49" i="1"/>
  <c r="AM49" i="1"/>
  <c r="AP48" i="1"/>
  <c r="AP11" i="1" s="1"/>
  <c r="L13" i="32" s="1"/>
  <c r="J11" i="38" s="1"/>
  <c r="L11" i="38" s="1"/>
  <c r="AO48" i="1"/>
  <c r="AP10" i="1"/>
  <c r="L12" i="32" s="1"/>
  <c r="J10" i="38" s="1"/>
  <c r="L10" i="38" s="1"/>
  <c r="AN48" i="1"/>
  <c r="AM48" i="1"/>
  <c r="AP8" i="1" s="1"/>
  <c r="L10" i="32" s="1"/>
  <c r="J8" i="38" s="1"/>
  <c r="L8" i="38" s="1"/>
  <c r="S10" i="32"/>
  <c r="U10" i="32"/>
  <c r="V10" i="32"/>
  <c r="S11" i="32"/>
  <c r="T11" i="32"/>
  <c r="U11" i="32"/>
  <c r="V11" i="32"/>
  <c r="S12" i="32"/>
  <c r="T12" i="32"/>
  <c r="U12" i="32"/>
  <c r="V12" i="32"/>
  <c r="S13" i="32"/>
  <c r="T13" i="32"/>
  <c r="U13" i="32"/>
  <c r="R12" i="32"/>
  <c r="R13" i="32"/>
  <c r="R10" i="32"/>
  <c r="H13" i="32"/>
  <c r="C11" i="38" s="1"/>
  <c r="H12" i="32"/>
  <c r="C10" i="38" s="1"/>
  <c r="D9" i="38"/>
  <c r="F9" i="38" s="1"/>
  <c r="H11" i="32"/>
  <c r="C9" i="38" s="1"/>
  <c r="K10" i="32"/>
  <c r="G8" i="38" s="1"/>
  <c r="C8" i="38"/>
  <c r="AM11" i="4"/>
  <c r="V9" i="32"/>
  <c r="AL11" i="4"/>
  <c r="U9" i="32" s="1"/>
  <c r="AK11" i="4"/>
  <c r="T9" i="32" s="1"/>
  <c r="AJ11" i="4"/>
  <c r="S9" i="32" s="1"/>
  <c r="AI11" i="4"/>
  <c r="R9" i="32"/>
  <c r="AM10" i="4"/>
  <c r="V8" i="32"/>
  <c r="AL10" i="4"/>
  <c r="U8" i="32"/>
  <c r="AK10" i="4"/>
  <c r="T8" i="32" s="1"/>
  <c r="AJ10" i="4"/>
  <c r="S8" i="32" s="1"/>
  <c r="AI10" i="4"/>
  <c r="R8" i="32"/>
  <c r="AM9" i="4"/>
  <c r="V7" i="32" s="1"/>
  <c r="AL9" i="4"/>
  <c r="U7" i="32" s="1"/>
  <c r="AK9" i="4"/>
  <c r="T7" i="32"/>
  <c r="AJ9" i="4"/>
  <c r="S7" i="32"/>
  <c r="AI9" i="4"/>
  <c r="R7" i="32"/>
  <c r="AM8" i="4"/>
  <c r="V6" i="32" s="1"/>
  <c r="AL8" i="4"/>
  <c r="U6" i="32" s="1"/>
  <c r="AK8" i="4"/>
  <c r="T6" i="32" s="1"/>
  <c r="AJ8" i="4"/>
  <c r="S6" i="32"/>
  <c r="AI8" i="4"/>
  <c r="R6" i="32" s="1"/>
  <c r="D6" i="38"/>
  <c r="F6" i="38" s="1"/>
  <c r="AL3" i="1"/>
  <c r="AL2" i="1"/>
  <c r="D11" i="6"/>
  <c r="D10" i="6"/>
  <c r="D9" i="6"/>
  <c r="D8" i="6"/>
  <c r="D11" i="5"/>
  <c r="D10" i="5"/>
  <c r="D9" i="5"/>
  <c r="D8" i="5"/>
  <c r="D11" i="4"/>
  <c r="J9" i="31"/>
  <c r="D7" i="37" s="1"/>
  <c r="F7" i="37" s="1"/>
  <c r="D10" i="4"/>
  <c r="J8" i="31"/>
  <c r="D6" i="37" s="1"/>
  <c r="F6" i="37" s="1"/>
  <c r="D9" i="4"/>
  <c r="J7" i="31"/>
  <c r="D5" i="37" s="1"/>
  <c r="F5" i="37" s="1"/>
  <c r="D8" i="4"/>
  <c r="J6" i="31"/>
  <c r="J13" i="31"/>
  <c r="D11" i="37" s="1"/>
  <c r="F11" i="37" s="1"/>
  <c r="J11" i="31"/>
  <c r="J10" i="31"/>
  <c r="U11" i="31"/>
  <c r="E11" i="1"/>
  <c r="K13" i="31"/>
  <c r="B11" i="1"/>
  <c r="H10" i="1"/>
  <c r="E10" i="1"/>
  <c r="K12" i="31"/>
  <c r="B10" i="1"/>
  <c r="E9" i="1"/>
  <c r="K11" i="31" s="1"/>
  <c r="B9" i="1"/>
  <c r="E8" i="1"/>
  <c r="B8" i="1"/>
  <c r="C8" i="1"/>
  <c r="O11" i="1"/>
  <c r="V13" i="31" s="1"/>
  <c r="N11" i="1"/>
  <c r="U13" i="31" s="1"/>
  <c r="M11" i="1"/>
  <c r="T13" i="31" s="1"/>
  <c r="L11" i="1"/>
  <c r="S13" i="31"/>
  <c r="K11" i="1"/>
  <c r="R13" i="31" s="1"/>
  <c r="O10" i="1"/>
  <c r="V12" i="31" s="1"/>
  <c r="N10" i="1"/>
  <c r="U12" i="31" s="1"/>
  <c r="M10" i="1"/>
  <c r="T12" i="31"/>
  <c r="L10" i="1"/>
  <c r="S12" i="31" s="1"/>
  <c r="K10" i="1"/>
  <c r="R12" i="31" s="1"/>
  <c r="O9" i="1"/>
  <c r="V11" i="31" s="1"/>
  <c r="N9" i="1"/>
  <c r="M9" i="1"/>
  <c r="T11" i="31"/>
  <c r="L9" i="1"/>
  <c r="S11" i="31"/>
  <c r="K9" i="1"/>
  <c r="R11" i="31"/>
  <c r="O8" i="1"/>
  <c r="V10" i="31"/>
  <c r="N8" i="1"/>
  <c r="U10" i="31"/>
  <c r="M8" i="1"/>
  <c r="T10" i="31"/>
  <c r="L8" i="1"/>
  <c r="S10" i="31"/>
  <c r="K8" i="1"/>
  <c r="H11" i="1"/>
  <c r="H9" i="1"/>
  <c r="AD51" i="1"/>
  <c r="AE11" i="1" s="1"/>
  <c r="AC51" i="1"/>
  <c r="AE10" i="1" s="1"/>
  <c r="AB51" i="1"/>
  <c r="AE9" i="1" s="1"/>
  <c r="AA51" i="1"/>
  <c r="AE8" i="1"/>
  <c r="R51" i="1"/>
  <c r="Q51" i="1"/>
  <c r="P51" i="1"/>
  <c r="O51" i="1"/>
  <c r="F51" i="1"/>
  <c r="G11" i="1" s="1"/>
  <c r="M13" i="31" s="1"/>
  <c r="E51" i="1"/>
  <c r="G10" i="1"/>
  <c r="D51" i="1"/>
  <c r="G9" i="1" s="1"/>
  <c r="M11" i="31" s="1"/>
  <c r="C51" i="1"/>
  <c r="G8" i="1" s="1"/>
  <c r="M10" i="31" s="1"/>
  <c r="AD49" i="1"/>
  <c r="AC49" i="1"/>
  <c r="AB49" i="1"/>
  <c r="AA49" i="1"/>
  <c r="R49" i="1"/>
  <c r="Q49" i="1"/>
  <c r="P49" i="1"/>
  <c r="O49" i="1"/>
  <c r="F49" i="1"/>
  <c r="E49" i="1"/>
  <c r="D49" i="1"/>
  <c r="AD48" i="1"/>
  <c r="AD11" i="1" s="1"/>
  <c r="AC48" i="1"/>
  <c r="AD10" i="1" s="1"/>
  <c r="AB48" i="1"/>
  <c r="AD9" i="1" s="1"/>
  <c r="AA48" i="1"/>
  <c r="AD8" i="1" s="1"/>
  <c r="R48" i="1"/>
  <c r="Q48" i="1"/>
  <c r="P48" i="1"/>
  <c r="O48" i="1"/>
  <c r="F48" i="1"/>
  <c r="F11" i="1" s="1"/>
  <c r="L13" i="31" s="1"/>
  <c r="J11" i="37" s="1"/>
  <c r="L11" i="37" s="1"/>
  <c r="E48" i="1"/>
  <c r="F10" i="1" s="1"/>
  <c r="L12" i="31" s="1"/>
  <c r="J10" i="37" s="1"/>
  <c r="L10" i="37" s="1"/>
  <c r="D48" i="1"/>
  <c r="F9" i="1" s="1"/>
  <c r="L11" i="31" s="1"/>
  <c r="J9" i="37" s="1"/>
  <c r="L9" i="37" s="1"/>
  <c r="F8" i="1"/>
  <c r="B2" i="1"/>
  <c r="J75" i="31"/>
  <c r="J83" i="31" s="1"/>
  <c r="J87" i="31"/>
  <c r="J91" i="31" s="1"/>
  <c r="J79" i="32"/>
  <c r="J83" i="32" s="1"/>
  <c r="J67" i="32"/>
  <c r="J75" i="32" s="1"/>
  <c r="J78" i="32"/>
  <c r="J82" i="32" s="1"/>
  <c r="J66" i="32"/>
  <c r="J74" i="32" s="1"/>
  <c r="J76" i="31"/>
  <c r="J84" i="31"/>
  <c r="J88" i="31"/>
  <c r="J92" i="31" s="1"/>
  <c r="AP9" i="1"/>
  <c r="L11" i="32" s="1"/>
  <c r="J9" i="38" s="1"/>
  <c r="L9" i="38" s="1"/>
  <c r="J68" i="32"/>
  <c r="J76" i="32" s="1"/>
  <c r="J80" i="32"/>
  <c r="J84" i="32" s="1"/>
  <c r="J74" i="31"/>
  <c r="J82" i="31" s="1"/>
  <c r="J86" i="31"/>
  <c r="J90" i="31" s="1"/>
  <c r="J6" i="32"/>
  <c r="D4" i="38" s="1"/>
  <c r="F4" i="38" s="1"/>
  <c r="J77" i="31"/>
  <c r="J85" i="31" s="1"/>
  <c r="J89" i="31"/>
  <c r="J93" i="31" s="1"/>
  <c r="J69" i="32"/>
  <c r="J77" i="32" s="1"/>
  <c r="J81" i="32"/>
  <c r="J85" i="32" s="1"/>
  <c r="L10" i="31"/>
  <c r="J8" i="37" s="1"/>
  <c r="L8" i="37" s="1"/>
  <c r="N25" i="31"/>
  <c r="P19" i="37" s="1"/>
  <c r="R19" i="37" s="1"/>
  <c r="N11" i="31"/>
  <c r="P9" i="37" s="1"/>
  <c r="R9" i="37" s="1"/>
  <c r="M12" i="31"/>
  <c r="N23" i="31"/>
  <c r="P17" i="37" s="1"/>
  <c r="R17" i="37" s="1"/>
  <c r="N13" i="31"/>
  <c r="P11" i="37" s="1"/>
  <c r="R11" i="37" s="1"/>
  <c r="N12" i="31"/>
  <c r="P10" i="37" s="1"/>
  <c r="R10" i="37" s="1"/>
  <c r="M25" i="31"/>
  <c r="M19" i="37" s="1"/>
  <c r="O19" i="37" s="1"/>
  <c r="N24" i="31"/>
  <c r="P18" i="37" s="1"/>
  <c r="R18" i="37" s="1"/>
  <c r="L22" i="31"/>
  <c r="J16" i="37" s="1"/>
  <c r="L16" i="37" s="1"/>
  <c r="O11" i="4"/>
  <c r="N11" i="4"/>
  <c r="M11" i="4"/>
  <c r="L11" i="4"/>
  <c r="K11" i="4"/>
  <c r="O10" i="4"/>
  <c r="N10" i="4"/>
  <c r="M10" i="4"/>
  <c r="L10" i="4"/>
  <c r="K10" i="4"/>
  <c r="O9" i="4"/>
  <c r="N9" i="4"/>
  <c r="M9" i="4"/>
  <c r="L9" i="4"/>
  <c r="K9" i="4"/>
  <c r="O8" i="4"/>
  <c r="N8" i="4"/>
  <c r="M8" i="4"/>
  <c r="L8" i="4"/>
  <c r="K8" i="4"/>
  <c r="O11" i="6"/>
  <c r="V17" i="31"/>
  <c r="O10" i="6"/>
  <c r="V16" i="31"/>
  <c r="O9" i="6"/>
  <c r="V15" i="31"/>
  <c r="O8" i="6"/>
  <c r="V14" i="31"/>
  <c r="N11" i="6"/>
  <c r="U17" i="31"/>
  <c r="N10" i="6"/>
  <c r="U16" i="31"/>
  <c r="N9" i="6"/>
  <c r="U15" i="31"/>
  <c r="N8" i="6"/>
  <c r="U14" i="31"/>
  <c r="M9" i="6"/>
  <c r="T15" i="31"/>
  <c r="M10" i="6"/>
  <c r="T16" i="31"/>
  <c r="M11" i="6"/>
  <c r="T17" i="31"/>
  <c r="M8" i="6"/>
  <c r="T14" i="31"/>
  <c r="L11" i="6"/>
  <c r="S17" i="31"/>
  <c r="L9" i="6"/>
  <c r="S15" i="31"/>
  <c r="L10" i="6"/>
  <c r="S16" i="31"/>
  <c r="L8" i="6"/>
  <c r="S14" i="31"/>
  <c r="K9" i="6"/>
  <c r="R15" i="31"/>
  <c r="K10" i="6"/>
  <c r="R16" i="31"/>
  <c r="K11" i="6"/>
  <c r="R17" i="31"/>
  <c r="K8" i="6"/>
  <c r="AA44" i="5"/>
  <c r="AB44" i="5"/>
  <c r="AC44" i="5"/>
  <c r="AC43" i="5" s="1"/>
  <c r="AD44" i="5"/>
  <c r="AE44" i="5"/>
  <c r="AF44" i="5"/>
  <c r="AG44" i="5"/>
  <c r="AH44" i="5"/>
  <c r="AB45" i="5"/>
  <c r="AB43" i="5" s="1"/>
  <c r="AB51" i="5" s="1"/>
  <c r="AE9" i="5" s="1"/>
  <c r="AC45" i="5"/>
  <c r="AD45" i="5"/>
  <c r="AD43" i="5" s="1"/>
  <c r="AE45" i="5"/>
  <c r="AF45" i="5"/>
  <c r="AF43" i="5" s="1"/>
  <c r="AG45" i="5"/>
  <c r="AH45" i="5"/>
  <c r="AA45" i="5"/>
  <c r="S44" i="5"/>
  <c r="S43" i="5" s="1"/>
  <c r="T44" i="5"/>
  <c r="U44" i="5"/>
  <c r="U43" i="5" s="1"/>
  <c r="V44" i="5"/>
  <c r="S45" i="5"/>
  <c r="T45" i="5"/>
  <c r="U45" i="5"/>
  <c r="V45" i="5"/>
  <c r="O44" i="5"/>
  <c r="O43" i="5" s="1"/>
  <c r="O51" i="5" s="1"/>
  <c r="S8" i="5" s="1"/>
  <c r="P44" i="5"/>
  <c r="Q44" i="5"/>
  <c r="Q43" i="5" s="1"/>
  <c r="Q51" i="5" s="1"/>
  <c r="S10" i="5" s="1"/>
  <c r="R44" i="5"/>
  <c r="O45" i="5"/>
  <c r="P45" i="5"/>
  <c r="Q45" i="5"/>
  <c r="R45" i="5"/>
  <c r="R43" i="5" s="1"/>
  <c r="R51" i="5" s="1"/>
  <c r="S11" i="5" s="1"/>
  <c r="M10" i="38"/>
  <c r="O10" i="38" s="1"/>
  <c r="AG43" i="5"/>
  <c r="AA43" i="5"/>
  <c r="AE43" i="5"/>
  <c r="AH43" i="5"/>
  <c r="P43" i="5"/>
  <c r="T43" i="5"/>
  <c r="V43" i="5"/>
  <c r="AC11" i="4"/>
  <c r="K9" i="32" s="1"/>
  <c r="Z11" i="4"/>
  <c r="H9" i="32" s="1"/>
  <c r="C7" i="38" s="1"/>
  <c r="AC10" i="4"/>
  <c r="K8" i="32" s="1"/>
  <c r="Z10" i="4"/>
  <c r="H8" i="32"/>
  <c r="C6" i="38" s="1"/>
  <c r="AC9" i="4"/>
  <c r="K7" i="32" s="1"/>
  <c r="Z9" i="4"/>
  <c r="H7" i="32"/>
  <c r="C5" i="38"/>
  <c r="AC8" i="4"/>
  <c r="K6" i="32"/>
  <c r="G4" i="38" s="1"/>
  <c r="Z8" i="4"/>
  <c r="C4" i="38"/>
  <c r="E11" i="4"/>
  <c r="K9" i="31" s="1"/>
  <c r="B11" i="4"/>
  <c r="E10" i="4"/>
  <c r="K8" i="31" s="1"/>
  <c r="B10" i="4"/>
  <c r="H9" i="4"/>
  <c r="N7" i="31" s="1"/>
  <c r="P5" i="37" s="1"/>
  <c r="R5" i="37" s="1"/>
  <c r="E9" i="4"/>
  <c r="K7" i="31"/>
  <c r="B9" i="4"/>
  <c r="E8" i="4"/>
  <c r="K6" i="31" s="1"/>
  <c r="G4" i="37" s="1"/>
  <c r="G5" i="37" s="1"/>
  <c r="D4" i="37"/>
  <c r="F4" i="37" s="1"/>
  <c r="B8" i="4"/>
  <c r="C8" i="4"/>
  <c r="AF11" i="4"/>
  <c r="N9" i="32"/>
  <c r="P7" i="38" s="1"/>
  <c r="R7" i="38" s="1"/>
  <c r="AF10" i="4"/>
  <c r="N8" i="32" s="1"/>
  <c r="P6" i="38" s="1"/>
  <c r="R6" i="38" s="1"/>
  <c r="AF9" i="4"/>
  <c r="N7" i="32"/>
  <c r="P5" i="38" s="1"/>
  <c r="R5" i="38" s="1"/>
  <c r="H11" i="4"/>
  <c r="N9" i="31" s="1"/>
  <c r="P7" i="37" s="1"/>
  <c r="R7" i="37" s="1"/>
  <c r="H10" i="4"/>
  <c r="AD51" i="4"/>
  <c r="AE11" i="4" s="1"/>
  <c r="M9" i="32"/>
  <c r="M7" i="38" s="1"/>
  <c r="O7" i="38" s="1"/>
  <c r="AC51" i="4"/>
  <c r="AE10" i="4"/>
  <c r="M8" i="32"/>
  <c r="M6" i="38" s="1"/>
  <c r="O6" i="38" s="1"/>
  <c r="AB51" i="4"/>
  <c r="AE9" i="4"/>
  <c r="M7" i="32"/>
  <c r="M5" i="38" s="1"/>
  <c r="O5" i="38" s="1"/>
  <c r="AA51" i="4"/>
  <c r="AE8" i="4" s="1"/>
  <c r="M6" i="32" s="1"/>
  <c r="M4" i="38" s="1"/>
  <c r="O4" i="38" s="1"/>
  <c r="R51" i="4"/>
  <c r="Q51" i="4"/>
  <c r="P51" i="4"/>
  <c r="O51" i="4"/>
  <c r="F51" i="4"/>
  <c r="G11" i="4"/>
  <c r="E51" i="4"/>
  <c r="G10" i="4" s="1"/>
  <c r="M8" i="31" s="1"/>
  <c r="M6" i="37" s="1"/>
  <c r="O6" i="37" s="1"/>
  <c r="D51" i="4"/>
  <c r="G9" i="4" s="1"/>
  <c r="M7" i="31" s="1"/>
  <c r="M5" i="37" s="1"/>
  <c r="O5" i="37" s="1"/>
  <c r="C51" i="4"/>
  <c r="G8" i="4" s="1"/>
  <c r="M6" i="31" s="1"/>
  <c r="M4" i="37" s="1"/>
  <c r="O4" i="37" s="1"/>
  <c r="AD49" i="4"/>
  <c r="AC49" i="4"/>
  <c r="AB49" i="4"/>
  <c r="AA49" i="4"/>
  <c r="R49" i="4"/>
  <c r="Q49" i="4"/>
  <c r="P49" i="4"/>
  <c r="O49" i="4"/>
  <c r="F49" i="4"/>
  <c r="E49" i="4"/>
  <c r="D49" i="4"/>
  <c r="C49" i="4"/>
  <c r="AD48" i="4"/>
  <c r="AD11" i="4" s="1"/>
  <c r="L9" i="32" s="1"/>
  <c r="AC48" i="4"/>
  <c r="AD10" i="4" s="1"/>
  <c r="L8" i="32" s="1"/>
  <c r="AB48" i="4"/>
  <c r="AD9" i="4" s="1"/>
  <c r="L7" i="32" s="1"/>
  <c r="AA48" i="4"/>
  <c r="AD8" i="4" s="1"/>
  <c r="L6" i="32" s="1"/>
  <c r="L18" i="32" s="1"/>
  <c r="J16" i="38" s="1"/>
  <c r="L16" i="38" s="1"/>
  <c r="R48" i="4"/>
  <c r="Q48" i="4"/>
  <c r="P48" i="4"/>
  <c r="O48" i="4"/>
  <c r="F48" i="4"/>
  <c r="F11" i="4" s="1"/>
  <c r="L9" i="31" s="1"/>
  <c r="J7" i="37" s="1"/>
  <c r="L7" i="37" s="1"/>
  <c r="E48" i="4"/>
  <c r="F10" i="4" s="1"/>
  <c r="D48" i="4"/>
  <c r="F9" i="4" s="1"/>
  <c r="L7" i="31" s="1"/>
  <c r="J5" i="37" s="1"/>
  <c r="L5" i="37" s="1"/>
  <c r="C48" i="4"/>
  <c r="F8" i="4" s="1"/>
  <c r="L6" i="31" s="1"/>
  <c r="J4" i="37" s="1"/>
  <c r="L4" i="37" s="1"/>
  <c r="AC11" i="6"/>
  <c r="Z11" i="6"/>
  <c r="AC10" i="6"/>
  <c r="Z10" i="6"/>
  <c r="AC9" i="6"/>
  <c r="Z9" i="6"/>
  <c r="AC8" i="6"/>
  <c r="Z8" i="6"/>
  <c r="AA8" i="6"/>
  <c r="AR11" i="6"/>
  <c r="AP51" i="6"/>
  <c r="AQ11" i="6" s="1"/>
  <c r="AO51" i="6"/>
  <c r="AQ10" i="6"/>
  <c r="AN51" i="6"/>
  <c r="AQ9" i="6" s="1"/>
  <c r="AM51" i="6"/>
  <c r="AQ8" i="6" s="1"/>
  <c r="AP49" i="6"/>
  <c r="AO49" i="6"/>
  <c r="AN49" i="6"/>
  <c r="AM49" i="6"/>
  <c r="AP48" i="6"/>
  <c r="AP11" i="6" s="1"/>
  <c r="L17" i="32" s="1"/>
  <c r="J15" i="38" s="1"/>
  <c r="L15" i="38" s="1"/>
  <c r="AO48" i="6"/>
  <c r="AP10" i="6"/>
  <c r="L16" i="32" s="1"/>
  <c r="J14" i="38" s="1"/>
  <c r="L14" i="38" s="1"/>
  <c r="AN48" i="6"/>
  <c r="AP9" i="6" s="1"/>
  <c r="AM48" i="6"/>
  <c r="AP8" i="6" s="1"/>
  <c r="L14" i="32" s="1"/>
  <c r="J12" i="38" s="1"/>
  <c r="L12" i="38" s="1"/>
  <c r="AO11" i="6"/>
  <c r="K17" i="32"/>
  <c r="AL11" i="6"/>
  <c r="H17" i="32" s="1"/>
  <c r="C15" i="38" s="1"/>
  <c r="AR10" i="6"/>
  <c r="AO10" i="6"/>
  <c r="K16" i="32"/>
  <c r="AL10" i="6"/>
  <c r="H16" i="32" s="1"/>
  <c r="C14" i="38" s="1"/>
  <c r="AR9" i="6"/>
  <c r="AO9" i="6"/>
  <c r="K15" i="32"/>
  <c r="AL9" i="6"/>
  <c r="H15" i="32" s="1"/>
  <c r="C13" i="38" s="1"/>
  <c r="AR8" i="6"/>
  <c r="AO8" i="6"/>
  <c r="K14" i="32"/>
  <c r="G12" i="38" s="1"/>
  <c r="AL8" i="6"/>
  <c r="AM8" i="6"/>
  <c r="E11" i="6"/>
  <c r="K17" i="31"/>
  <c r="B11" i="6"/>
  <c r="E10" i="6"/>
  <c r="K16" i="31"/>
  <c r="B10" i="6"/>
  <c r="E9" i="6"/>
  <c r="K15" i="31"/>
  <c r="B9" i="6"/>
  <c r="E8" i="6"/>
  <c r="K14" i="31" s="1"/>
  <c r="G12" i="37" s="1"/>
  <c r="I12" i="37" s="1"/>
  <c r="B8" i="6"/>
  <c r="C8" i="6"/>
  <c r="AF11" i="6"/>
  <c r="AF10" i="6"/>
  <c r="AF9" i="6"/>
  <c r="AF8" i="6"/>
  <c r="H11" i="6"/>
  <c r="N17" i="31" s="1"/>
  <c r="P15" i="37" s="1"/>
  <c r="R15" i="37" s="1"/>
  <c r="H10" i="6"/>
  <c r="H9" i="6"/>
  <c r="H8" i="6"/>
  <c r="AD51" i="6"/>
  <c r="AE11" i="6" s="1"/>
  <c r="AC51" i="6"/>
  <c r="AE10" i="6"/>
  <c r="AB51" i="6"/>
  <c r="AE9" i="6"/>
  <c r="AA51" i="6"/>
  <c r="AE8" i="6" s="1"/>
  <c r="R51" i="6"/>
  <c r="Q51" i="6"/>
  <c r="P51" i="6"/>
  <c r="O51" i="6"/>
  <c r="G11" i="6"/>
  <c r="G10" i="6"/>
  <c r="G9" i="6"/>
  <c r="G8" i="6"/>
  <c r="AD49" i="6"/>
  <c r="AC49" i="6"/>
  <c r="AB49" i="6"/>
  <c r="AA49" i="6"/>
  <c r="R49" i="6"/>
  <c r="Q49" i="6"/>
  <c r="P49" i="6"/>
  <c r="O49" i="6"/>
  <c r="AD48" i="6"/>
  <c r="AD11" i="6" s="1"/>
  <c r="AC48" i="6"/>
  <c r="AD10" i="6" s="1"/>
  <c r="AB48" i="6"/>
  <c r="AD9" i="6" s="1"/>
  <c r="AA48" i="6"/>
  <c r="AD8" i="6"/>
  <c r="R48" i="6"/>
  <c r="Q48" i="6"/>
  <c r="P48" i="6"/>
  <c r="O48" i="6"/>
  <c r="F11" i="6"/>
  <c r="F10" i="6"/>
  <c r="L16" i="31" s="1"/>
  <c r="J14" i="37" s="1"/>
  <c r="L14" i="37" s="1"/>
  <c r="F9" i="6"/>
  <c r="L15" i="31"/>
  <c r="J13" i="37" s="1"/>
  <c r="L13" i="37" s="1"/>
  <c r="AC11" i="5"/>
  <c r="Z11" i="5"/>
  <c r="H69" i="32" s="1"/>
  <c r="AC10" i="5"/>
  <c r="Z10" i="5"/>
  <c r="H80" i="32" s="1"/>
  <c r="H84" i="32" s="1"/>
  <c r="AC9" i="5"/>
  <c r="Z9" i="5"/>
  <c r="H79" i="32"/>
  <c r="H83" i="32" s="1"/>
  <c r="AC8" i="5"/>
  <c r="Z8" i="5"/>
  <c r="AA8" i="5"/>
  <c r="Q11" i="5"/>
  <c r="N11" i="5"/>
  <c r="Q10" i="5"/>
  <c r="N10" i="5"/>
  <c r="Q9" i="5"/>
  <c r="N9" i="5"/>
  <c r="Q8" i="5"/>
  <c r="N8" i="5"/>
  <c r="O8" i="5"/>
  <c r="F8" i="6"/>
  <c r="L14" i="31" s="1"/>
  <c r="J12" i="37" s="1"/>
  <c r="L12" i="37" s="1"/>
  <c r="L15" i="32"/>
  <c r="J13" i="38" s="1"/>
  <c r="L13" i="38" s="1"/>
  <c r="K79" i="32"/>
  <c r="K83" i="32" s="1"/>
  <c r="K67" i="32"/>
  <c r="K75" i="32" s="1"/>
  <c r="AA8" i="4"/>
  <c r="K66" i="32"/>
  <c r="K74" i="32" s="1"/>
  <c r="K78" i="32"/>
  <c r="K82" i="32" s="1"/>
  <c r="K80" i="32"/>
  <c r="K84" i="32" s="1"/>
  <c r="K68" i="32"/>
  <c r="K76" i="32" s="1"/>
  <c r="M9" i="31"/>
  <c r="M7" i="37" s="1"/>
  <c r="O7" i="37" s="1"/>
  <c r="N8" i="31"/>
  <c r="P6" i="37" s="1"/>
  <c r="R6" i="37" s="1"/>
  <c r="L8" i="31"/>
  <c r="J6" i="37" s="1"/>
  <c r="L6" i="37" s="1"/>
  <c r="L17" i="31"/>
  <c r="J15" i="37" s="1"/>
  <c r="L15" i="37" s="1"/>
  <c r="N15" i="31"/>
  <c r="N14" i="31"/>
  <c r="P12" i="37" s="1"/>
  <c r="R12" i="37" s="1"/>
  <c r="H67" i="32"/>
  <c r="H75" i="32" s="1"/>
  <c r="N16" i="31"/>
  <c r="P14" i="37" s="1"/>
  <c r="R14" i="37" s="1"/>
  <c r="AF11" i="5"/>
  <c r="AF10" i="5"/>
  <c r="N80" i="32" s="1"/>
  <c r="N84" i="32" s="1"/>
  <c r="AF9" i="5"/>
  <c r="N79" i="32" s="1"/>
  <c r="N83" i="32" s="1"/>
  <c r="AF8" i="5"/>
  <c r="N78" i="32" s="1"/>
  <c r="N82" i="32" s="1"/>
  <c r="AD51" i="5"/>
  <c r="AE11" i="5" s="1"/>
  <c r="AC51" i="5"/>
  <c r="AE10" i="5" s="1"/>
  <c r="AA51" i="5"/>
  <c r="AE8" i="5" s="1"/>
  <c r="AD49" i="5"/>
  <c r="AC49" i="5"/>
  <c r="AB49" i="5"/>
  <c r="AA49" i="5"/>
  <c r="AD48" i="5"/>
  <c r="AC48" i="5"/>
  <c r="AD10" i="5" s="1"/>
  <c r="L68" i="32" s="1"/>
  <c r="AB48" i="5"/>
  <c r="AA48" i="5"/>
  <c r="AD8" i="5" s="1"/>
  <c r="L66" i="32" s="1"/>
  <c r="T11" i="5"/>
  <c r="T10" i="5"/>
  <c r="T9" i="5"/>
  <c r="T8" i="5"/>
  <c r="P51" i="5"/>
  <c r="S9" i="5" s="1"/>
  <c r="R49" i="5"/>
  <c r="Q49" i="5"/>
  <c r="P49" i="5"/>
  <c r="O49" i="5"/>
  <c r="R48" i="5"/>
  <c r="R11" i="5" s="1"/>
  <c r="Q48" i="5"/>
  <c r="R10" i="5" s="1"/>
  <c r="P48" i="5"/>
  <c r="P50" i="5" s="1"/>
  <c r="X8" i="5" s="1"/>
  <c r="O48" i="5"/>
  <c r="H9" i="5"/>
  <c r="N75" i="31" s="1"/>
  <c r="N83" i="31" s="1"/>
  <c r="H10" i="5"/>
  <c r="N76" i="31" s="1"/>
  <c r="H11" i="5"/>
  <c r="N89" i="31" s="1"/>
  <c r="N93" i="31" s="1"/>
  <c r="H8" i="5"/>
  <c r="R8" i="5"/>
  <c r="O50" i="5"/>
  <c r="AD9" i="5"/>
  <c r="L67" i="32" s="1"/>
  <c r="AB50" i="5"/>
  <c r="AJ9" i="5" s="1"/>
  <c r="L79" i="32" s="1"/>
  <c r="L83" i="32" s="1"/>
  <c r="N86" i="31"/>
  <c r="N90" i="31" s="1"/>
  <c r="R9" i="5"/>
  <c r="D58" i="38"/>
  <c r="F58" i="38" s="1"/>
  <c r="P13" i="37"/>
  <c r="R13" i="37" s="1"/>
  <c r="N68" i="32"/>
  <c r="N76" i="32" s="1"/>
  <c r="N66" i="32"/>
  <c r="N67" i="32"/>
  <c r="P57" i="38" s="1"/>
  <c r="R57" i="38" s="1"/>
  <c r="N74" i="31"/>
  <c r="N77" i="31"/>
  <c r="N85" i="31" s="1"/>
  <c r="D51" i="5"/>
  <c r="G9" i="5" s="1"/>
  <c r="F51" i="5"/>
  <c r="G11" i="5" s="1"/>
  <c r="C51" i="5"/>
  <c r="G8" i="5" s="1"/>
  <c r="F49" i="5"/>
  <c r="E49" i="5"/>
  <c r="D49" i="5"/>
  <c r="F48" i="5"/>
  <c r="F11" i="5" s="1"/>
  <c r="L77" i="31" s="1"/>
  <c r="E48" i="5"/>
  <c r="F10" i="5" s="1"/>
  <c r="L76" i="31" s="1"/>
  <c r="D48" i="5"/>
  <c r="F9" i="5" s="1"/>
  <c r="L75" i="31" s="1"/>
  <c r="J57" i="37" s="1"/>
  <c r="L57" i="37" s="1"/>
  <c r="C49" i="5"/>
  <c r="C48" i="5"/>
  <c r="E9" i="5"/>
  <c r="E10" i="5"/>
  <c r="K88" i="31"/>
  <c r="K92" i="31" s="1"/>
  <c r="E11" i="5"/>
  <c r="K89" i="31" s="1"/>
  <c r="K93" i="31" s="1"/>
  <c r="E8" i="5"/>
  <c r="K74" i="31" s="1"/>
  <c r="K82" i="31" s="1"/>
  <c r="B11" i="5"/>
  <c r="H89" i="31"/>
  <c r="H93" i="31" s="1"/>
  <c r="B10" i="5"/>
  <c r="H88" i="31"/>
  <c r="H92" i="31" s="1"/>
  <c r="B9" i="5"/>
  <c r="H87" i="31"/>
  <c r="H91" i="31" s="1"/>
  <c r="B8" i="5"/>
  <c r="H86" i="31" s="1"/>
  <c r="H90" i="31" s="1"/>
  <c r="F8" i="5"/>
  <c r="C50" i="5"/>
  <c r="L8" i="5"/>
  <c r="L86" i="31" s="1"/>
  <c r="L90" i="31" s="1"/>
  <c r="D50" i="5"/>
  <c r="L9" i="5" s="1"/>
  <c r="L87" i="31" s="1"/>
  <c r="L91" i="31" s="1"/>
  <c r="P57" i="37"/>
  <c r="R57" i="37" s="1"/>
  <c r="P59" i="37"/>
  <c r="R59" i="37" s="1"/>
  <c r="C4" i="37"/>
  <c r="H7" i="31"/>
  <c r="C5" i="37" s="1"/>
  <c r="H8" i="31"/>
  <c r="C6" i="37"/>
  <c r="H9" i="31"/>
  <c r="C7" i="37" s="1"/>
  <c r="H76" i="31"/>
  <c r="C58" i="37" s="1"/>
  <c r="D58" i="37"/>
  <c r="F58" i="37" s="1"/>
  <c r="K76" i="31"/>
  <c r="H75" i="31"/>
  <c r="C57" i="37" s="1"/>
  <c r="K77" i="31"/>
  <c r="G59" i="37" s="1"/>
  <c r="I59" i="37" s="1"/>
  <c r="C8" i="5"/>
  <c r="H77" i="31"/>
  <c r="H85" i="31" s="1"/>
  <c r="D57" i="37"/>
  <c r="F57" i="37" s="1"/>
  <c r="K85" i="31"/>
  <c r="L74" i="31"/>
  <c r="L82" i="31" s="1"/>
  <c r="D46" i="34"/>
  <c r="D47" i="34"/>
  <c r="P44" i="32"/>
  <c r="P42" i="32"/>
  <c r="P45" i="32"/>
  <c r="A24" i="13"/>
  <c r="D53" i="34"/>
  <c r="D54" i="34"/>
  <c r="D55" i="34"/>
  <c r="D56" i="34"/>
  <c r="D57" i="34"/>
  <c r="D58" i="34"/>
  <c r="D59" i="34"/>
  <c r="D60" i="34"/>
  <c r="D61" i="34"/>
  <c r="C74" i="32"/>
  <c r="C66" i="32"/>
  <c r="C82" i="31"/>
  <c r="C74" i="31"/>
  <c r="Z73" i="31"/>
  <c r="R34" i="31"/>
  <c r="S73" i="31"/>
  <c r="S9" i="31"/>
  <c r="C58" i="32"/>
  <c r="C54" i="32"/>
  <c r="C50" i="32"/>
  <c r="C46" i="32"/>
  <c r="C42" i="32"/>
  <c r="C30" i="32"/>
  <c r="C22" i="32"/>
  <c r="C18" i="32"/>
  <c r="C14" i="32"/>
  <c r="C10" i="32"/>
  <c r="C58" i="31"/>
  <c r="C70" i="31"/>
  <c r="C26" i="31"/>
  <c r="C30" i="31"/>
  <c r="C34" i="31"/>
  <c r="C50" i="31"/>
  <c r="C54" i="31"/>
  <c r="C22" i="31"/>
  <c r="C14" i="31"/>
  <c r="C10" i="31"/>
  <c r="Z57" i="32"/>
  <c r="Z56" i="32"/>
  <c r="Z55" i="32"/>
  <c r="Z54" i="32"/>
  <c r="V21" i="32"/>
  <c r="U21" i="32"/>
  <c r="T21" i="32"/>
  <c r="S21" i="32"/>
  <c r="R21" i="32"/>
  <c r="V20" i="32"/>
  <c r="U20" i="32"/>
  <c r="T20" i="32"/>
  <c r="S20" i="32"/>
  <c r="R20" i="32"/>
  <c r="V19" i="32"/>
  <c r="U19" i="32"/>
  <c r="T19" i="32"/>
  <c r="S19" i="32"/>
  <c r="R19" i="32"/>
  <c r="V18" i="32"/>
  <c r="U18" i="32"/>
  <c r="T18" i="32"/>
  <c r="S18" i="32"/>
  <c r="R18" i="32"/>
  <c r="Z29" i="32"/>
  <c r="Z28" i="32"/>
  <c r="Z27" i="32"/>
  <c r="Z26" i="32"/>
  <c r="U33" i="32"/>
  <c r="T33" i="32"/>
  <c r="S33" i="32"/>
  <c r="R33" i="32"/>
  <c r="Z33" i="32"/>
  <c r="U32" i="32"/>
  <c r="T32" i="32"/>
  <c r="S32" i="32"/>
  <c r="R32" i="32"/>
  <c r="Z32" i="32"/>
  <c r="U31" i="32"/>
  <c r="T31" i="32"/>
  <c r="S31" i="32"/>
  <c r="R31" i="32"/>
  <c r="Z31" i="32"/>
  <c r="U30" i="32"/>
  <c r="T30" i="32"/>
  <c r="S30" i="32"/>
  <c r="R30" i="32"/>
  <c r="Z30" i="32"/>
  <c r="V45" i="32"/>
  <c r="U45" i="32"/>
  <c r="T45" i="32"/>
  <c r="S45" i="32"/>
  <c r="R45" i="32"/>
  <c r="Z45" i="32"/>
  <c r="V44" i="32"/>
  <c r="U44" i="32"/>
  <c r="T44" i="32"/>
  <c r="S44" i="32"/>
  <c r="R44" i="32"/>
  <c r="Z44" i="32"/>
  <c r="V43" i="32"/>
  <c r="U43" i="32"/>
  <c r="T43" i="32"/>
  <c r="S43" i="32"/>
  <c r="R43" i="32"/>
  <c r="Z43" i="32"/>
  <c r="V42" i="32"/>
  <c r="U42" i="32"/>
  <c r="T42" i="32"/>
  <c r="S42" i="32"/>
  <c r="R42" i="32"/>
  <c r="Z42" i="32"/>
  <c r="Z49" i="32"/>
  <c r="Z48" i="32"/>
  <c r="Z47" i="32"/>
  <c r="Z46" i="32"/>
  <c r="Z53" i="32"/>
  <c r="Z52" i="32"/>
  <c r="Z51" i="32"/>
  <c r="Z50" i="32"/>
  <c r="Z61" i="32"/>
  <c r="Z60" i="32"/>
  <c r="Z59" i="32"/>
  <c r="Z58" i="32"/>
  <c r="Z26" i="31"/>
  <c r="Z27" i="31"/>
  <c r="Z28" i="31"/>
  <c r="Z29" i="31"/>
  <c r="Z30" i="31"/>
  <c r="Z31" i="31"/>
  <c r="Z32" i="31"/>
  <c r="Z33" i="31"/>
  <c r="Z34" i="31"/>
  <c r="Z35" i="31"/>
  <c r="Z36" i="31"/>
  <c r="Z37" i="31"/>
  <c r="Z50" i="31"/>
  <c r="R50" i="31"/>
  <c r="S50" i="31"/>
  <c r="T50" i="31"/>
  <c r="U50" i="31"/>
  <c r="V50" i="31"/>
  <c r="Z51" i="31"/>
  <c r="R51" i="31"/>
  <c r="S51" i="31"/>
  <c r="T51" i="31"/>
  <c r="U51" i="31"/>
  <c r="V51" i="31"/>
  <c r="Z52" i="31"/>
  <c r="R52" i="31"/>
  <c r="S52" i="31"/>
  <c r="T52" i="31"/>
  <c r="U52" i="31"/>
  <c r="V52" i="31"/>
  <c r="Z53" i="31"/>
  <c r="R53" i="31"/>
  <c r="S53" i="31"/>
  <c r="T53" i="31"/>
  <c r="U53" i="31"/>
  <c r="V53" i="31"/>
  <c r="Z54" i="31"/>
  <c r="Z55" i="31"/>
  <c r="Z56" i="31"/>
  <c r="Z57" i="31"/>
  <c r="Z58" i="31"/>
  <c r="Z59" i="31"/>
  <c r="Z60" i="31"/>
  <c r="Z61" i="31"/>
  <c r="Z70" i="31"/>
  <c r="Z71" i="31"/>
  <c r="Z72" i="31"/>
  <c r="H57" i="32"/>
  <c r="C47" i="38" s="1"/>
  <c r="H56" i="32"/>
  <c r="C46" i="38" s="1"/>
  <c r="H60" i="32"/>
  <c r="C50" i="38" s="1"/>
  <c r="P44" i="38"/>
  <c r="R44" i="38" s="1"/>
  <c r="T73" i="31"/>
  <c r="V57" i="31"/>
  <c r="U57" i="31"/>
  <c r="T57" i="31"/>
  <c r="S57" i="31"/>
  <c r="R57" i="31"/>
  <c r="V56" i="31"/>
  <c r="U56" i="31"/>
  <c r="T56" i="31"/>
  <c r="S56" i="31"/>
  <c r="R56" i="31"/>
  <c r="V55" i="31"/>
  <c r="U55" i="31"/>
  <c r="T55" i="31"/>
  <c r="S55" i="31"/>
  <c r="R55" i="31"/>
  <c r="V54" i="31"/>
  <c r="U54" i="31"/>
  <c r="T54" i="31"/>
  <c r="S54" i="31"/>
  <c r="R54" i="31"/>
  <c r="V37" i="31"/>
  <c r="U37" i="31"/>
  <c r="T37" i="31"/>
  <c r="S37" i="31"/>
  <c r="R37" i="31"/>
  <c r="AA37" i="31"/>
  <c r="D31" i="37" s="1"/>
  <c r="F31" i="37" s="1"/>
  <c r="V36" i="31"/>
  <c r="U36" i="31"/>
  <c r="T36" i="31"/>
  <c r="S36" i="31"/>
  <c r="R36" i="31"/>
  <c r="AA36" i="31"/>
  <c r="D30" i="37" s="1"/>
  <c r="F30" i="37" s="1"/>
  <c r="C30" i="38"/>
  <c r="V35" i="31"/>
  <c r="U35" i="31"/>
  <c r="T35" i="31"/>
  <c r="S35" i="31"/>
  <c r="R35" i="31"/>
  <c r="AA35" i="31"/>
  <c r="D29" i="37"/>
  <c r="F29" i="37" s="1"/>
  <c r="V34" i="31"/>
  <c r="U34" i="31"/>
  <c r="T34" i="31"/>
  <c r="S34" i="31"/>
  <c r="AA34" i="31"/>
  <c r="D28" i="37" s="1"/>
  <c r="F28" i="37" s="1"/>
  <c r="AA33" i="31"/>
  <c r="D27" i="37" s="1"/>
  <c r="F27" i="37" s="1"/>
  <c r="C27" i="37"/>
  <c r="AA32" i="31"/>
  <c r="D26" i="37"/>
  <c r="F26" i="37" s="1"/>
  <c r="C26" i="37"/>
  <c r="AA31" i="31"/>
  <c r="D25" i="37"/>
  <c r="F25" i="37" s="1"/>
  <c r="AA30" i="31"/>
  <c r="D24" i="37" s="1"/>
  <c r="F24" i="37" s="1"/>
  <c r="T29" i="31"/>
  <c r="R29" i="31"/>
  <c r="V28" i="31"/>
  <c r="C21" i="37"/>
  <c r="AA26" i="31"/>
  <c r="D20" i="37" s="1"/>
  <c r="F20" i="37" s="1"/>
  <c r="V61" i="31"/>
  <c r="U61" i="31"/>
  <c r="T61" i="31"/>
  <c r="S61" i="31"/>
  <c r="R61" i="31"/>
  <c r="V60" i="31"/>
  <c r="U60" i="31"/>
  <c r="T60" i="31"/>
  <c r="S60" i="31"/>
  <c r="R60" i="31"/>
  <c r="V59" i="31"/>
  <c r="U59" i="31"/>
  <c r="T59" i="31"/>
  <c r="S59" i="31"/>
  <c r="R59" i="31"/>
  <c r="V58" i="31"/>
  <c r="U58" i="31"/>
  <c r="T58" i="31"/>
  <c r="S58" i="31"/>
  <c r="R58" i="31"/>
  <c r="G40" i="37"/>
  <c r="P39" i="37"/>
  <c r="R39" i="37" s="1"/>
  <c r="P38" i="37"/>
  <c r="R38" i="37" s="1"/>
  <c r="P37" i="37"/>
  <c r="R37" i="37" s="1"/>
  <c r="P36" i="37"/>
  <c r="R36" i="37" s="1"/>
  <c r="J42" i="38"/>
  <c r="L42" i="38" s="1"/>
  <c r="P41" i="37"/>
  <c r="R41" i="37" s="1"/>
  <c r="M42" i="37"/>
  <c r="O42" i="37" s="1"/>
  <c r="P41" i="38"/>
  <c r="R41" i="38" s="1"/>
  <c r="V53" i="32"/>
  <c r="U53" i="32"/>
  <c r="T53" i="32"/>
  <c r="S53" i="32"/>
  <c r="R53" i="32"/>
  <c r="P43" i="38"/>
  <c r="R43" i="38" s="1"/>
  <c r="V52" i="32"/>
  <c r="U52" i="32"/>
  <c r="T52" i="32"/>
  <c r="S52" i="32"/>
  <c r="R52" i="32"/>
  <c r="M42" i="38"/>
  <c r="O42" i="38" s="1"/>
  <c r="V51" i="32"/>
  <c r="U51" i="32"/>
  <c r="T51" i="32"/>
  <c r="S51" i="32"/>
  <c r="R51" i="32"/>
  <c r="V50" i="32"/>
  <c r="U50" i="32"/>
  <c r="T50" i="32"/>
  <c r="S50" i="32"/>
  <c r="R50" i="32"/>
  <c r="J41" i="37"/>
  <c r="L41" i="37" s="1"/>
  <c r="J36" i="38"/>
  <c r="L36" i="38" s="1"/>
  <c r="V49" i="32"/>
  <c r="U49" i="32"/>
  <c r="T49" i="32"/>
  <c r="S49" i="32"/>
  <c r="R49" i="32"/>
  <c r="V48" i="32"/>
  <c r="U48" i="32"/>
  <c r="T48" i="32"/>
  <c r="S48" i="32"/>
  <c r="R48" i="32"/>
  <c r="V47" i="32"/>
  <c r="U47" i="32"/>
  <c r="T47" i="32"/>
  <c r="S47" i="32"/>
  <c r="R47" i="32"/>
  <c r="V46" i="32"/>
  <c r="U46" i="32"/>
  <c r="T46" i="32"/>
  <c r="S46" i="32"/>
  <c r="R46" i="32"/>
  <c r="J40" i="37"/>
  <c r="L40" i="37" s="1"/>
  <c r="M28" i="38"/>
  <c r="O28" i="38" s="1"/>
  <c r="K50" i="31"/>
  <c r="G32" i="37" s="1"/>
  <c r="I32" i="37" s="1"/>
  <c r="B2" i="13"/>
  <c r="B4" i="14"/>
  <c r="Z4" i="13"/>
  <c r="Z3" i="13"/>
  <c r="R7" i="31"/>
  <c r="S7" i="31"/>
  <c r="T7" i="31"/>
  <c r="U7" i="31"/>
  <c r="V7" i="31"/>
  <c r="R8" i="31"/>
  <c r="S8" i="31"/>
  <c r="T8" i="31"/>
  <c r="U8" i="31"/>
  <c r="V8" i="31"/>
  <c r="R9" i="31"/>
  <c r="T9" i="31"/>
  <c r="U9" i="31"/>
  <c r="V9" i="31"/>
  <c r="R6" i="31"/>
  <c r="S6" i="31"/>
  <c r="T6" i="31"/>
  <c r="U6" i="31"/>
  <c r="V6" i="31"/>
  <c r="R14" i="31"/>
  <c r="R10" i="31"/>
  <c r="AA33" i="32"/>
  <c r="D31" i="38" s="1"/>
  <c r="F31" i="38" s="1"/>
  <c r="AA32" i="32"/>
  <c r="D30" i="38" s="1"/>
  <c r="F30" i="38" s="1"/>
  <c r="AA31" i="32"/>
  <c r="D29" i="38" s="1"/>
  <c r="F29" i="38" s="1"/>
  <c r="AA30" i="32"/>
  <c r="D28" i="38" s="1"/>
  <c r="F28" i="38" s="1"/>
  <c r="P31" i="38"/>
  <c r="R31" i="38" s="1"/>
  <c r="P30" i="38"/>
  <c r="R30" i="38" s="1"/>
  <c r="P29" i="38"/>
  <c r="R29" i="38" s="1"/>
  <c r="J31" i="38"/>
  <c r="L31" i="38" s="1"/>
  <c r="Z3" i="10"/>
  <c r="B3" i="10"/>
  <c r="Y3" i="4"/>
  <c r="B3" i="1"/>
  <c r="B3" i="6"/>
  <c r="S3" i="6"/>
  <c r="D12" i="37"/>
  <c r="F12" i="37" s="1"/>
  <c r="D10" i="37"/>
  <c r="F10" i="37" s="1"/>
  <c r="D9" i="37"/>
  <c r="F9" i="37" s="1"/>
  <c r="K10" i="31"/>
  <c r="G8" i="37" s="1"/>
  <c r="D8" i="37"/>
  <c r="F8" i="37"/>
  <c r="AA29" i="32"/>
  <c r="D27" i="38" s="1"/>
  <c r="F27" i="38" s="1"/>
  <c r="AA28" i="32"/>
  <c r="D26" i="38" s="1"/>
  <c r="F26" i="38" s="1"/>
  <c r="AA27" i="32"/>
  <c r="D25" i="38" s="1"/>
  <c r="F25" i="38" s="1"/>
  <c r="AA26" i="32"/>
  <c r="D24" i="38" s="1"/>
  <c r="F24" i="38" s="1"/>
  <c r="C25" i="37"/>
  <c r="G41" i="37"/>
  <c r="I41" i="37" s="1"/>
  <c r="I40" i="37"/>
  <c r="V26" i="31"/>
  <c r="U28" i="31"/>
  <c r="T28" i="31"/>
  <c r="J37" i="37"/>
  <c r="L37" i="37" s="1"/>
  <c r="J38" i="37"/>
  <c r="L38" i="37" s="1"/>
  <c r="J36" i="37"/>
  <c r="L36" i="37" s="1"/>
  <c r="M38" i="37"/>
  <c r="O38" i="37" s="1"/>
  <c r="C28" i="37"/>
  <c r="J54" i="38"/>
  <c r="L54" i="38" s="1"/>
  <c r="V29" i="31"/>
  <c r="T27" i="31"/>
  <c r="H59" i="32"/>
  <c r="C49" i="38" s="1"/>
  <c r="T72" i="31"/>
  <c r="G44" i="38"/>
  <c r="G45" i="38" s="1"/>
  <c r="G46" i="38" s="1"/>
  <c r="U72" i="31"/>
  <c r="V71" i="31"/>
  <c r="T26" i="31"/>
  <c r="R28" i="31"/>
  <c r="R71" i="31"/>
  <c r="AA29" i="31"/>
  <c r="D23" i="37" s="1"/>
  <c r="F23" i="37" s="1"/>
  <c r="S72" i="31"/>
  <c r="H61" i="32"/>
  <c r="C51" i="38" s="1"/>
  <c r="P48" i="38"/>
  <c r="R48" i="38" s="1"/>
  <c r="J53" i="38"/>
  <c r="L53" i="38" s="1"/>
  <c r="J53" i="37"/>
  <c r="L53" i="37" s="1"/>
  <c r="M48" i="38"/>
  <c r="O48" i="38" s="1"/>
  <c r="P20" i="37"/>
  <c r="R20" i="37" s="1"/>
  <c r="J20" i="37"/>
  <c r="L20" i="37" s="1"/>
  <c r="H13" i="31"/>
  <c r="C11" i="37" s="1"/>
  <c r="H15" i="31"/>
  <c r="C13" i="37" s="1"/>
  <c r="H25" i="31"/>
  <c r="C19" i="37" s="1"/>
  <c r="P52" i="38"/>
  <c r="R52" i="38" s="1"/>
  <c r="C53" i="38"/>
  <c r="H71" i="31"/>
  <c r="C53" i="37" s="1"/>
  <c r="P21" i="37"/>
  <c r="R21" i="37" s="1"/>
  <c r="H12" i="31"/>
  <c r="C10" i="37" s="1"/>
  <c r="H24" i="31"/>
  <c r="C18" i="37" s="1"/>
  <c r="M20" i="37"/>
  <c r="O20" i="37" s="1"/>
  <c r="C42" i="38"/>
  <c r="H60" i="31"/>
  <c r="C42" i="37"/>
  <c r="S27" i="31"/>
  <c r="P22" i="37"/>
  <c r="R22" i="37" s="1"/>
  <c r="H17" i="31"/>
  <c r="C15" i="37" s="1"/>
  <c r="C12" i="37"/>
  <c r="H16" i="31"/>
  <c r="C14" i="37" s="1"/>
  <c r="C16" i="37"/>
  <c r="S26" i="31"/>
  <c r="U27" i="31"/>
  <c r="C36" i="38"/>
  <c r="C36" i="37"/>
  <c r="R70" i="31"/>
  <c r="V70" i="31"/>
  <c r="P53" i="38"/>
  <c r="R53" i="38" s="1"/>
  <c r="P53" i="37"/>
  <c r="R53" i="37" s="1"/>
  <c r="U71" i="31"/>
  <c r="J55" i="38"/>
  <c r="L55" i="38" s="1"/>
  <c r="U73" i="31"/>
  <c r="J21" i="37"/>
  <c r="L21" i="37" s="1"/>
  <c r="C43" i="38"/>
  <c r="H61" i="31"/>
  <c r="C43" i="37" s="1"/>
  <c r="C20" i="37"/>
  <c r="H56" i="31"/>
  <c r="C38" i="37" s="1"/>
  <c r="M23" i="37"/>
  <c r="O23" i="37" s="1"/>
  <c r="J52" i="37"/>
  <c r="L52" i="37" s="1"/>
  <c r="J52" i="38"/>
  <c r="L52" i="38" s="1"/>
  <c r="S29" i="31"/>
  <c r="S70" i="31"/>
  <c r="P37" i="38"/>
  <c r="R37" i="38" s="1"/>
  <c r="H11" i="31"/>
  <c r="C9" i="37" s="1"/>
  <c r="M21" i="37"/>
  <c r="O21" i="37" s="1"/>
  <c r="M54" i="37"/>
  <c r="O54" i="37" s="1"/>
  <c r="M54" i="38"/>
  <c r="O54" i="38" s="1"/>
  <c r="P54" i="38"/>
  <c r="R54" i="38" s="1"/>
  <c r="P54" i="37"/>
  <c r="R54" i="37" s="1"/>
  <c r="U26" i="31"/>
  <c r="AA27" i="31"/>
  <c r="D21" i="37" s="1"/>
  <c r="F21" i="37" s="1"/>
  <c r="S28" i="31"/>
  <c r="G52" i="38"/>
  <c r="G53" i="38" s="1"/>
  <c r="I53" i="38" s="1"/>
  <c r="G52" i="37"/>
  <c r="G53" i="37" s="1"/>
  <c r="M53" i="38"/>
  <c r="O53" i="38" s="1"/>
  <c r="T71" i="31"/>
  <c r="M49" i="38"/>
  <c r="O49" i="38"/>
  <c r="R72" i="31"/>
  <c r="V72" i="31"/>
  <c r="P55" i="37"/>
  <c r="R55" i="37" s="1"/>
  <c r="P55" i="38"/>
  <c r="R55" i="38" s="1"/>
  <c r="C44" i="38"/>
  <c r="C8" i="37"/>
  <c r="C32" i="37"/>
  <c r="C40" i="38"/>
  <c r="C40" i="37"/>
  <c r="V27" i="31"/>
  <c r="H23" i="31"/>
  <c r="C17" i="37" s="1"/>
  <c r="M55" i="37"/>
  <c r="O55" i="37" s="1"/>
  <c r="M55" i="38"/>
  <c r="O55" i="38" s="1"/>
  <c r="H28" i="31"/>
  <c r="C22" i="37" s="1"/>
  <c r="H29" i="31"/>
  <c r="C23" i="37" s="1"/>
  <c r="V73" i="31"/>
  <c r="J47" i="38"/>
  <c r="L47" i="38" s="1"/>
  <c r="H55" i="32"/>
  <c r="C45" i="38" s="1"/>
  <c r="C28" i="38"/>
  <c r="R73" i="31"/>
  <c r="H59" i="31"/>
  <c r="C41" i="37" s="1"/>
  <c r="M51" i="38"/>
  <c r="O51" i="38" s="1"/>
  <c r="M52" i="38"/>
  <c r="O52" i="38" s="1"/>
  <c r="R27" i="31"/>
  <c r="AA28" i="31"/>
  <c r="D22" i="37" s="1"/>
  <c r="F22" i="37" s="1"/>
  <c r="U29" i="31"/>
  <c r="H55" i="31"/>
  <c r="C37" i="37" s="1"/>
  <c r="C37" i="38"/>
  <c r="H57" i="31"/>
  <c r="C39" i="37" s="1"/>
  <c r="H72" i="31"/>
  <c r="C54" i="37" s="1"/>
  <c r="C54" i="38"/>
  <c r="S71" i="31"/>
  <c r="U70" i="31"/>
  <c r="C24" i="37"/>
  <c r="C52" i="38"/>
  <c r="C52" i="37"/>
  <c r="H73" i="31"/>
  <c r="C55" i="37"/>
  <c r="C55" i="38"/>
  <c r="T70" i="31"/>
  <c r="R26" i="31"/>
  <c r="C48" i="38"/>
  <c r="J54" i="37"/>
  <c r="L54" i="37"/>
  <c r="F9" i="8"/>
  <c r="L19" i="31" s="1"/>
  <c r="D57" i="38" l="1"/>
  <c r="F57" i="38" s="1"/>
  <c r="I40" i="38"/>
  <c r="G21" i="37"/>
  <c r="G22" i="37" s="1"/>
  <c r="I20" i="37"/>
  <c r="D34" i="37"/>
  <c r="F34" i="37" s="1"/>
  <c r="D59" i="37"/>
  <c r="F59" i="37" s="1"/>
  <c r="D33" i="37"/>
  <c r="F33" i="37" s="1"/>
  <c r="D32" i="37"/>
  <c r="F32" i="37" s="1"/>
  <c r="I36" i="37"/>
  <c r="G13" i="37"/>
  <c r="G42" i="37"/>
  <c r="I42" i="37" s="1"/>
  <c r="I52" i="37"/>
  <c r="G56" i="38"/>
  <c r="I56" i="38" s="1"/>
  <c r="I52" i="38"/>
  <c r="I44" i="38"/>
  <c r="D59" i="38"/>
  <c r="F59" i="38" s="1"/>
  <c r="D56" i="38"/>
  <c r="F56" i="38" s="1"/>
  <c r="G5" i="38"/>
  <c r="I4" i="38"/>
  <c r="C57" i="38"/>
  <c r="N16" i="32"/>
  <c r="P14" i="38" s="1"/>
  <c r="R14" i="38" s="1"/>
  <c r="N75" i="32"/>
  <c r="G43" i="37"/>
  <c r="I43" i="37" s="1"/>
  <c r="C59" i="37"/>
  <c r="D56" i="37"/>
  <c r="F56" i="37" s="1"/>
  <c r="G6" i="37"/>
  <c r="I5" i="37"/>
  <c r="G18" i="37"/>
  <c r="I18" i="37" s="1"/>
  <c r="I17" i="37"/>
  <c r="I16" i="37"/>
  <c r="G25" i="37"/>
  <c r="G26" i="37" s="1"/>
  <c r="G27" i="37" s="1"/>
  <c r="I4" i="37"/>
  <c r="G9" i="38"/>
  <c r="I8" i="38"/>
  <c r="P9" i="38"/>
  <c r="R9" i="38" s="1"/>
  <c r="I36" i="38"/>
  <c r="I45" i="38"/>
  <c r="I25" i="38"/>
  <c r="G26" i="38"/>
  <c r="G27" i="38" s="1"/>
  <c r="I27" i="38" s="1"/>
  <c r="G49" i="38"/>
  <c r="G54" i="38"/>
  <c r="I24" i="38"/>
  <c r="G54" i="37"/>
  <c r="I53" i="37"/>
  <c r="I25" i="37"/>
  <c r="M19" i="31"/>
  <c r="M9" i="37"/>
  <c r="O9" i="37" s="1"/>
  <c r="M15" i="31"/>
  <c r="M13" i="37" s="1"/>
  <c r="O13" i="37" s="1"/>
  <c r="M8" i="37"/>
  <c r="O8" i="37" s="1"/>
  <c r="M14" i="31"/>
  <c r="M12" i="37" s="1"/>
  <c r="O12" i="37" s="1"/>
  <c r="M18" i="31"/>
  <c r="M89" i="31"/>
  <c r="M93" i="31" s="1"/>
  <c r="M77" i="31"/>
  <c r="M21" i="31"/>
  <c r="M17" i="31"/>
  <c r="M15" i="37" s="1"/>
  <c r="O15" i="37" s="1"/>
  <c r="M11" i="37"/>
  <c r="O11" i="37" s="1"/>
  <c r="J56" i="38"/>
  <c r="L56" i="38" s="1"/>
  <c r="L74" i="32"/>
  <c r="M14" i="32"/>
  <c r="M12" i="38" s="1"/>
  <c r="O12" i="38" s="1"/>
  <c r="M8" i="38"/>
  <c r="O8" i="38" s="1"/>
  <c r="M81" i="32"/>
  <c r="M85" i="32" s="1"/>
  <c r="M69" i="32"/>
  <c r="P58" i="38"/>
  <c r="R58" i="38" s="1"/>
  <c r="R50" i="5"/>
  <c r="X10" i="5" s="1"/>
  <c r="F50" i="5"/>
  <c r="L11" i="5" s="1"/>
  <c r="L89" i="31" s="1"/>
  <c r="L93" i="31" s="1"/>
  <c r="E50" i="5"/>
  <c r="L10" i="5" s="1"/>
  <c r="L88" i="31" s="1"/>
  <c r="L92" i="31" s="1"/>
  <c r="J56" i="37"/>
  <c r="L56" i="37" s="1"/>
  <c r="AA50" i="5"/>
  <c r="AJ8" i="5" s="1"/>
  <c r="L78" i="32" s="1"/>
  <c r="L82" i="32" s="1"/>
  <c r="N88" i="31"/>
  <c r="N92" i="31" s="1"/>
  <c r="J4" i="38"/>
  <c r="L4" i="38" s="1"/>
  <c r="I46" i="38"/>
  <c r="G47" i="38"/>
  <c r="I47" i="38" s="1"/>
  <c r="I8" i="37"/>
  <c r="G9" i="37"/>
  <c r="G42" i="38"/>
  <c r="I41" i="38"/>
  <c r="G23" i="37"/>
  <c r="I23" i="37" s="1"/>
  <c r="I22" i="37"/>
  <c r="H83" i="31"/>
  <c r="P56" i="38"/>
  <c r="R56" i="38" s="1"/>
  <c r="N74" i="32"/>
  <c r="N87" i="31"/>
  <c r="N91" i="31" s="1"/>
  <c r="N84" i="31"/>
  <c r="P58" i="37"/>
  <c r="R58" i="37" s="1"/>
  <c r="L21" i="32"/>
  <c r="J19" i="38" s="1"/>
  <c r="L19" i="38" s="1"/>
  <c r="J7" i="38"/>
  <c r="L7" i="38" s="1"/>
  <c r="I37" i="38"/>
  <c r="I38" i="38"/>
  <c r="J58" i="37"/>
  <c r="L58" i="37" s="1"/>
  <c r="L84" i="31"/>
  <c r="M75" i="31"/>
  <c r="M87" i="31"/>
  <c r="M91" i="31" s="1"/>
  <c r="J57" i="38"/>
  <c r="L57" i="38" s="1"/>
  <c r="L75" i="32"/>
  <c r="M66" i="32"/>
  <c r="M78" i="32"/>
  <c r="M82" i="32" s="1"/>
  <c r="G56" i="37"/>
  <c r="I56" i="37" s="1"/>
  <c r="L83" i="31"/>
  <c r="J58" i="38"/>
  <c r="L58" i="38" s="1"/>
  <c r="L76" i="32"/>
  <c r="G14" i="37"/>
  <c r="I13" i="37"/>
  <c r="C59" i="38"/>
  <c r="H77" i="32"/>
  <c r="M16" i="31"/>
  <c r="M14" i="37" s="1"/>
  <c r="O14" i="37" s="1"/>
  <c r="M10" i="37"/>
  <c r="O10" i="37" s="1"/>
  <c r="M20" i="31"/>
  <c r="M88" i="31"/>
  <c r="M92" i="31" s="1"/>
  <c r="M76" i="31"/>
  <c r="P56" i="37"/>
  <c r="R56" i="37" s="1"/>
  <c r="N82" i="31"/>
  <c r="AD11" i="5"/>
  <c r="L69" i="32" s="1"/>
  <c r="AD50" i="5"/>
  <c r="AJ11" i="5" s="1"/>
  <c r="L81" i="32" s="1"/>
  <c r="L85" i="32" s="1"/>
  <c r="N69" i="32"/>
  <c r="N81" i="32"/>
  <c r="N85" i="32" s="1"/>
  <c r="K81" i="32"/>
  <c r="K85" i="32" s="1"/>
  <c r="K69" i="32"/>
  <c r="K77" i="32" s="1"/>
  <c r="M68" i="32"/>
  <c r="M80" i="32"/>
  <c r="M84" i="32" s="1"/>
  <c r="G58" i="37"/>
  <c r="I58" i="37" s="1"/>
  <c r="K84" i="31"/>
  <c r="K87" i="31"/>
  <c r="K91" i="31" s="1"/>
  <c r="K75" i="31"/>
  <c r="I12" i="38"/>
  <c r="G13" i="38"/>
  <c r="I21" i="37"/>
  <c r="J59" i="37"/>
  <c r="L59" i="37" s="1"/>
  <c r="L85" i="31"/>
  <c r="M74" i="31"/>
  <c r="M86" i="31"/>
  <c r="M90" i="31" s="1"/>
  <c r="J5" i="38"/>
  <c r="L5" i="38" s="1"/>
  <c r="L19" i="32"/>
  <c r="J17" i="38" s="1"/>
  <c r="L17" i="38" s="1"/>
  <c r="M79" i="32"/>
  <c r="M83" i="32" s="1"/>
  <c r="M67" i="32"/>
  <c r="L20" i="32"/>
  <c r="J18" i="38" s="1"/>
  <c r="L18" i="38" s="1"/>
  <c r="J6" i="38"/>
  <c r="L6" i="38" s="1"/>
  <c r="K86" i="31"/>
  <c r="K90" i="31" s="1"/>
  <c r="H68" i="32"/>
  <c r="H81" i="32"/>
  <c r="H85" i="32" s="1"/>
  <c r="P8" i="38"/>
  <c r="R8" i="38" s="1"/>
  <c r="N14" i="32"/>
  <c r="P12" i="38" s="1"/>
  <c r="R12" i="38" s="1"/>
  <c r="I28" i="38"/>
  <c r="G29" i="38"/>
  <c r="AC50" i="5"/>
  <c r="AJ10" i="5" s="1"/>
  <c r="L80" i="32" s="1"/>
  <c r="L84" i="32" s="1"/>
  <c r="M15" i="32"/>
  <c r="M13" i="38" s="1"/>
  <c r="O13" i="38" s="1"/>
  <c r="M9" i="38"/>
  <c r="O9" i="38" s="1"/>
  <c r="H39" i="37"/>
  <c r="G17" i="38"/>
  <c r="I16" i="38"/>
  <c r="G29" i="37"/>
  <c r="I28" i="37"/>
  <c r="G38" i="37"/>
  <c r="G39" i="37" s="1"/>
  <c r="I37" i="37"/>
  <c r="H84" i="31"/>
  <c r="Q50" i="5"/>
  <c r="X9" i="5" s="1"/>
  <c r="M17" i="32"/>
  <c r="M15" i="38" s="1"/>
  <c r="O15" i="38" s="1"/>
  <c r="M11" i="38"/>
  <c r="O11" i="38" s="1"/>
  <c r="I26" i="37"/>
  <c r="H27" i="37"/>
  <c r="I27" i="37" s="1"/>
  <c r="N17" i="32"/>
  <c r="P15" i="38" s="1"/>
  <c r="R15" i="38" s="1"/>
  <c r="P11" i="38"/>
  <c r="R11" i="38" s="1"/>
  <c r="H31" i="38"/>
  <c r="P74" i="32"/>
  <c r="P78" i="32" s="1"/>
  <c r="P82" i="32" s="1"/>
  <c r="P66" i="32"/>
  <c r="P74" i="31"/>
  <c r="P82" i="31" s="1"/>
  <c r="P86" i="31"/>
  <c r="P90" i="31" s="1"/>
  <c r="O56" i="1"/>
  <c r="P56" i="1" s="1"/>
  <c r="C61" i="13"/>
  <c r="C63" i="13" s="1"/>
  <c r="G57" i="38" l="1"/>
  <c r="I57" i="38" s="1"/>
  <c r="G19" i="37"/>
  <c r="I19" i="37" s="1"/>
  <c r="G6" i="38"/>
  <c r="I5" i="38"/>
  <c r="I38" i="37"/>
  <c r="G7" i="37"/>
  <c r="I7" i="37" s="1"/>
  <c r="I6" i="37"/>
  <c r="I26" i="38"/>
  <c r="G58" i="38"/>
  <c r="G10" i="38"/>
  <c r="I9" i="38"/>
  <c r="I54" i="38"/>
  <c r="G55" i="38"/>
  <c r="I55" i="38" s="1"/>
  <c r="I49" i="38"/>
  <c r="G50" i="38"/>
  <c r="I39" i="37"/>
  <c r="I54" i="37"/>
  <c r="G55" i="37"/>
  <c r="I55" i="37" s="1"/>
  <c r="M59" i="37"/>
  <c r="O59" i="37" s="1"/>
  <c r="M85" i="31"/>
  <c r="M77" i="32"/>
  <c r="M21" i="32"/>
  <c r="M19" i="38" s="1"/>
  <c r="O19" i="38" s="1"/>
  <c r="M59" i="38"/>
  <c r="O59" i="38" s="1"/>
  <c r="J59" i="38"/>
  <c r="L59" i="38" s="1"/>
  <c r="L77" i="32"/>
  <c r="G15" i="37"/>
  <c r="I15" i="37" s="1"/>
  <c r="I14" i="37"/>
  <c r="I29" i="37"/>
  <c r="G30" i="37"/>
  <c r="N77" i="32"/>
  <c r="P59" i="38"/>
  <c r="R59" i="38" s="1"/>
  <c r="G18" i="38"/>
  <c r="I17" i="38"/>
  <c r="G57" i="37"/>
  <c r="I57" i="37" s="1"/>
  <c r="K83" i="31"/>
  <c r="M56" i="38"/>
  <c r="O56" i="38" s="1"/>
  <c r="M74" i="32"/>
  <c r="M18" i="32"/>
  <c r="M16" i="38" s="1"/>
  <c r="O16" i="38" s="1"/>
  <c r="I29" i="38"/>
  <c r="G30" i="38"/>
  <c r="M56" i="37"/>
  <c r="O56" i="37" s="1"/>
  <c r="M82" i="31"/>
  <c r="M57" i="38"/>
  <c r="O57" i="38" s="1"/>
  <c r="M75" i="32"/>
  <c r="M19" i="32"/>
  <c r="M17" i="38" s="1"/>
  <c r="O17" i="38" s="1"/>
  <c r="M58" i="38"/>
  <c r="O58" i="38" s="1"/>
  <c r="M20" i="32"/>
  <c r="M18" i="38" s="1"/>
  <c r="O18" i="38" s="1"/>
  <c r="M76" i="32"/>
  <c r="G10" i="37"/>
  <c r="I9" i="37"/>
  <c r="G14" i="38"/>
  <c r="I13" i="38"/>
  <c r="M58" i="37"/>
  <c r="O58" i="37" s="1"/>
  <c r="M84" i="31"/>
  <c r="M57" i="37"/>
  <c r="O57" i="37" s="1"/>
  <c r="M83" i="31"/>
  <c r="I42" i="38"/>
  <c r="G43" i="38"/>
  <c r="I43" i="38" s="1"/>
  <c r="C58" i="38"/>
  <c r="H76" i="32"/>
  <c r="I6" i="38" l="1"/>
  <c r="G7" i="38"/>
  <c r="I7" i="38" s="1"/>
  <c r="G11" i="38"/>
  <c r="I11" i="38" s="1"/>
  <c r="I10" i="38"/>
  <c r="I58" i="38"/>
  <c r="G59" i="38"/>
  <c r="I59" i="38" s="1"/>
  <c r="G51" i="38"/>
  <c r="I51" i="38" s="1"/>
  <c r="I50" i="38"/>
  <c r="G31" i="37"/>
  <c r="I31" i="37" s="1"/>
  <c r="I30" i="37"/>
  <c r="I14" i="38"/>
  <c r="G15" i="38"/>
  <c r="I15" i="38" s="1"/>
  <c r="G11" i="37"/>
  <c r="I11" i="37" s="1"/>
  <c r="I10" i="37"/>
  <c r="G31" i="38"/>
  <c r="I31" i="38" s="1"/>
  <c r="I30" i="38"/>
  <c r="G19" i="38"/>
  <c r="I19" i="38" s="1"/>
  <c r="I18"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M14" authorId="0" shapeId="0" xr:uid="{00000000-0006-0000-0300-000002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5" authorId="0" shapeId="0" xr:uid="{00000000-0006-0000-0300-000003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6" authorId="0" shapeId="0" xr:uid="{00000000-0006-0000-0300-000004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7" authorId="0" shapeId="0" xr:uid="{00000000-0006-0000-0300-000005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8" authorId="0" shapeId="0" xr:uid="{00000000-0006-0000-0300-000006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19" authorId="0" shapeId="0" xr:uid="{00000000-0006-0000-0300-000008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20" authorId="0" shapeId="0" xr:uid="{00000000-0006-0000-0300-000009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21" authorId="0" shapeId="0" xr:uid="{00000000-0006-0000-0300-00000A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J26" authorId="1" shapeId="0" xr:uid="{00000000-0006-0000-0300-00000B000000}">
      <text>
        <r>
          <rPr>
            <b/>
            <sz val="9"/>
            <color indexed="81"/>
            <rFont val="Tahoma"/>
            <family val="2"/>
          </rPr>
          <t>Maurizio Gargiulo:</t>
        </r>
        <r>
          <rPr>
            <sz val="9"/>
            <color indexed="81"/>
            <rFont val="Tahoma"/>
            <family val="2"/>
          </rPr>
          <t xml:space="preserve">
Moved to trans file</t>
        </r>
      </text>
    </comment>
    <comment ref="J38" authorId="1" shapeId="0" xr:uid="{00000000-0006-0000-0300-00000C000000}">
      <text>
        <r>
          <rPr>
            <b/>
            <sz val="9"/>
            <color indexed="81"/>
            <rFont val="Tahoma"/>
            <family val="2"/>
          </rPr>
          <t>Maurizio Gargiulo:</t>
        </r>
        <r>
          <rPr>
            <sz val="9"/>
            <color indexed="81"/>
            <rFont val="Tahoma"/>
            <family val="2"/>
          </rPr>
          <t xml:space="preserve">
Moved to trans file</t>
        </r>
      </text>
    </comment>
    <comment ref="C74" authorId="0" shapeId="0" xr:uid="{00000000-0006-0000-0300-00000E000000}">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C78" authorId="0" shapeId="0" xr:uid="{C3A8E1AF-792F-489E-8ED7-FC5BE7C6B9BC}">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D78" authorId="0" shapeId="0" xr:uid="{DB0A512C-3735-420F-AE05-194B2A9FA01E}">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J14" authorId="0" shapeId="0" xr:uid="{00000000-0006-0000-0400-000001000000}">
      <text>
        <r>
          <rPr>
            <b/>
            <sz val="9"/>
            <color indexed="81"/>
            <rFont val="Tahoma"/>
            <family val="2"/>
          </rPr>
          <t>Rikke Næraa:</t>
        </r>
        <r>
          <rPr>
            <sz val="9"/>
            <color indexed="81"/>
            <rFont val="Tahoma"/>
            <family val="2"/>
          </rPr>
          <t xml:space="preserve">
The efficiency is set equal to the value from the old tech kat - </t>
        </r>
      </text>
    </comment>
    <comment ref="L14" authorId="0" shapeId="0" xr:uid="{00000000-0006-0000-0400-000002000000}">
      <text>
        <r>
          <rPr>
            <b/>
            <sz val="9"/>
            <color indexed="81"/>
            <rFont val="Tahoma"/>
            <family val="2"/>
          </rPr>
          <t>Rikke Næraa:</t>
        </r>
        <r>
          <rPr>
            <sz val="9"/>
            <color indexed="81"/>
            <rFont val="Tahoma"/>
            <family val="2"/>
          </rPr>
          <t xml:space="preserve">
Reduced  by multip by 0.7 - to accunt for the lower CAP </t>
        </r>
      </text>
    </comment>
    <comment ref="N14" authorId="0" shapeId="0" xr:uid="{00000000-0006-0000-0400-000004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5" authorId="0" shapeId="0" xr:uid="{00000000-0006-0000-0400-000005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6" authorId="0" shapeId="0" xr:uid="{00000000-0006-0000-0400-000006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7" authorId="0" shapeId="0" xr:uid="{00000000-0006-0000-0400-000007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J22" authorId="1" shapeId="0" xr:uid="{00000000-0006-0000-0400-00000A000000}">
      <text>
        <r>
          <rPr>
            <b/>
            <sz val="9"/>
            <color indexed="81"/>
            <rFont val="Tahoma"/>
            <family val="2"/>
          </rPr>
          <t>Maurizio Gargiulo:</t>
        </r>
        <r>
          <rPr>
            <sz val="9"/>
            <color indexed="81"/>
            <rFont val="Tahoma"/>
            <family val="2"/>
          </rPr>
          <t xml:space="preserve">
Moved to the trans file by 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AA16" authorId="0" shapeId="0" xr:uid="{00000000-0006-0000-0500-000001000000}">
      <text>
        <r>
          <rPr>
            <b/>
            <sz val="9"/>
            <color indexed="81"/>
            <rFont val="Tahoma"/>
            <family val="2"/>
          </rPr>
          <t>Rikke Næraa:</t>
        </r>
        <r>
          <rPr>
            <sz val="9"/>
            <color indexed="81"/>
            <rFont val="Tahoma"/>
            <family val="2"/>
          </rPr>
          <t xml:space="preserve">
changed from 44 - but the investment cost becames very low  - </t>
        </r>
      </text>
    </comment>
    <comment ref="AB16" authorId="0" shapeId="0" xr:uid="{00000000-0006-0000-0500-000002000000}">
      <text>
        <r>
          <rPr>
            <b/>
            <sz val="9"/>
            <color indexed="81"/>
            <rFont val="Tahoma"/>
            <family val="2"/>
          </rPr>
          <t>Rikke Næraa:</t>
        </r>
        <r>
          <rPr>
            <sz val="9"/>
            <color indexed="81"/>
            <rFont val="Tahoma"/>
            <family val="2"/>
          </rPr>
          <t xml:space="preserve">
80 is the original value for these years  - the capex is as low pr kW as for a oil boiler</t>
        </r>
      </text>
    </comment>
    <comment ref="AI38" authorId="0" shapeId="0" xr:uid="{00000000-0006-0000-0500-000003000000}">
      <text>
        <r>
          <rPr>
            <b/>
            <sz val="9"/>
            <color indexed="81"/>
            <rFont val="Tahoma"/>
            <family val="2"/>
          </rPr>
          <t>Rikke Næraa:</t>
        </r>
        <r>
          <rPr>
            <sz val="9"/>
            <color indexed="81"/>
            <rFont val="Tahoma"/>
            <family val="2"/>
          </rPr>
          <t xml:space="preserve">
the note is wrong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Steffen Dockweiler</author>
  </authors>
  <commentList>
    <comment ref="D1" authorId="0" shapeId="0" xr:uid="{00000000-0006-0000-0600-000001000000}">
      <text>
        <r>
          <rPr>
            <b/>
            <sz val="9"/>
            <color indexed="81"/>
            <rFont val="Tahoma"/>
            <family val="2"/>
          </rPr>
          <t>Steffen Dockweiler:</t>
        </r>
        <r>
          <rPr>
            <sz val="9"/>
            <color indexed="81"/>
            <rFont val="Tahoma"/>
            <family val="2"/>
          </rPr>
          <t xml:space="preserve">
Changed to 10 for all years (from 30 kW) because every house need on unit anc can not chare and the average capacity in 2010/ houshold DB is app 10 KW - should be looked more into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J9" authorId="0" shapeId="0" xr:uid="{00000000-0006-0000-0800-000001000000}">
      <text>
        <r>
          <rPr>
            <b/>
            <sz val="9"/>
            <color indexed="81"/>
            <rFont val="Tahoma"/>
            <family val="2"/>
          </rPr>
          <t>%displayname%:</t>
        </r>
        <r>
          <rPr>
            <sz val="9"/>
            <color indexed="81"/>
            <rFont val="Tahoma"/>
            <family val="2"/>
          </rPr>
          <t xml:space="preserve">
corrected according to the avg heating boiler and production of space and water heating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%displayname%</author>
  </authors>
  <commentList>
    <comment ref="AD5" authorId="0" shapeId="0" xr:uid="{00000000-0006-0000-0900-000001000000}">
      <text>
        <r>
          <rPr>
            <b/>
            <sz val="9"/>
            <color indexed="81"/>
            <rFont val="Tahoma"/>
            <family val="2"/>
          </rPr>
          <t>Rikke Næraa:</t>
        </r>
        <r>
          <rPr>
            <sz val="9"/>
            <color indexed="81"/>
            <rFont val="Tahoma"/>
            <family val="2"/>
          </rPr>
          <t xml:space="preserve">
Chimney and excaust system included in the investment price  - therefore the cost is reduced by 30%
</t>
        </r>
      </text>
    </comment>
    <comment ref="AP5" authorId="0" shapeId="0" xr:uid="{00000000-0006-0000-0900-000002000000}">
      <text>
        <r>
          <rPr>
            <b/>
            <sz val="9"/>
            <color indexed="81"/>
            <rFont val="Tahoma"/>
            <family val="2"/>
          </rPr>
          <t>Rikke Næraa:</t>
        </r>
        <r>
          <rPr>
            <sz val="9"/>
            <color indexed="81"/>
            <rFont val="Tahoma"/>
            <family val="2"/>
          </rPr>
          <t xml:space="preserve">
Chimney and excaust system included in the investment price  - therefore the cost is reduced by 30%
</t>
        </r>
      </text>
    </comment>
    <comment ref="J8" authorId="1" shapeId="0" xr:uid="{00000000-0006-0000-0900-000003000000}">
      <text>
        <r>
          <rPr>
            <b/>
            <sz val="9"/>
            <color indexed="81"/>
            <rFont val="Tahoma"/>
            <family val="2"/>
          </rPr>
          <t>%displayname%:</t>
        </r>
        <r>
          <rPr>
            <sz val="9"/>
            <color indexed="81"/>
            <rFont val="Tahoma"/>
            <family val="2"/>
          </rPr>
          <t xml:space="preserve">
corrected based on the average cap of heating plants</t>
        </r>
      </text>
    </comment>
    <comment ref="C17" authorId="0" shapeId="0" xr:uid="{00000000-0006-0000-0900-000004000000}">
      <text>
        <r>
          <rPr>
            <b/>
            <sz val="9"/>
            <color indexed="81"/>
            <rFont val="Tahoma"/>
            <family val="2"/>
          </rPr>
          <t>Rikke Næraa:</t>
        </r>
        <r>
          <rPr>
            <sz val="9"/>
            <color indexed="81"/>
            <rFont val="Tahoma"/>
            <family val="2"/>
          </rPr>
          <t xml:space="preserve">
changed form 15 
</t>
        </r>
      </text>
    </comment>
    <comment ref="B34" authorId="0" shapeId="0" xr:uid="{00000000-0006-0000-0900-000005000000}">
      <text>
        <r>
          <rPr>
            <b/>
            <sz val="9"/>
            <color indexed="81"/>
            <rFont val="Tahoma"/>
            <family val="2"/>
          </rPr>
          <t>Rikke Næraa:</t>
        </r>
        <r>
          <rPr>
            <sz val="9"/>
            <color indexed="81"/>
            <rFont val="Tahoma"/>
            <family val="2"/>
          </rPr>
          <t xml:space="preserve">
It is assumed that the unit should be (€/unit/year)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52" authorId="0" shapeId="0" xr:uid="{00000000-0006-0000-0A00-000001000000}">
      <text>
        <r>
          <rPr>
            <b/>
            <sz val="9"/>
            <color indexed="81"/>
            <rFont val="Tahoma"/>
            <family val="2"/>
          </rPr>
          <t>RiN:</t>
        </r>
        <r>
          <rPr>
            <sz val="9"/>
            <color indexed="81"/>
            <rFont val="Tahoma"/>
            <family val="2"/>
          </rPr>
          <t xml:space="preserve">
1 €/MWh=1X 7.45 kr/€ /(1000.000kr/Mkr) /(3.6 GJ/MWh)*1000.000GJ/PJ=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5" authorId="0" shapeId="0" xr:uid="{00000000-0006-0000-0B00-000001000000}">
      <text>
        <r>
          <rPr>
            <b/>
            <sz val="9"/>
            <color indexed="81"/>
            <rFont val="Tahoma"/>
            <family val="2"/>
          </rPr>
          <t>Rikke Næraa:</t>
        </r>
        <r>
          <rPr>
            <sz val="9"/>
            <color indexed="81"/>
            <rFont val="Tahoma"/>
            <family val="2"/>
          </rPr>
          <t xml:space="preserve">
the INV COST is inclusive cost for connetion pipe and heat meter</t>
        </r>
      </text>
    </comment>
    <comment ref="R5" authorId="0" shapeId="0" xr:uid="{00000000-0006-0000-0B00-000002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X5" authorId="0" shapeId="0" xr:uid="{00000000-0006-0000-0B00-000003000000}">
      <text>
        <r>
          <rPr>
            <b/>
            <sz val="9"/>
            <color indexed="81"/>
            <rFont val="Tahoma"/>
            <family val="2"/>
          </rPr>
          <t>Rikke Næraa:</t>
        </r>
        <r>
          <rPr>
            <sz val="9"/>
            <color indexed="81"/>
            <rFont val="Tahoma"/>
            <family val="2"/>
          </rPr>
          <t xml:space="preserve">
the INV COST is inclusive cost for connetion pipe and heat meter</t>
        </r>
      </text>
    </comment>
    <comment ref="AD5" authorId="0" shapeId="0" xr:uid="{00000000-0006-0000-0B00-000004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AJ5" authorId="0" shapeId="0" xr:uid="{00000000-0006-0000-0B00-000005000000}">
      <text>
        <r>
          <rPr>
            <b/>
            <sz val="9"/>
            <color indexed="81"/>
            <rFont val="Tahoma"/>
            <family val="2"/>
          </rPr>
          <t>Rikke Næraa:</t>
        </r>
        <r>
          <rPr>
            <sz val="9"/>
            <color indexed="81"/>
            <rFont val="Tahoma"/>
            <family val="2"/>
          </rPr>
          <t xml:space="preserve">
the INV COST is inclusive cost for connetion pipe and heat meter</t>
        </r>
      </text>
    </comment>
    <comment ref="F8" authorId="0" shapeId="0" xr:uid="{00000000-0006-0000-0B00-000006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O39" authorId="0" shapeId="0" xr:uid="{00000000-0006-0000-0B00-000007000000}">
      <text>
        <r>
          <rPr>
            <b/>
            <sz val="9"/>
            <color indexed="81"/>
            <rFont val="Tahoma"/>
            <family val="2"/>
          </rPr>
          <t xml:space="preserve"> </t>
        </r>
        <r>
          <rPr>
            <sz val="9"/>
            <color indexed="81"/>
            <rFont val="Tahoma"/>
            <family val="2"/>
          </rPr>
          <t xml:space="preserve">
</t>
        </r>
      </text>
    </comment>
    <comment ref="O43" authorId="0" shapeId="0" xr:uid="{00000000-0006-0000-0B00-000008000000}">
      <text>
        <r>
          <rPr>
            <b/>
            <sz val="9"/>
            <color indexed="81"/>
            <rFont val="Tahoma"/>
            <family val="2"/>
          </rPr>
          <t>Rikke Næraa:</t>
        </r>
        <r>
          <rPr>
            <sz val="9"/>
            <color indexed="81"/>
            <rFont val="Tahoma"/>
            <family val="2"/>
          </rPr>
          <t xml:space="preserve">
the red valuesO44:v46 and AA44:AH46 have been adjusted acording to the comments in the tabel N58:x60</t>
        </r>
      </text>
    </comment>
    <comment ref="AA43" authorId="0" shapeId="0" xr:uid="{00000000-0006-0000-0B00-000009000000}">
      <text>
        <r>
          <rPr>
            <b/>
            <sz val="9"/>
            <color indexed="81"/>
            <rFont val="Tahoma"/>
            <family val="2"/>
          </rPr>
          <t>Rikke Næraa:</t>
        </r>
        <r>
          <rPr>
            <sz val="9"/>
            <color indexed="81"/>
            <rFont val="Tahoma"/>
            <family val="2"/>
          </rPr>
          <t xml:space="preserve">
the red valuesO44:v46 and AA44:AH46 have been adjusted acording to the comments in the tabel N58:x60</t>
        </r>
      </text>
    </comment>
    <comment ref="O58" authorId="0" shapeId="0" xr:uid="{00000000-0006-0000-0B00-00000A000000}">
      <text>
        <r>
          <rPr>
            <b/>
            <sz val="9"/>
            <color indexed="81"/>
            <rFont val="Tahoma"/>
            <family val="2"/>
          </rPr>
          <t>Rikke Næraa:</t>
        </r>
        <r>
          <rPr>
            <sz val="9"/>
            <color indexed="81"/>
            <rFont val="Tahoma"/>
            <family val="2"/>
          </rPr>
          <t xml:space="preserve">
på samme måde er det meget underligt at små DH har lavere elforbrug end MB, men store har detydelig større ? 
</t>
        </r>
      </text>
    </comment>
    <comment ref="O59" authorId="0" shapeId="0" xr:uid="{00000000-0006-0000-0B00-00000B000000}">
      <text>
        <r>
          <rPr>
            <b/>
            <sz val="9"/>
            <color indexed="81"/>
            <rFont val="Tahoma"/>
            <family val="2"/>
          </rPr>
          <t>Rikke Næraa:</t>
        </r>
        <r>
          <rPr>
            <sz val="9"/>
            <color indexed="81"/>
            <rFont val="Tahoma"/>
            <family val="2"/>
          </rPr>
          <t xml:space="preserve">
Det er meget ulogisk at DH omkostninger er så høje i forhold til f.eks. Naturgas 662 eller oliefyr 897 ? 
Kilden kilde 7  - er samme tekst som sidste katalog - mon de har været ude 0g spørge på ny  - jeg synes vi skal grave i det  - det betyder ret meget for modellerne </t>
        </r>
      </text>
    </comment>
    <comment ref="P59" authorId="0" shapeId="0" xr:uid="{00000000-0006-0000-0B00-00000C000000}">
      <text>
        <r>
          <rPr>
            <b/>
            <sz val="9"/>
            <color indexed="81"/>
            <rFont val="Tahoma"/>
            <family val="2"/>
          </rPr>
          <t>Rikke Næraa:</t>
        </r>
        <r>
          <rPr>
            <sz val="9"/>
            <color indexed="81"/>
            <rFont val="Tahoma"/>
            <family val="2"/>
          </rPr>
          <t xml:space="preserve">
Det er meget ulogisk at DH omkostninger er så høje i forhold til f.eks. Naturgas 662 eller oliefyr 897 ? 
Kilden kilde 7  - er samme tekst som sidste katalog - mon de har været ude ig spørge på ny  - jeg synes vi skal grave i det  - det betyder ret meget for modellerne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%displayname%</author>
    <author>Rikke Næraa</author>
  </authors>
  <commentList>
    <comment ref="J8" authorId="0" shapeId="0" xr:uid="{00000000-0006-0000-0C00-000001000000}">
      <text>
        <r>
          <rPr>
            <b/>
            <sz val="9"/>
            <color indexed="81"/>
            <rFont val="Tahoma"/>
            <family val="2"/>
          </rPr>
          <t>%displayname%:</t>
        </r>
        <r>
          <rPr>
            <sz val="9"/>
            <color indexed="81"/>
            <rFont val="Tahoma"/>
            <family val="2"/>
          </rPr>
          <t xml:space="preserve">
assumed similar to oil boilers, that avg size of biomass boiler (2012) is larger than avg heating source</t>
        </r>
      </text>
    </comment>
    <comment ref="AD8" authorId="1" shapeId="0" xr:uid="{00000000-0006-0000-0C00-000002000000}">
      <text>
        <r>
          <rPr>
            <b/>
            <sz val="9"/>
            <color indexed="81"/>
            <rFont val="Tahoma"/>
            <family val="2"/>
          </rPr>
          <t>Rikke Næraa:</t>
        </r>
        <r>
          <rPr>
            <sz val="9"/>
            <color indexed="81"/>
            <rFont val="Tahoma"/>
            <family val="2"/>
          </rPr>
          <t xml:space="preserve">
the INV COST is exclusive pipe - a way to include the pipe if new installation should be found </t>
        </r>
      </text>
    </comment>
    <comment ref="C17" authorId="1" shapeId="0" xr:uid="{00000000-0006-0000-0C00-000003000000}">
      <text>
        <r>
          <rPr>
            <b/>
            <sz val="9"/>
            <color indexed="81"/>
            <rFont val="Tahoma"/>
            <family val="2"/>
          </rPr>
          <t>Rikke Næraa:</t>
        </r>
        <r>
          <rPr>
            <sz val="9"/>
            <color indexed="81"/>
            <rFont val="Tahoma"/>
            <family val="2"/>
          </rPr>
          <t xml:space="preserve">
changed from 12 kW to avoid to much csharing of capacity between houses
 </t>
        </r>
      </text>
    </comment>
    <comment ref="B22" authorId="1" shapeId="0" xr:uid="{00000000-0006-0000-0C00-000004000000}">
      <text>
        <r>
          <rPr>
            <b/>
            <sz val="9"/>
            <color indexed="81"/>
            <rFont val="Tahoma"/>
            <family val="2"/>
          </rPr>
          <t>Rikke Næraa:</t>
        </r>
        <r>
          <rPr>
            <sz val="9"/>
            <color indexed="81"/>
            <rFont val="Tahoma"/>
            <family val="2"/>
          </rPr>
          <t xml:space="preserve">
DGC:
Der stor forskel mellem værdien her og angivelserne på  www.teknologisk.dk/kedelliste/35412
Dansk Energi:
Virkningsgraden på 75 % for nye kedler synes lavt.
ENDK:
Hvorfor er effektiviteten så forskellig fra hvad der er på DTIs hjemmeside?</t>
        </r>
      </text>
    </comment>
    <comment ref="D33" authorId="1" shapeId="0" xr:uid="{00000000-0006-0000-0C00-000005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C43" authorId="1" shapeId="0" xr:uid="{00000000-0006-0000-0C00-000006000000}">
      <text>
        <r>
          <rPr>
            <b/>
            <sz val="9"/>
            <color indexed="81"/>
            <rFont val="Tahoma"/>
            <family val="2"/>
          </rPr>
          <t>Rikke Næraa:</t>
        </r>
        <r>
          <rPr>
            <sz val="9"/>
            <color indexed="81"/>
            <rFont val="Tahoma"/>
            <family val="2"/>
          </rPr>
          <t xml:space="preserve">
 hvad er den her fixed baseret på den er lavere end for olieboiler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17" authorId="0" shapeId="0" xr:uid="{00000000-0006-0000-0D00-000001000000}">
      <text>
        <r>
          <rPr>
            <b/>
            <sz val="9"/>
            <color indexed="81"/>
            <rFont val="Tahoma"/>
            <family val="2"/>
          </rPr>
          <t>Rikke Næraa:</t>
        </r>
        <r>
          <rPr>
            <sz val="9"/>
            <color indexed="81"/>
            <rFont val="Tahoma"/>
            <family val="2"/>
          </rPr>
          <t xml:space="preserve">
changed from 3kW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J8" authorId="0" shapeId="0" xr:uid="{00000000-0006-0000-0E00-000001000000}">
      <text>
        <r>
          <rPr>
            <b/>
            <sz val="9"/>
            <color indexed="81"/>
            <rFont val="Tahoma"/>
            <family val="2"/>
          </rPr>
          <t>%displayname%:</t>
        </r>
        <r>
          <rPr>
            <sz val="9"/>
            <color indexed="81"/>
            <rFont val="Tahoma"/>
            <family val="2"/>
          </rPr>
          <t xml:space="preserve">
efficiency factor compared to large scale solar heating
</t>
        </r>
      </text>
    </comment>
    <comment ref="J9" authorId="0" shapeId="0" xr:uid="{00000000-0006-0000-0E00-000002000000}">
      <text>
        <r>
          <rPr>
            <b/>
            <sz val="9"/>
            <color indexed="81"/>
            <rFont val="Tahoma"/>
            <family val="2"/>
          </rPr>
          <t>%displayname%:</t>
        </r>
        <r>
          <rPr>
            <sz val="9"/>
            <color indexed="81"/>
            <rFont val="Tahoma"/>
            <family val="2"/>
          </rPr>
          <t xml:space="preserve">
is smaller than 2012, due to other operation patterns for 2020 and forward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%displayname%</author>
    <author>Rikke Næraa</author>
  </authors>
  <commentList>
    <comment ref="J8" authorId="0" shapeId="0" xr:uid="{00000000-0006-0000-1200-000001000000}">
      <text>
        <r>
          <rPr>
            <b/>
            <sz val="9"/>
            <color indexed="81"/>
            <rFont val="Tahoma"/>
            <family val="2"/>
          </rPr>
          <t>%displayname%:</t>
        </r>
        <r>
          <rPr>
            <sz val="9"/>
            <color indexed="81"/>
            <rFont val="Tahoma"/>
            <family val="2"/>
          </rPr>
          <t xml:space="preserve">
corrected according to the avg heating boiler and production of space and water heating</t>
        </r>
      </text>
    </comment>
    <comment ref="C17" authorId="1" shapeId="0" xr:uid="{00000000-0006-0000-1200-000002000000}">
      <text>
        <r>
          <rPr>
            <b/>
            <sz val="9"/>
            <color indexed="81"/>
            <rFont val="Tahoma"/>
            <family val="2"/>
          </rPr>
          <t>Rikke Næraa:</t>
        </r>
        <r>
          <rPr>
            <sz val="9"/>
            <color indexed="81"/>
            <rFont val="Tahoma"/>
            <family val="2"/>
          </rPr>
          <t xml:space="preserve">
All set 5 kW - originally the were 6,5,4 and 4</t>
        </r>
      </text>
    </comment>
    <comment ref="C39" authorId="1" shapeId="0" xr:uid="{00000000-0006-0000-1200-000003000000}">
      <text>
        <r>
          <rPr>
            <b/>
            <sz val="9"/>
            <color indexed="81"/>
            <rFont val="Tahoma"/>
            <family val="2"/>
          </rPr>
          <t xml:space="preserve">Rikke Næraa: </t>
        </r>
        <r>
          <rPr>
            <sz val="9"/>
            <color indexed="81"/>
            <rFont val="Tahoma"/>
            <family val="2"/>
          </rPr>
          <t>S</t>
        </r>
        <r>
          <rPr>
            <sz val="9"/>
            <color indexed="81"/>
            <rFont val="Tahoma"/>
            <family val="2"/>
          </rPr>
          <t xml:space="preserve">et to 2.5 and then a reduction of 0.5% pa is assumed   - originally they were 2.5, 2.5, 3.5; 3.1 - the reason for changing is that we do not find the very high increase in the cost form 2.5 to 3.5 reasonable just because it is made automatic - If the increased cost also includes stricter emmission tresholds that is not included in the cost </t>
        </r>
      </text>
    </comment>
    <comment ref="C43" authorId="1" shapeId="0" xr:uid="{00000000-0006-0000-1200-000004000000}">
      <text>
        <r>
          <rPr>
            <b/>
            <sz val="9"/>
            <color indexed="81"/>
            <rFont val="Tahoma"/>
            <family val="2"/>
          </rPr>
          <t>Rikke Næraa: comm to tech kat</t>
        </r>
        <r>
          <rPr>
            <sz val="9"/>
            <color indexed="81"/>
            <rFont val="Tahoma"/>
            <family val="2"/>
          </rPr>
          <t xml:space="preserve">
 hvad er den her fixed baseret på den er lavere end for f.eks. Oilboiler og Automatisk - er det en skorstensfejer ?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8" authorId="0" shapeId="0" xr:uid="{00000000-0006-0000-1C00-000001000000}">
      <text>
        <r>
          <rPr>
            <b/>
            <sz val="9"/>
            <color indexed="81"/>
            <rFont val="Tahoma"/>
            <family val="2"/>
          </rPr>
          <t>Rikke Næraa:</t>
        </r>
        <r>
          <rPr>
            <sz val="9"/>
            <color indexed="81"/>
            <rFont val="Tahoma"/>
            <family val="2"/>
          </rPr>
          <t xml:space="preserve">
difference because the boiler size was assumed to be 22kW - now 10 kW to reflect the average better </t>
        </r>
      </text>
    </comment>
    <comment ref="O8" authorId="0" shapeId="0" xr:uid="{00000000-0006-0000-1C00-000002000000}">
      <text>
        <r>
          <rPr>
            <b/>
            <sz val="9"/>
            <color indexed="81"/>
            <rFont val="Tahoma"/>
            <family val="2"/>
          </rPr>
          <t>Rikke Næraa:</t>
        </r>
        <r>
          <rPr>
            <sz val="9"/>
            <color indexed="81"/>
            <rFont val="Tahoma"/>
            <family val="2"/>
          </rPr>
          <t xml:space="preserve">
as for invest cost the reduced size increases the cost per kWh  </t>
        </r>
      </text>
    </comment>
    <comment ref="F12" authorId="0" shapeId="0" xr:uid="{00000000-0006-0000-1C00-000003000000}">
      <text>
        <r>
          <rPr>
            <b/>
            <sz val="9"/>
            <color indexed="81"/>
            <rFont val="Tahoma"/>
            <family val="2"/>
          </rPr>
          <t>Rikke Næraa:</t>
        </r>
        <r>
          <rPr>
            <sz val="9"/>
            <color indexed="81"/>
            <rFont val="Tahoma"/>
            <family val="2"/>
          </rPr>
          <t xml:space="preserve">
I forbindelse med BF er de nye sat lig de gamle minus 3%</t>
        </r>
      </text>
    </comment>
    <comment ref="L16" authorId="0" shapeId="0" xr:uid="{00000000-0006-0000-1C00-000004000000}">
      <text>
        <r>
          <rPr>
            <b/>
            <sz val="9"/>
            <color indexed="81"/>
            <rFont val="Tahoma"/>
            <family val="2"/>
          </rPr>
          <t>Rikke Næraa:</t>
        </r>
        <r>
          <rPr>
            <sz val="9"/>
            <color indexed="81"/>
            <rFont val="Tahoma"/>
            <family val="2"/>
          </rPr>
          <t xml:space="preserve"> OBS tech kat was not used before
the connection to the grid is no longer a part of the invest. cost and the methode is changed </t>
        </r>
      </text>
    </comment>
    <comment ref="B24" authorId="0" shapeId="0" xr:uid="{00000000-0006-0000-1C00-000005000000}">
      <text>
        <r>
          <rPr>
            <b/>
            <sz val="9"/>
            <color indexed="81"/>
            <rFont val="Tahoma"/>
            <family val="2"/>
          </rPr>
          <t>Rikke Næraa:</t>
        </r>
        <r>
          <rPr>
            <sz val="9"/>
            <color indexed="81"/>
            <rFont val="Tahoma"/>
            <family val="2"/>
          </rPr>
          <t xml:space="preserve">
in generel for the elc HP the cop are increased for 15 and 20 reduced for 30 and 50 , the investment cost i and the lifetime are reduced and the o&amp;M are increased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8" authorId="0" shapeId="0" xr:uid="{00000000-0006-0000-1D00-000001000000}">
      <text>
        <r>
          <rPr>
            <b/>
            <sz val="9"/>
            <color indexed="81"/>
            <rFont val="Tahoma"/>
            <family val="2"/>
          </rPr>
          <t>Rikke Næraa:</t>
        </r>
        <r>
          <rPr>
            <sz val="9"/>
            <color indexed="81"/>
            <rFont val="Tahoma"/>
            <family val="2"/>
          </rPr>
          <t xml:space="preserve">there is an issue - "in new building is choosen" because the size is more suitable for the size of the average boiler in MB - but in the new builduíng the cost for tha exhaust system is inkluded - which for the DH rise the boiler cost 75% - for the MB it is not possible to see the cost for the exhaust system, we assume that it is app 30 % of the cost stated in the table   </t>
        </r>
        <r>
          <rPr>
            <sz val="9"/>
            <color indexed="81"/>
            <rFont val="Tahoma"/>
            <family val="2"/>
          </rPr>
          <t xml:space="preserve">
</t>
        </r>
      </text>
    </comment>
    <comment ref="O8" authorId="0" shapeId="0" xr:uid="{00000000-0006-0000-1D00-000002000000}">
      <text>
        <r>
          <rPr>
            <b/>
            <sz val="9"/>
            <color indexed="81"/>
            <rFont val="Tahoma"/>
            <family val="2"/>
          </rPr>
          <t>Rikke Næraa:</t>
        </r>
        <r>
          <rPr>
            <sz val="9"/>
            <color indexed="81"/>
            <rFont val="Tahoma"/>
            <family val="2"/>
          </rPr>
          <t xml:space="preserve">
the problem arises because almost same cost -  is used for the 160kW and the 400kW which gives the 106Kw a much higher value is that ok ?</t>
        </r>
      </text>
    </comment>
    <comment ref="F12" authorId="0" shapeId="0" xr:uid="{00000000-0006-0000-1D00-000003000000}">
      <text>
        <r>
          <rPr>
            <b/>
            <sz val="9"/>
            <color indexed="81"/>
            <rFont val="Tahoma"/>
            <family val="2"/>
          </rPr>
          <t>Rikke Næraa:</t>
        </r>
        <r>
          <rPr>
            <sz val="9"/>
            <color indexed="81"/>
            <rFont val="Tahoma"/>
            <family val="2"/>
          </rPr>
          <t xml:space="preserve">
I forbindelse med BF er de nye sat lig de gamle minus 3%</t>
        </r>
      </text>
    </comment>
    <comment ref="J16" authorId="0" shapeId="0" xr:uid="{00000000-0006-0000-1D00-000004000000}">
      <text>
        <r>
          <rPr>
            <b/>
            <sz val="9"/>
            <color indexed="81"/>
            <rFont val="Tahoma"/>
            <family val="2"/>
          </rPr>
          <t>Rikke Næraa:</t>
        </r>
        <r>
          <rPr>
            <sz val="9"/>
            <color indexed="81"/>
            <rFont val="Tahoma"/>
            <family val="2"/>
          </rPr>
          <t xml:space="preserve">
! The new is adjusted set equal to 0.9times NG - the high price is not logical</t>
        </r>
      </text>
    </comment>
    <comment ref="O16" authorId="0" shapeId="0" xr:uid="{00000000-0006-0000-1D00-000005000000}">
      <text>
        <r>
          <rPr>
            <b/>
            <sz val="9"/>
            <color indexed="81"/>
            <rFont val="Tahoma"/>
            <family val="2"/>
          </rPr>
          <t>Rikke Næraa:</t>
        </r>
        <r>
          <rPr>
            <sz val="9"/>
            <color indexed="81"/>
            <rFont val="Tahoma"/>
            <family val="2"/>
          </rPr>
          <t xml:space="preserve">
set equal to DH  - the very high cost was not logical</t>
        </r>
      </text>
    </comment>
    <comment ref="B24" authorId="0" shapeId="0" xr:uid="{00000000-0006-0000-1D00-000006000000}">
      <text>
        <r>
          <rPr>
            <b/>
            <sz val="9"/>
            <color indexed="81"/>
            <rFont val="Tahoma"/>
            <family val="2"/>
          </rPr>
          <t xml:space="preserve">Rikke Næraa:in generfor the elc HP the cop are increased for </t>
        </r>
        <r>
          <rPr>
            <sz val="9"/>
            <color indexed="81"/>
            <rFont val="Tahoma"/>
            <family val="2"/>
          </rPr>
          <t xml:space="preserve">15 and 20 reduced for 30 and 50 , the investment cost i and the lifetime are reduced and the o&amp;M are increased
</t>
        </r>
      </text>
    </comment>
    <comment ref="D44" authorId="0" shapeId="0" xr:uid="{00000000-0006-0000-1D00-000007000000}">
      <text>
        <r>
          <rPr>
            <b/>
            <sz val="9"/>
            <color indexed="81"/>
            <rFont val="Tahoma"/>
            <family val="2"/>
          </rPr>
          <t xml:space="preserve">Rikke </t>
        </r>
        <r>
          <rPr>
            <sz val="9"/>
            <color indexed="81"/>
            <rFont val="Tahoma"/>
            <family val="2"/>
          </rPr>
          <t xml:space="preserve"> burde de ikke være højere ? Er det ikke en kompressions ?</t>
        </r>
      </text>
    </comment>
    <comment ref="B56" authorId="0" shapeId="0" xr:uid="{00000000-0006-0000-1D00-000008000000}">
      <text>
        <r>
          <rPr>
            <b/>
            <sz val="9"/>
            <color indexed="81"/>
            <rFont val="Tahoma"/>
            <family val="2"/>
          </rPr>
          <t xml:space="preserve">Rikke Næraa: obs her sammenligner vi ikke med sidste teknologikatalog, </t>
        </r>
        <r>
          <rPr>
            <sz val="9"/>
            <color indexed="81"/>
            <rFont val="Tahoma"/>
            <family val="2"/>
          </rPr>
          <t xml:space="preserve">
</t>
        </r>
      </text>
    </comment>
  </commentList>
</comments>
</file>

<file path=xl/sharedStrings.xml><?xml version="1.0" encoding="utf-8"?>
<sst xmlns="http://schemas.openxmlformats.org/spreadsheetml/2006/main" count="8362" uniqueCount="996">
  <si>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</si>
  <si>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</si>
  <si>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</si>
  <si>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</si>
  <si>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</si>
  <si>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</si>
  <si>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</si>
  <si>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</si>
  <si>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</si>
  <si>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</si>
  <si>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</si>
  <si>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</si>
  <si>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</si>
  <si>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</si>
  <si>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</si>
  <si>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</si>
  <si>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</si>
  <si>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</si>
  <si>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</si>
  <si>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</si>
  <si>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</si>
  <si>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</si>
  <si>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</si>
  <si>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</si>
  <si>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</si>
  <si>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</si>
  <si>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</si>
  <si>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</si>
  <si>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</si>
  <si>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</si>
  <si>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</si>
  <si>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</si>
  <si>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</si>
  <si>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</si>
  <si>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One-family house, existing and new building</t>
  </si>
  <si>
    <t>B, C</t>
  </si>
  <si>
    <t>D, E</t>
  </si>
  <si>
    <t>K</t>
  </si>
  <si>
    <t>Fixed O&amp;M (€/kW/year)</t>
  </si>
  <si>
    <t>H</t>
  </si>
  <si>
    <t>I</t>
  </si>
  <si>
    <t>J</t>
  </si>
  <si>
    <t>B</t>
  </si>
  <si>
    <t>75-80</t>
  </si>
  <si>
    <t>Fixed O&amp;M (€/unit/year)</t>
  </si>
  <si>
    <t>2, 4</t>
  </si>
  <si>
    <t>4, 5</t>
  </si>
  <si>
    <t>NA</t>
  </si>
  <si>
    <t>2, 5</t>
  </si>
  <si>
    <t>- hereof equipment (1000€/unit)</t>
  </si>
  <si>
    <t>- hereof installation (1000€/unit)</t>
  </si>
  <si>
    <t>0.5-1</t>
  </si>
  <si>
    <t>E</t>
  </si>
  <si>
    <t>Biomass boiler, manual stoking</t>
  </si>
  <si>
    <t>3</t>
  </si>
  <si>
    <t>1.5</t>
  </si>
  <si>
    <t xml:space="preserve">D </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</si>
  <si>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</si>
  <si>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</si>
  <si>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</si>
  <si>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</si>
  <si>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</si>
  <si>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</si>
  <si>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A, B</t>
  </si>
  <si>
    <t>Possible additional specific investment  (1000€/kW)</t>
  </si>
  <si>
    <t>75</t>
  </si>
  <si>
    <t>25</t>
  </si>
  <si>
    <t>Heat pump, ventilation</t>
  </si>
  <si>
    <t>1, 2, 4</t>
  </si>
  <si>
    <t>C, D</t>
  </si>
  <si>
    <t>90</t>
  </si>
  <si>
    <t>10</t>
  </si>
  <si>
    <t>14-200</t>
  </si>
  <si>
    <t>Electric heating</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</si>
  <si>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</si>
  <si>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</si>
  <si>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</si>
  <si>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</si>
  <si>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</si>
  <si>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</si>
  <si>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</si>
  <si>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</si>
  <si>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</si>
  <si>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</si>
  <si>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</si>
  <si>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</si>
  <si>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</si>
  <si>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</si>
  <si>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</si>
  <si>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</si>
  <si>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</si>
  <si>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</si>
  <si>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</si>
  <si>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</si>
  <si>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</si>
  <si>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</si>
  <si>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</si>
  <si>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</si>
  <si>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</si>
  <si>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</si>
  <si>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</si>
  <si>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</si>
  <si>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</si>
  <si>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</si>
  <si>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</si>
  <si>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</si>
  <si>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</si>
  <si>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</si>
  <si>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</si>
  <si>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</si>
  <si>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</si>
  <si>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</si>
  <si>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</si>
  <si>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</si>
  <si>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</si>
  <si>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</si>
  <si>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</si>
  <si>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</si>
  <si>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</si>
  <si>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</si>
  <si>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</si>
  <si>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</si>
  <si>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</si>
  <si>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</si>
  <si>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</si>
  <si>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</si>
  <si>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</si>
  <si>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</si>
  <si>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</si>
  <si>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</si>
  <si>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</si>
  <si>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</si>
  <si>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</si>
  <si>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</si>
  <si>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</si>
  <si>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</si>
  <si>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</si>
  <si>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</si>
  <si>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</si>
  <si>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</si>
  <si>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</si>
  <si>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</si>
  <si>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</si>
  <si>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</si>
  <si>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</si>
  <si>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</si>
  <si>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</si>
  <si>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</si>
  <si>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</si>
  <si>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</si>
  <si>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</si>
  <si>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</si>
  <si>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</si>
  <si>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</si>
  <si>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</si>
  <si>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</si>
  <si>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</si>
  <si>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</si>
  <si>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</si>
  <si>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</si>
  <si>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</si>
  <si>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</si>
  <si>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</si>
  <si>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</si>
  <si>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</si>
  <si>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</si>
  <si>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</si>
  <si>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</si>
  <si>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</si>
  <si>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</si>
  <si>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</si>
  <si>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</si>
  <si>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</si>
  <si>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</si>
  <si>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</si>
  <si>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</si>
  <si>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</si>
  <si>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</si>
  <si>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</si>
  <si>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</si>
  <si>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</si>
  <si>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</si>
  <si>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</si>
  <si>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</si>
  <si>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</si>
  <si>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</si>
  <si>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</si>
  <si>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</si>
  <si>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</si>
  <si>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</si>
  <si>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</si>
  <si>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</si>
  <si>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</si>
  <si>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</si>
  <si>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</si>
  <si>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</si>
  <si>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</si>
  <si>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</si>
  <si>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</si>
  <si>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</si>
  <si>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</si>
  <si>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</si>
  <si>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</si>
  <si>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</si>
  <si>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</si>
  <si>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</si>
  <si>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</si>
  <si>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</si>
  <si>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</si>
  <si>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</si>
  <si>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</si>
  <si>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</si>
  <si>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</si>
  <si>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</si>
  <si>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</si>
  <si>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</si>
  <si>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</si>
  <si>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</si>
  <si>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6-20</t>
  </si>
  <si>
    <t>4-20</t>
  </si>
  <si>
    <t>5-18</t>
  </si>
  <si>
    <t>4-16</t>
  </si>
  <si>
    <t>4-14</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</si>
  <si>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</si>
  <si>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</si>
  <si>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</si>
  <si>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</si>
  <si>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</si>
  <si>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</si>
  <si>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</si>
  <si>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</si>
  <si>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</si>
  <si>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</si>
  <si>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</si>
  <si>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</si>
  <si>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</si>
  <si>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</si>
  <si>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</si>
  <si>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</si>
  <si>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</si>
  <si>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</si>
  <si>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</si>
  <si>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</si>
  <si>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</si>
  <si>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</si>
  <si>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</si>
  <si>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</si>
  <si>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</si>
  <si>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</si>
  <si>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</si>
  <si>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</si>
  <si>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</si>
  <si>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kr/kW/year</t>
  </si>
  <si>
    <t>kr/GJ</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</si>
  <si>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</si>
  <si>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</si>
  <si>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</si>
  <si>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</si>
  <si>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</si>
  <si>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</si>
  <si>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</si>
  <si>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</si>
  <si>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</si>
  <si>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</si>
  <si>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</si>
  <si>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</si>
  <si>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</si>
  <si>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</si>
  <si>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</si>
  <si>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</si>
  <si>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</si>
  <si>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</si>
  <si>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</si>
  <si>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t xml:space="preserve">The green  should be copied to TIMES: </t>
  </si>
  <si>
    <t>Residential heating technology detached building - natural gas boiler - new 1</t>
  </si>
  <si>
    <t>Residential heating technology detached building - oil boiler - new 1</t>
  </si>
  <si>
    <t>Residential heating technology detached building - biomass boiler automatic stoking - new 1</t>
  </si>
  <si>
    <t>Residential heating technology detached building - direct eletrical heating - new 1</t>
  </si>
  <si>
    <t>Apartment complex, existing and new buildings</t>
  </si>
  <si>
    <t>L</t>
  </si>
  <si>
    <t>Gas engine driven heat pump, air-to-water and brine-to-water</t>
  </si>
  <si>
    <t>Gas driven adsorption heat pumps, air-to-water and brine-to-water</t>
  </si>
  <si>
    <t xml:space="preserve">Gas driven absorption heat pumps, air-to-water </t>
  </si>
  <si>
    <t>Gas driven absorption heat pumps brine-to-water</t>
  </si>
  <si>
    <t>Residential heating technology detached building - Heat pump,gas engine, air-to-water - new 4</t>
  </si>
  <si>
    <t>Residential heating technology detached building - Heat pump,gas engine, brine-to-water - new 5</t>
  </si>
  <si>
    <t>Residential heating technology detached building - Heat pump,gas adsoption, air-to-water - new 6</t>
  </si>
  <si>
    <t>Residential heating technology detached building - Heat pump,gas absorption, brine-to-water - new 3</t>
  </si>
  <si>
    <t>Residential heating technology detached building - Heat pump,gas absorption, air-to-water - new 2</t>
  </si>
  <si>
    <t>Residential heating technology detached building - solar - new 1</t>
  </si>
  <si>
    <t>* Source</t>
  </si>
  <si>
    <t>TechCat2012</t>
  </si>
  <si>
    <t>TechName</t>
  </si>
  <si>
    <t>*TechDesc</t>
  </si>
  <si>
    <t>Comm-IN</t>
  </si>
  <si>
    <t>Comm-OUT</t>
  </si>
  <si>
    <t>*PlantName</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</si>
  <si>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</si>
  <si>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</si>
  <si>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</si>
  <si>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</si>
  <si>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</si>
  <si>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</si>
  <si>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</si>
  <si>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</si>
  <si>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</si>
  <si>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</si>
  <si>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</si>
  <si>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</si>
  <si>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</si>
  <si>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</si>
  <si>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</si>
  <si>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</si>
  <si>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</si>
  <si>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</si>
  <si>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</si>
  <si>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</si>
  <si>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</si>
  <si>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</si>
  <si>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PRE</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</si>
  <si>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</si>
  <si>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</si>
  <si>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</si>
  <si>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</si>
  <si>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</si>
  <si>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</si>
  <si>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</si>
  <si>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</si>
  <si>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</si>
  <si>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</si>
  <si>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</si>
  <si>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</si>
  <si>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</si>
  <si>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</si>
  <si>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</si>
  <si>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</si>
  <si>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~FI_T</t>
  </si>
  <si>
    <t>RHTDBELCXN1</t>
  </si>
  <si>
    <t>RHTDBSOLXN1</t>
  </si>
  <si>
    <t>RHTDBNGABN2</t>
  </si>
  <si>
    <t>RHTDBNGABN3</t>
  </si>
  <si>
    <t>RHTDBNGABN6</t>
  </si>
  <si>
    <t>RHTMBNGABN1</t>
  </si>
  <si>
    <t>RHTMBDSLBN1</t>
  </si>
  <si>
    <t>RHTMBCPWBN1</t>
  </si>
  <si>
    <t>RHTMBELCXN1</t>
  </si>
  <si>
    <t>RHTMBSOLXN1</t>
  </si>
  <si>
    <t>RHTMBNGABN2</t>
  </si>
  <si>
    <t>RHTMBNGABN3</t>
  </si>
  <si>
    <t>RHTMBNGABN4</t>
  </si>
  <si>
    <t>RHTMBNGABN5</t>
  </si>
  <si>
    <t>yes</t>
  </si>
  <si>
    <t>DAYNITE</t>
  </si>
  <si>
    <t>Mkr/MW</t>
  </si>
  <si>
    <t>Mkr/MW/year</t>
  </si>
  <si>
    <t>Mkr/PJ</t>
  </si>
  <si>
    <t>Residential heating technology multistorey building - natural gas boiler - new 1</t>
  </si>
  <si>
    <t>Residential heating technology multistorey building - oil boiler - new 1</t>
  </si>
  <si>
    <t>Residential heating technology multistorey building - biomass boiler automatic stoking - new 1</t>
  </si>
  <si>
    <t>Residential heating technology multistorey building - direct eletrical heating - new 1</t>
  </si>
  <si>
    <t>Residential heating technology multistorey building - Heat pump, air-to-air - new 2</t>
  </si>
  <si>
    <t>Residential heating technology multistorey building - solar - new 1</t>
  </si>
  <si>
    <t>Residential heating technology multistorey building - Heat pump,gas absorption, air-to-water - new 2</t>
  </si>
  <si>
    <t>Residential heating technology multistorey building - Heat pump,gas absorption, brine-to-water - new 3</t>
  </si>
  <si>
    <t>Residential heating technology multistorey building - Heat pump,gas engine, air-to-water - new 4</t>
  </si>
  <si>
    <t>Residential heating technology multistorey building - Heat pump,gas engine, brine-to-water - new 5</t>
  </si>
  <si>
    <t>Residential heating technology multistorey building - Heat pump,gas adsoption, air-to-water - new 6</t>
  </si>
  <si>
    <t>EFF heat pumps moved to Trans file</t>
  </si>
  <si>
    <t>Stefan</t>
  </si>
  <si>
    <t>Sheet HOU_Deta_Boil</t>
  </si>
  <si>
    <t>Sheet HOU_Multi_Boil</t>
  </si>
  <si>
    <t>Mauri</t>
  </si>
  <si>
    <t>Sheet HOU_Deta Boil</t>
  </si>
  <si>
    <t>Sheet HOU_Multi Boil</t>
  </si>
  <si>
    <t>Date</t>
  </si>
  <si>
    <t>Name</t>
  </si>
  <si>
    <t>Sheet Name</t>
  </si>
  <si>
    <t>Cells</t>
  </si>
  <si>
    <t>Comments</t>
  </si>
  <si>
    <t>Olexandr Balyk</t>
  </si>
  <si>
    <t>HOU_Deta Boil</t>
  </si>
  <si>
    <t>Changed the tech names and description to steamline with the existing technologies</t>
  </si>
  <si>
    <t>HOU_Multi Boil</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</si>
  <si>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</si>
  <si>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</si>
  <si>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</si>
  <si>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Removed because not used anymore in this model version</t>
  </si>
  <si>
    <t>Rows 61-66 and 89-94</t>
  </si>
  <si>
    <t>RHTMBHCEBN1</t>
  </si>
  <si>
    <t>RHTMBHDEBN1</t>
  </si>
  <si>
    <t>RHTDBHCEBN1</t>
  </si>
  <si>
    <t>RHTDBHDEBN1</t>
  </si>
  <si>
    <t>Added investment costs here instead of the trans file because there was no regional difference</t>
  </si>
  <si>
    <t>investment costs from SubRES_DH-Pipes_Trans, sheet heat exchangers</t>
  </si>
  <si>
    <t>Maurizio Gargiulo</t>
  </si>
  <si>
    <t>Added RESSNG and RESDSB to the technologies consuming RESNGA and RESDSL</t>
  </si>
  <si>
    <t>RESELCH</t>
  </si>
  <si>
    <t>Deleted the AFA values for solar heating; AF is assigned in the trans file</t>
  </si>
  <si>
    <t>Description</t>
  </si>
  <si>
    <t>Purpose:</t>
  </si>
  <si>
    <t>Description:</t>
  </si>
  <si>
    <t>Relevant sectors</t>
  </si>
  <si>
    <t>Description of different sheets</t>
  </si>
  <si>
    <t>Cost structure for investing in heat savings level 2</t>
  </si>
  <si>
    <t>Cost structure for investing in heat savings level 3</t>
  </si>
  <si>
    <t>Data from technology catalogues</t>
  </si>
  <si>
    <t>READ THIS</t>
  </si>
  <si>
    <t>Special remarks</t>
  </si>
  <si>
    <t>Topology definition for boiler technologies for detached houses</t>
  </si>
  <si>
    <t>HOU_multi_Boil</t>
  </si>
  <si>
    <t>HOU_Deta_Boil</t>
  </si>
  <si>
    <t>Topology definition for boiler technologies for multi storey buildings</t>
  </si>
  <si>
    <t>Oil-fired boiler</t>
  </si>
  <si>
    <t>Batural ggas boiler</t>
  </si>
  <si>
    <t>DH substation</t>
  </si>
  <si>
    <t>Biomass boiler, automatic</t>
  </si>
  <si>
    <t>Biomass boiler, manual</t>
  </si>
  <si>
    <t>Wood stove</t>
  </si>
  <si>
    <t>heat pump, ait-to-water</t>
  </si>
  <si>
    <t>Heat pump, ground source</t>
  </si>
  <si>
    <t>HP, gas absorption, air-to-water</t>
  </si>
  <si>
    <t>HP, gas absorption, brine-to-wat</t>
  </si>
  <si>
    <t>Heat pump, gas absorption</t>
  </si>
  <si>
    <t>Solar heating</t>
  </si>
  <si>
    <t>Electrical heating</t>
  </si>
  <si>
    <t>Micro CHP, natural gas FC</t>
  </si>
  <si>
    <t>Micro CHP, hydrogen FC</t>
  </si>
  <si>
    <t>DH network</t>
  </si>
  <si>
    <t>Data sheet for DH substation</t>
  </si>
  <si>
    <t>Data sheet for Biomass boiler, automatic</t>
  </si>
  <si>
    <t>Data sheet for Biomass boiler, manual</t>
  </si>
  <si>
    <t>Data sheet for Wood stove</t>
  </si>
  <si>
    <t>Data sheet for Heat pump, air-to-air</t>
  </si>
  <si>
    <t>Data sheet for heat pump, ait-to-water</t>
  </si>
  <si>
    <t>Data sheet for Heat pump, ground source</t>
  </si>
  <si>
    <t>Data sheet for HP, gas absorption, air-to-water</t>
  </si>
  <si>
    <t>Data sheet for HP, gas absorption, brine-to-wat</t>
  </si>
  <si>
    <t>Data sheet for Heat pump, gas absorption</t>
  </si>
  <si>
    <t>Data sheet for Solar heating</t>
  </si>
  <si>
    <t>Data sheet for Heat pump, ventilation</t>
  </si>
  <si>
    <t>Data sheet for Electrical heating</t>
  </si>
  <si>
    <t>Data sheet for Micro CHP, natural gas FC</t>
  </si>
  <si>
    <t>Data sheet for Micro CHP, hydrogen FC</t>
  </si>
  <si>
    <t>Data sheet for Micro CHP - Stirling engine</t>
  </si>
  <si>
    <t>Data sheet for Micro CHP - Gas engine</t>
  </si>
  <si>
    <t>Data sheet for DH network</t>
  </si>
  <si>
    <t>Data sheet for Electrical grid</t>
  </si>
  <si>
    <t xml:space="preserve"> </t>
  </si>
  <si>
    <t>Rikke Næraa</t>
  </si>
  <si>
    <t>The COPs for the gasdriven HP have been moved to the trans file by TS - as the electrical driven HP</t>
  </si>
  <si>
    <t>Recalculated O&amp;M costs in 2030 and 2050, since there are improvements to % heat possible to cover by solar heat</t>
  </si>
  <si>
    <t>Steffen Dockweiler</t>
  </si>
  <si>
    <t>Solar Heat</t>
  </si>
  <si>
    <t>AA:AF</t>
  </si>
  <si>
    <t>HOU_Multi + Deta</t>
  </si>
  <si>
    <t>K59:K60</t>
  </si>
  <si>
    <t>Fixed a mixup of investment costs: detached decentral was used instead of multi decentral. Numbers are from SubRes_ELC_DH-Pipes_Trans.xlsx - sheet "Heat_exchangers"</t>
  </si>
  <si>
    <t>HP capacity has been changed to 10kW  for all years (from 30 kW) because every house need on unit anc can not chare and the average capacity in 2010/ houshold DB is app 10 KW - should be looked more into !</t>
  </si>
  <si>
    <t xml:space="preserve">Heat pump gas </t>
  </si>
  <si>
    <t>the capacity row</t>
  </si>
  <si>
    <t>C46</t>
  </si>
  <si>
    <t>HOU_Deta+Multi</t>
  </si>
  <si>
    <t>O34:37</t>
  </si>
  <si>
    <t>Included an  AFA for solar heating</t>
  </si>
  <si>
    <t>Lars Brømsøe Termansen</t>
  </si>
  <si>
    <t>Remove HP Gas engine Brine-to-water from detached buildings. Tech should not be available</t>
  </si>
  <si>
    <t>HP Gas engine air-to-water not supposed to be in detached buildings.</t>
  </si>
  <si>
    <t>Uncertainty (2020)</t>
  </si>
  <si>
    <t>Uncertainty (2050)</t>
  </si>
  <si>
    <t>Lower</t>
  </si>
  <si>
    <t>Upper</t>
  </si>
  <si>
    <t>U</t>
  </si>
  <si>
    <t>Auxiliary Electricity consumption (kWh/year)</t>
  </si>
  <si>
    <t>T</t>
  </si>
  <si>
    <r>
      <t>SO</t>
    </r>
    <r>
      <rPr>
        <vertAlign val="subscript"/>
        <sz val="8"/>
        <color theme="1"/>
        <rFont val="Arial"/>
        <family val="2"/>
      </rPr>
      <t>2</t>
    </r>
    <r>
      <rPr>
        <sz val="8"/>
        <color theme="1"/>
        <rFont val="Arial"/>
        <family val="2"/>
      </rPr>
      <t xml:space="preserve"> (g per GJ fuel)</t>
    </r>
  </si>
  <si>
    <r>
      <t>NO</t>
    </r>
    <r>
      <rPr>
        <vertAlign val="subscript"/>
        <sz val="8"/>
        <color theme="1"/>
        <rFont val="Arial"/>
        <family val="2"/>
      </rPr>
      <t>X</t>
    </r>
    <r>
      <rPr>
        <sz val="8"/>
        <color theme="1"/>
        <rFont val="Arial"/>
        <family val="2"/>
      </rPr>
      <t xml:space="preserve"> (g per GJ fuel)</t>
    </r>
  </si>
  <si>
    <r>
      <t>CH</t>
    </r>
    <r>
      <rPr>
        <vertAlign val="subscript"/>
        <sz val="8"/>
        <color theme="1"/>
        <rFont val="Arial"/>
        <family val="2"/>
      </rPr>
      <t>4</t>
    </r>
    <r>
      <rPr>
        <sz val="8"/>
        <color theme="1"/>
        <rFont val="Arial"/>
        <family val="2"/>
      </rPr>
      <t xml:space="preserve"> (g per GJ fuel)</t>
    </r>
  </si>
  <si>
    <r>
      <t>N</t>
    </r>
    <r>
      <rPr>
        <vertAlign val="subscript"/>
        <sz val="8"/>
        <color theme="1"/>
        <rFont val="Arial"/>
        <family val="2"/>
      </rPr>
      <t>2</t>
    </r>
    <r>
      <rPr>
        <sz val="8"/>
        <color theme="1"/>
        <rFont val="Arial"/>
        <family val="2"/>
      </rPr>
      <t>O (g per GJ fuel)</t>
    </r>
  </si>
  <si>
    <t>C, G, H, I</t>
  </si>
  <si>
    <t xml:space="preserve"> - of which is electricity costs (€/unit/year)</t>
  </si>
  <si>
    <t xml:space="preserve"> - of which is other O&amp;M costs (€/unit/year)</t>
  </si>
  <si>
    <t>C, J</t>
  </si>
  <si>
    <t>Variable O&amp;M (€/MWh)</t>
  </si>
  <si>
    <t>k6:l9</t>
  </si>
  <si>
    <t xml:space="preserve">Updated using the new Tech kat </t>
  </si>
  <si>
    <t>District heating substation - Apartment complex, existing building</t>
  </si>
  <si>
    <t>District heating substation - Apartment complex, new  building</t>
  </si>
  <si>
    <t>N/A</t>
  </si>
  <si>
    <t>Regulation ability</t>
  </si>
  <si>
    <t>Primary regulation (% per 30 seconds)</t>
  </si>
  <si>
    <t>Secondary regulation (% per minute)</t>
  </si>
  <si>
    <t>Minimum load (% of full load)</t>
  </si>
  <si>
    <t>Warm start-up time (hours)</t>
  </si>
  <si>
    <t>Cold start-up time (hours)</t>
  </si>
  <si>
    <r>
      <t>SO</t>
    </r>
    <r>
      <rPr>
        <vertAlign val="subscript"/>
        <sz val="8"/>
        <rFont val="Arial"/>
        <family val="2"/>
      </rPr>
      <t>2</t>
    </r>
    <r>
      <rPr>
        <sz val="8"/>
        <rFont val="Arial"/>
        <family val="2"/>
      </rPr>
      <t xml:space="preserve"> (g per GJ fuel)</t>
    </r>
  </si>
  <si>
    <r>
      <t>NO</t>
    </r>
    <r>
      <rPr>
        <vertAlign val="subscript"/>
        <sz val="8"/>
        <rFont val="Arial"/>
        <family val="2"/>
      </rPr>
      <t>X</t>
    </r>
    <r>
      <rPr>
        <sz val="8"/>
        <rFont val="Arial"/>
        <family val="2"/>
      </rPr>
      <t xml:space="preserve"> (g per GJ fuel)</t>
    </r>
  </si>
  <si>
    <r>
      <t>CH</t>
    </r>
    <r>
      <rPr>
        <vertAlign val="subscript"/>
        <sz val="8"/>
        <rFont val="Arial"/>
        <family val="2"/>
      </rPr>
      <t>4</t>
    </r>
    <r>
      <rPr>
        <sz val="8"/>
        <rFont val="Arial"/>
        <family val="2"/>
      </rPr>
      <t xml:space="preserve"> (g per GJ fuel)</t>
    </r>
  </si>
  <si>
    <r>
      <t>N</t>
    </r>
    <r>
      <rPr>
        <vertAlign val="subscript"/>
        <sz val="8"/>
        <rFont val="Arial"/>
        <family val="2"/>
      </rPr>
      <t>2</t>
    </r>
    <r>
      <rPr>
        <sz val="8"/>
        <rFont val="Arial"/>
        <family val="2"/>
      </rPr>
      <t>O (g per GJ fuel)</t>
    </r>
  </si>
  <si>
    <t>C, I</t>
  </si>
  <si>
    <t>Technology specific data</t>
  </si>
  <si>
    <t xml:space="preserve">General : </t>
  </si>
  <si>
    <t>Euro</t>
  </si>
  <si>
    <t>Fixed O&amp;M (Mkr/MW/year)</t>
  </si>
  <si>
    <t>Specific investment (Mkr/MW)</t>
  </si>
  <si>
    <t>Possible additional specific investment  (Mdkr/MW)</t>
  </si>
  <si>
    <t>Variable O&amp;M (Mkr/PJ)</t>
  </si>
  <si>
    <t>Biomass boiler, automatic stoking , wood pellets or wood chips  - One-family house, existing energy renovated and new buildings.</t>
  </si>
  <si>
    <t>Biomass boiler, automatic stoking , wood pellets or wood chips - Apartment complex, existing building</t>
  </si>
  <si>
    <t>Biomass boiler, automatic stoking , wood pellets or wood chips - Apartment complex, new building</t>
  </si>
  <si>
    <t>O</t>
  </si>
  <si>
    <t>2,5</t>
  </si>
  <si>
    <t>G, M</t>
  </si>
  <si>
    <t>L, M, N</t>
  </si>
  <si>
    <t>D, F, M</t>
  </si>
  <si>
    <t>1,1</t>
  </si>
  <si>
    <t>1,5</t>
  </si>
  <si>
    <t>1,3</t>
  </si>
  <si>
    <t>I, M</t>
  </si>
  <si>
    <t>E, M</t>
  </si>
  <si>
    <t>J, M</t>
  </si>
  <si>
    <t xml:space="preserve">Natural gas boiler - Apartment complex, existing </t>
  </si>
  <si>
    <t>Natural gas boiler - Apartment complex, new building</t>
  </si>
  <si>
    <t>A, B, L, O, P</t>
  </si>
  <si>
    <t>M</t>
  </si>
  <si>
    <t>F, M</t>
  </si>
  <si>
    <t>C, O, P, R</t>
  </si>
  <si>
    <t>C, O, P, R, S</t>
  </si>
  <si>
    <t>Q</t>
  </si>
  <si>
    <t xml:space="preserve">The data for fixed before they was changed </t>
  </si>
  <si>
    <t>Oil boiler (mineral oil fired, &lt; 10 % FAME) - One-family house, existing and energy renovated buildings</t>
  </si>
  <si>
    <t xml:space="preserve">Oil boiler (mineral oil fired, &lt; 10 % FAME) - Apartment complex, existing building. </t>
  </si>
  <si>
    <t>Oil boiler (bio oil) - One-family house, new building. HVO is assumed from 2030</t>
  </si>
  <si>
    <t>Oil boiler (bio oil) - Apartment complex, new building. HVO is assumed from 2030</t>
  </si>
  <si>
    <t>1,2,3,4</t>
  </si>
  <si>
    <t>B,E</t>
  </si>
  <si>
    <t>F, H, K</t>
  </si>
  <si>
    <t>F, H,J,L</t>
  </si>
  <si>
    <t>F, H, K,L</t>
  </si>
  <si>
    <t>Variable O&amp;M (€/MWh) at 15-40 kW</t>
  </si>
  <si>
    <t>Electric heating - One-famely house, new building</t>
  </si>
  <si>
    <t>Electric heating - Apartment complex, new building</t>
  </si>
  <si>
    <t>For electric heating, the emissions depend on how the electricity is produced. Emission factors for electricity in Denmark can for instance be found in socioeconomic assumptions for energy projects published by the Danish Energy Authority (www.ens.dk).</t>
  </si>
  <si>
    <t>Updated TechCat2016</t>
  </si>
  <si>
    <t>HOU_Deta Boil, HOU_Multi Boil</t>
  </si>
  <si>
    <t xml:space="preserve">G6;Y21  </t>
  </si>
  <si>
    <t xml:space="preserve">updated according to the updated technology sheets </t>
  </si>
  <si>
    <t>Natural gas boiler</t>
  </si>
  <si>
    <t xml:space="preserve">the whole sheet </t>
  </si>
  <si>
    <t>updated to the draft of the 2016 technology catalog</t>
  </si>
  <si>
    <t xml:space="preserve">AA43:AI45 </t>
  </si>
  <si>
    <t>1/9 2016 We have agreed on using the values for the 160kW capaciities for all  technologies for multi storey and alle values is now taken from the new ( for all but HP - not publiched technologi catalog)  - looking at the BBR data ( heating model- and the VT - summed up in the VT file -  ) the average size is app 850kW and the average installed capacity for MB is 65 kW - the area of the buildings commissioned after 2007 is in general lager  1200-1500 kW. I would have been preferable to have data for smaller plants - but no data is avaible for smaller MB  plants in the tech kat  - The reasons behind not choosing to have smaller MB plant should be discussed with the TECH cat consulents.</t>
  </si>
  <si>
    <t>Solar heating system - One-family house, existing building.</t>
  </si>
  <si>
    <t>A, I</t>
  </si>
  <si>
    <t>B, I</t>
  </si>
  <si>
    <t>E, H</t>
  </si>
  <si>
    <t xml:space="preserve">Solar collector area , m² </t>
  </si>
  <si>
    <t>Performance, kWh pr. m² collector per year</t>
  </si>
  <si>
    <t>kW/m2</t>
  </si>
  <si>
    <t>FULDLAST TIMER BEREGNET kWh/kW</t>
  </si>
  <si>
    <t>Solar heating system - Apartment complex, existing building</t>
  </si>
  <si>
    <t xml:space="preserve">Solar collector area, m² </t>
  </si>
  <si>
    <t>kWh/kW</t>
  </si>
  <si>
    <t>capacity for singel family changed from 3kW to 10 kW</t>
  </si>
  <si>
    <t>k18:k21</t>
  </si>
  <si>
    <t>the investment price for eletrical boiler MB is set to 90% of the CAPEX of NGA boiler - not logical that it was more than  8 times more expensive than the DH</t>
  </si>
  <si>
    <t>c17:f17</t>
  </si>
  <si>
    <t>l18:l21</t>
  </si>
  <si>
    <t>the fix o&amp;M for eletrical boiler MB is set equal to DH fix o&amp;M  - not logical that it should be 2 times more expensive than the DH</t>
  </si>
  <si>
    <t>capacity for singel family changed from 15kW to 10 kW</t>
  </si>
  <si>
    <t>Remove zero's from START year - since they give an error in syncing. Now the DH exchangers are not removed by VEDA</t>
  </si>
  <si>
    <t>Heat pump, ground source, existing one family house</t>
  </si>
  <si>
    <t>1,2,5</t>
  </si>
  <si>
    <t>1,2,7</t>
  </si>
  <si>
    <t>Heat efficiency, annual average, net (%), floor heating</t>
  </si>
  <si>
    <t>4,5,7,8</t>
  </si>
  <si>
    <t>Total efficiency, annual average, net (%), floor heating</t>
  </si>
  <si>
    <t>Heat efficiency, annual average, net (%), radiators</t>
  </si>
  <si>
    <t>Total efficiency, annual average, net (%), radiators</t>
  </si>
  <si>
    <t>Change in capacity within 1 minute (%)</t>
  </si>
  <si>
    <t>1,2,3,14</t>
  </si>
  <si>
    <t>References:</t>
  </si>
  <si>
    <t>Danfoss, 2015, information provided at workshop</t>
  </si>
  <si>
    <r>
      <t>Bosch, 2015</t>
    </r>
    <r>
      <rPr>
        <sz val="8"/>
        <rFont val="Calibri"/>
        <family val="2"/>
        <scheme val="minor"/>
      </rPr>
      <t> </t>
    </r>
    <r>
      <rPr>
        <sz val="12"/>
        <rFont val="Calibri"/>
        <family val="2"/>
        <scheme val="minor"/>
      </rPr>
      <t>, information provided at workshop</t>
    </r>
  </si>
  <si>
    <t>Market and Statistics Report, EHPA 2014</t>
  </si>
  <si>
    <r>
      <t>Sparenergi.dk, 2015</t>
    </r>
    <r>
      <rPr>
        <sz val="8"/>
        <rFont val="Calibri"/>
        <family val="2"/>
        <scheme val="minor"/>
      </rPr>
      <t> </t>
    </r>
  </si>
  <si>
    <t>Energistyrelsen, 2015, conversation</t>
  </si>
  <si>
    <t>Teknologisk Institut, 2015, conversation</t>
  </si>
  <si>
    <t>Godkendelse af tilskudsberettigede anlæg, måling, dataindsamling og formidling, Teknologisk Institut 2013</t>
  </si>
  <si>
    <t>Heat implementation scenarios until 2030, Ecofys 2013</t>
  </si>
  <si>
    <t>Notes:</t>
  </si>
  <si>
    <t>Including domestic hot water storage tank and auxiliary equipment</t>
  </si>
  <si>
    <t>Weighted by seasonal heat demand of average climate zones according to EN14825 and domestic hot water production according to EN16147</t>
  </si>
  <si>
    <t>The replacement cost of a worn out ground source heat pump will usually only be around 30 % of the initial investment as some components are reused</t>
  </si>
  <si>
    <t>The share of heating demand and hot tap water demand covered depends on how the heat pump is operated in the total heat energy system in the house.</t>
  </si>
  <si>
    <t>Heat efficiency values refers to the COP of the heat pump</t>
  </si>
  <si>
    <t>Total efficiency values are including auxilliary electricity consumption</t>
  </si>
  <si>
    <t>The cost of auxiliary electricity consumption is calculated using the following electricity prices in €/MWh: 2015: 64, 2020: 71, 2030: 102, 2050: 165. These prices include production costs and transport tariffs, but not any taxes or subsidies for renewable energy.</t>
  </si>
  <si>
    <t>Heat pump, Ground source, new apartments</t>
  </si>
  <si>
    <t>11,12,15</t>
  </si>
  <si>
    <t>4,11,12,15</t>
  </si>
  <si>
    <t>12,13,15</t>
  </si>
  <si>
    <t>Energinet.dk, 2015, conversation</t>
  </si>
  <si>
    <t>Cronborg, 2015, conversation</t>
  </si>
  <si>
    <t>Drejebog til store varmepumpeprojekter i fjernvarmesystemet, Energistyrelsen 2015</t>
  </si>
  <si>
    <t>Afdækning af potentiale for varmepumper til opvarmning af helårshuse i Danmark til erstatning for oliefyr, Energistyrelsen 2011</t>
  </si>
  <si>
    <t>Udredning vedrørende varmelagringsteknologier og store varmepumper til brug i fjernvarmesystemer, Energistyrelsen 2013</t>
  </si>
  <si>
    <t xml:space="preserve">G59;h59, G63;H63  </t>
  </si>
  <si>
    <t>Starting year for DH has been changed back to 2012</t>
  </si>
  <si>
    <t>Heat pump, Air-to-water, new apartments</t>
  </si>
  <si>
    <t>Heat pump, Air-to-water, existing one family house</t>
  </si>
  <si>
    <t>A, F</t>
  </si>
  <si>
    <t>In gas hybrid installations the heat pump will cover around 70 % of the total heat demand</t>
  </si>
  <si>
    <t>The reason for lower COP values compared to air-to-air heat pumps in existing buildings, is lower efficiency due to the small capacity of these heat pumps</t>
  </si>
  <si>
    <t>Financial data - air-to-water</t>
  </si>
  <si>
    <t>Financial data - Brine-to-water (ground-source)</t>
  </si>
  <si>
    <t xml:space="preserve">old </t>
  </si>
  <si>
    <t xml:space="preserve">dif </t>
  </si>
  <si>
    <t>Sept</t>
  </si>
  <si>
    <t>Heat pump, Air-to-air, existing one family house</t>
  </si>
  <si>
    <t>C, H, I</t>
  </si>
  <si>
    <t>C, H, J</t>
  </si>
  <si>
    <t>c22</t>
  </si>
  <si>
    <t>kkr/kW</t>
  </si>
  <si>
    <t>kkr/kW/year</t>
  </si>
  <si>
    <t>Heat pump absorption gas driven, one family house, existing buildings</t>
  </si>
  <si>
    <t>J,K,M,N,Q</t>
  </si>
  <si>
    <t>-</t>
  </si>
  <si>
    <t>A,E</t>
  </si>
  <si>
    <t>A,E,F,G;H,P</t>
  </si>
  <si>
    <t>I, J</t>
  </si>
  <si>
    <t>Heat pump absorption gas driven, apartment complex, existing buildings</t>
  </si>
  <si>
    <t>J,N</t>
  </si>
  <si>
    <t>A,E,F,H,M</t>
  </si>
  <si>
    <t>G,I</t>
  </si>
  <si>
    <t>Heat pump, adsorption gas driven, ground source, one family house, existing buildings</t>
  </si>
  <si>
    <t>F,G,H,I</t>
  </si>
  <si>
    <t>A,I,J</t>
  </si>
  <si>
    <t>years</t>
  </si>
  <si>
    <t>Heat pump gas-engine driven, apartment complex, existing buildings</t>
  </si>
  <si>
    <t>A,E,L</t>
  </si>
  <si>
    <t>F,G,O</t>
  </si>
  <si>
    <t>P</t>
  </si>
  <si>
    <t>H,K</t>
  </si>
  <si>
    <t xml:space="preserve"> natural gas boiler - new 1</t>
  </si>
  <si>
    <t xml:space="preserve"> oil boiler - new 1</t>
  </si>
  <si>
    <t>biomass boiler automatic stoking - new 1</t>
  </si>
  <si>
    <t>direct eletrical heating - new 1</t>
  </si>
  <si>
    <t>Eletr. Heat pump, air-to-air - new 2</t>
  </si>
  <si>
    <t>Eletr. Heat pump, air-to-water - new 3</t>
  </si>
  <si>
    <t>Eletr. Heat pump, brine-to-water - new 4</t>
  </si>
  <si>
    <t>Only for DB</t>
  </si>
  <si>
    <t>solarheating - new 1</t>
  </si>
  <si>
    <t>Heat pump,gas absorption, air-to-water - new 2</t>
  </si>
  <si>
    <t>Heat pump,gas absorption, brine-to-water - new 3</t>
  </si>
  <si>
    <t>Heat pump,gas engine, air-to-water - new 4</t>
  </si>
  <si>
    <t>Heat pump,gas engine, brine-to-water - new 5</t>
  </si>
  <si>
    <t>Heat pump,gas adsoption, air-to-water - new 6</t>
  </si>
  <si>
    <t xml:space="preserve"> heat exchangers - new 1</t>
  </si>
  <si>
    <t>only for MB</t>
  </si>
  <si>
    <t>kr/mWh</t>
  </si>
  <si>
    <t>all</t>
  </si>
  <si>
    <t xml:space="preserve">All data are updated using the new teknology catalog </t>
  </si>
  <si>
    <t>%</t>
  </si>
  <si>
    <t>air to air for MB  *  the technology is not used for MB</t>
  </si>
  <si>
    <t xml:space="preserve">Study "Eco-design of Boilers and Combi-boilers http://www.ecoboiler.org/ . 2006-2007 by Van Holsteijn en Kemna (VHK) for the European Commission, DG Transport and Energy (DG TREN). </t>
  </si>
  <si>
    <t>RECENT PROGRESS (AND APPLICATION) ACHIEVED IN THE WAY TO ESTIMATE REAL PERFORMANCES OF DOMESTIC BOILERS ONCE INSTALLED Jean Schweitzer, Christian Holm Christiansen Danish Gas Technology Centre, Denmark Martin Koot Gastec, Holland Otto Paulsen DTI, Denmark. SAVE Workshop Utrecht 2000.</t>
  </si>
  <si>
    <t>BOILSIM http://www.boilsim.com/.2011</t>
  </si>
  <si>
    <t>Sparolie.dk with a list of high efficiency oil-fired boilers and with a list of the status for existing oilfired boilers.2011</t>
  </si>
  <si>
    <t>http://www.blauer-engel.de/_downloads/publikationen/erfolgsbilanz/ Erfolgsbilanz_Heiztechnologien.pdf (Rules for NOX). This is not present at the Blauer Engel Homepage, but can be found at the Internet.2011</t>
  </si>
  <si>
    <t>Rapsolie til opvarmning,Teknik, økonomi og miljø. Videncentret for biomasse 2001.</t>
  </si>
  <si>
    <t>Paulsen, O.: Calculation of electricity consumption of small oil and gasfired boilers – based on Laboratory test data. Annex F in Schweitzer, Jean: SAVE report 2005: http://www.boilerinfo.org/infosystem_el/webelproject/wp_reports/WP1.pdf.</t>
  </si>
  <si>
    <t>The minimum heat output for a pressure atomisation burner is in the range of 13 kW. Due to the significant economy of scale displayed by boilers (se section on economy of scale) the savings achieved by reducing the capacity below 13 kW is limited or non-existing. Hence, the investment cost is not influenced by the capacity of the boilers installed.</t>
  </si>
  <si>
    <t>Domestic fuel oil can be desulphoried to the lower than 10 ppm Sulpur</t>
  </si>
  <si>
    <t>The last limit for Nox for Blaue Engel were 110 mg/kWh. The value is based on this. In Practise the value can be lower. In 2050 is assumed flue gas cleaning for Nox</t>
  </si>
  <si>
    <t>Based on Soot number 0 - 1, which is the average value in DK</t>
  </si>
  <si>
    <t>Data for Sulphur content can be found at the homepages for the oile companies</t>
  </si>
  <si>
    <t>Installation and service prices given by Weishaupt, Denmark 2011</t>
  </si>
  <si>
    <t>Burners for liqued raw biofuel is not suited for condensing boilers for different reasons. In the case HVO becomes feasible condensing technology will work well</t>
  </si>
  <si>
    <t>Assuming a cost-reduction of 0.5 % p.a., which in turn is assumed equivalent to the typical improvement of mature technologies.</t>
  </si>
  <si>
    <t>New single family houses will have a heat demand at 2- 4 kW for space heating and a power demand for hot water at 32 kW. Using</t>
  </si>
  <si>
    <t>a hot water tank the power need can go down to 0,5 kW depending on tank size. A typical compromise is a boiler at 20 kW and a tank at 80 liters.</t>
  </si>
  <si>
    <t>Exchanging an oilfired boiler without changing the domestic hot water tank is normally not relevant. The price includes a tank.</t>
  </si>
  <si>
    <t>The price does not include the domestic hot water system</t>
  </si>
  <si>
    <t>The price includes a chimney/exhaust system</t>
  </si>
  <si>
    <t>AP8:AP11</t>
  </si>
  <si>
    <t>STILL OLD TECH KAT</t>
  </si>
  <si>
    <t>DBcompar after new tech ka sept, MBcompar after new tech ka sept</t>
  </si>
  <si>
    <t xml:space="preserve">Sheets for compareing the data from the new technologi cataloog with the old is included for MB and DB - can be used for understanding whats happing when introducing the new tech data  - unfortunately the new data is still discussed </t>
  </si>
  <si>
    <t>Annual efficiency calculation method for domestic boilers. SAVE Contract XVII/4.1031/93-008.</t>
  </si>
  <si>
    <t>Internal note on HNG Statistics on replacement of gas boilers.</t>
  </si>
  <si>
    <t>Study "Ecodesign of Boilers and Combi-boilers" (VHK) for the European Commission, DG Transport and Energy (DG TREN). Task 4 Section 3.1.</t>
  </si>
  <si>
    <t>Start stop emissions of domestic appliances.  H. Hüppelshäuser and F. Jansen. Ruhrgas. IGRC 1998.</t>
  </si>
  <si>
    <t>HMN: http://salg.naturgas.dk.</t>
  </si>
  <si>
    <t>DGC project : Evaluation of the NOx emissions of the Danish population of gas boilers below 120 kW</t>
  </si>
  <si>
    <t>Facts and figures about domestic gas boilers. A compilation of results covering 25 years of testing at DGC's laboratory. DGC February 2016</t>
  </si>
  <si>
    <t>Annual efficiency calculated with input test data carried out at DGC and using the model BOILSIM for the BAT [1].</t>
  </si>
  <si>
    <t>A slight improvement of efficiency is still possible over the next decades is assumed</t>
  </si>
  <si>
    <t>Ecodesign limit for gas boilers = 70 mg/kWh = 70/3.6 = approx. 20 g/GJ fuel based on Hs.</t>
  </si>
  <si>
    <r>
      <t>NO</t>
    </r>
    <r>
      <rPr>
        <vertAlign val="subscript"/>
        <sz val="11.5"/>
        <rFont val="Calibri"/>
        <family val="2"/>
        <scheme val="minor"/>
      </rPr>
      <t>x</t>
    </r>
    <r>
      <rPr>
        <sz val="11.5"/>
        <rFont val="Calibri"/>
        <family val="2"/>
        <scheme val="minor"/>
      </rPr>
      <t xml:space="preserve"> </t>
    </r>
    <r>
      <rPr>
        <sz val="11"/>
        <rFont val="Calibri"/>
        <family val="2"/>
        <scheme val="minor"/>
      </rPr>
      <t>emission will decrease as an average. The level proposed for 2030 is already achievable today by some gas boilers.</t>
    </r>
  </si>
  <si>
    <t>Ref [5] gives 5 mg/kWh, This is less than 2 g/GJ.</t>
  </si>
  <si>
    <t>All costs are based on Naturgas Fyn (today “Nature Energy”) statistics on 226 replacements gas to gas (most common situation for the purchase of a new boiler). This is the most extensive and only existing data base indicating real costs paid by the customer both for the appliance and for installation of it (labour costs). Labour cost in other regions of Denmark may differ from the prices used, but there is no similar data base that can be used to calculate prices by regions. The cost includes the removal of the existing (old) boiler. The value given does not include the energy saving incentive funds that are given to the client for the purchase of a condensing boiler (3000 DKK = 400 Euro).</t>
  </si>
  <si>
    <t>It is assumed that the price of gas boilers will not change or decrease. The harmonisation of gas quality in EU, the more severe competition with district heating and electrical heat pumps, and the improvements in the manufacturing cost are the reason for such hypothesis. The statistics of Naturgas Fyn (today “Nature Energy”) shows that the costs have already decreased between 2012 and 2013.</t>
  </si>
  <si>
    <t>The “uncertainty” was based on Naturgas Fyn (today “Nature Energy”) statistics removing 5% at top and 5% at bottom list of the total cost. Additional uncertainties like labour cost variations in Denmark may add some more uncertainty in the prices given.</t>
  </si>
  <si>
    <t>HMN serviceordning (service scheme) 2014. Period: 1/5-2014 to 31/12-2014.</t>
  </si>
  <si>
    <t>Installation of a gas service line (grid connection). The price may change depending on the marketing by the gas distribution companies. For non-domestic appliances, the same price as for domestic is assumed. Only to be paid if the natural gas is not yet supplied to the house.</t>
  </si>
  <si>
    <t>Gas boilers can deliver their full power in a few seconds or few minutes depending on the heat capacity of the appliance and possible prepurge time. The same applies for the modulating ability within the modulation range of the boiler /7/</t>
  </si>
  <si>
    <t>The annual efficiency is considered to be very similar to the one for the domestic boilers.</t>
  </si>
  <si>
    <t>N</t>
  </si>
  <si>
    <t xml:space="preserve">The emissions are assumed to be very similar to the ones for domestic boilers. This is a quite conservative hypothesis as we know that e.g. NOx emissions for larger boilers are in general lower compared to domestic boilers. </t>
  </si>
  <si>
    <r>
      <t xml:space="preserve">Based on a </t>
    </r>
    <r>
      <rPr>
        <u/>
        <sz val="11.5"/>
        <rFont val="Calibri"/>
        <family val="2"/>
        <scheme val="minor"/>
      </rPr>
      <t>160 kW</t>
    </r>
    <r>
      <rPr>
        <sz val="11.5"/>
        <rFont val="Calibri"/>
        <family val="2"/>
        <scheme val="minor"/>
      </rPr>
      <t xml:space="preserve"> boiler (new building) and 400 kW (existing building)</t>
    </r>
  </si>
  <si>
    <t>Based on average cost information from manufacturers  (2015).</t>
  </si>
  <si>
    <t>There are no statistics on variable O&amp;M for large boilers, and the cost can very well be included in the service agreement. The estimates from manufacturers are quite low and, therefore, the variable O&amp;M costs (with the exception of electricity expenses) for large boilers is considered to be included in the Fixed O&amp;M.</t>
  </si>
  <si>
    <t>R</t>
  </si>
  <si>
    <t>Uncertainty +/- 20%</t>
  </si>
  <si>
    <t>S</t>
  </si>
  <si>
    <t>Service cost interpolated from manufacturers information (2015)</t>
  </si>
  <si>
    <t>Due to the significant economy of scale displayed by boilers (se section on economy of scale) the savings achieved by reducing the capacity of the boilers is limited or non-existing. Hence, the investment cost is not influenced by the capacity of the boilers installed.</t>
  </si>
  <si>
    <t/>
  </si>
  <si>
    <t xml:space="preserve">Hou_Deta boil,Hou_Multi boil,  </t>
  </si>
  <si>
    <t xml:space="preserve">column H </t>
  </si>
  <si>
    <t xml:space="preserve">Starting year is 12 for DH and 2015 for the rest we should consider to make it the samefor all - and the same forsavings </t>
  </si>
  <si>
    <t>data changed - the read explanation N58   - DH cost unlogical high compared to the other technologies</t>
  </si>
  <si>
    <t xml:space="preserve">MB The investment cost has been reduced by 30 % - the problem is that the cost of the exchaust system was included in the cost - but it is possible to use an existing system if the boiler is installed in a building that already have a boiler ---- the problem is the same for technologies where a part of the infrastructure is not replaced when changing the boiler- the investment cost will often depend on the existing infrastructure - we should try to find a generel solution - to link the acquisition of "heating equitment " to the type of the existing - and thereby decide which investment in infrastructure should also be made </t>
  </si>
  <si>
    <t>Move start year to 2012 for all MB techs</t>
  </si>
  <si>
    <t>Move start year to 2012 for all DB techs</t>
  </si>
  <si>
    <t>Move start year of advanced gas HP to 2015</t>
  </si>
  <si>
    <t>Remove Heat pump,gas adsoption, air-to-air from multi storey buildings. Tech should not be available</t>
  </si>
  <si>
    <t>RHTDBHCEBN2</t>
  </si>
  <si>
    <t>RHTDBHDEBN2</t>
  </si>
  <si>
    <t>Residential heating technology detached building - heat exchangers -centralised - new 1</t>
  </si>
  <si>
    <t>Residential heating technology detached building - heat excghanger- decentralised - new 1</t>
  </si>
  <si>
    <r>
      <t>Wood stov</t>
    </r>
    <r>
      <rPr>
        <b/>
        <sz val="8"/>
        <rFont val="Arial"/>
        <family val="2"/>
      </rPr>
      <t>e with water tank</t>
    </r>
    <r>
      <rPr>
        <b/>
        <sz val="8"/>
        <color theme="1"/>
        <rFont val="Arial"/>
        <family val="2"/>
      </rPr>
      <t xml:space="preserve"> - One-famely house, existing, new and energy renovated buildings</t>
    </r>
  </si>
  <si>
    <t>B, G</t>
  </si>
  <si>
    <t>Emissioner fra træfyrede brændeovne og -kedler, Miljøprojekt nr. 1324 2010, Johnny Iversen, Thomas Capral Henriksen og Simon Dreyer, Carl Bro.</t>
  </si>
  <si>
    <t>Lot 15: Solid fuel small combustion installations-Base Case definition.</t>
  </si>
  <si>
    <t>Danish Emission Inventories for stationary combustion plants, inventories until 2011, Scientific Report from DCE n0. 102, 2014</t>
  </si>
  <si>
    <t>DIN Plus measurement method.</t>
  </si>
  <si>
    <t>Chimney.</t>
  </si>
  <si>
    <t>The share of space heating covered by a wood stove depends on the possibility to regularly charge the stove with wood logs and of the location of the stove in the house. With regularly charging and a central location of the stove, the coverage can be up to 80 % of the heating demand in the house. Approximately 10 % larger is possible for stoves with a water tank. Taking into consideration that normally the average residents will have difficulties with regular fuel charging, the expected share of space heating covered by the wood stove without a water tank will be in the range of 20 % to 60 %.</t>
  </si>
  <si>
    <t>More automatic stoves are expected in the future(2030) Therefor an increment in investment is expected. After these periods, it is expected that the technology becomes generic and therefor investment is expected to drop as the technology becomes cheaper., while still assuming a cost-reduction of 0.5 % p.a., which in turn is assumed equivalent to the typical improvement of mature technologies.</t>
  </si>
  <si>
    <t>Only for stoves with water tank, otherwise 0%.</t>
  </si>
  <si>
    <t>Nominal heat delivery in 2015 from 4-12 kW.</t>
  </si>
  <si>
    <t xml:space="preserve">References </t>
  </si>
  <si>
    <t>Residential heating technology detached building - Firewoods - new 1</t>
  </si>
  <si>
    <t>INVCOST 2</t>
  </si>
  <si>
    <t>INVCOST 1</t>
  </si>
  <si>
    <t>Total investment including connection pipes</t>
  </si>
  <si>
    <t xml:space="preserve">Forslag til Forskrifter for godkendte standardunits, Teknologisk Institut, 2005. </t>
  </si>
  <si>
    <r>
      <t>Communication with Gemina Termix, www.termix.dk</t>
    </r>
    <r>
      <rPr>
        <sz val="11"/>
        <rFont val="Calibri"/>
        <family val="2"/>
        <scheme val="minor"/>
      </rPr>
      <t>. 2011</t>
    </r>
  </si>
  <si>
    <t xml:space="preserve">Delrapport 2 - DEMONSTRATION AF LAVENERGIFJERNVARME TIL LAVENERGIBYGGERI I BOLIGFORENINGEN RINGGÅRDENS AFD. 34 I LYSTRUP. Ener-gistyrelsen - EUDP 2008-II, 2011. </t>
  </si>
  <si>
    <r>
      <t xml:space="preserve">Communication with Danfoss Redan, www.redan.danfoss.com. Technology data for individual heat production and energy transport. </t>
    </r>
    <r>
      <rPr>
        <sz val="11"/>
        <color rgb="FFC00000"/>
        <rFont val="Calibri"/>
        <family val="2"/>
        <scheme val="minor"/>
      </rPr>
      <t xml:space="preserve">2011 </t>
    </r>
  </si>
  <si>
    <r>
      <t xml:space="preserve">www.metrotherm.dk. </t>
    </r>
    <r>
      <rPr>
        <u/>
        <sz val="11"/>
        <rFont val="Calibri"/>
        <family val="2"/>
        <scheme val="minor"/>
      </rPr>
      <t>2011</t>
    </r>
  </si>
  <si>
    <t xml:space="preserve">Krav til fjernvarmeunits I VarmeTransmission Aarhus, December 2011. </t>
  </si>
  <si>
    <r>
      <t>Prices from different providers of substation maintenance.</t>
    </r>
    <r>
      <rPr>
        <sz val="11"/>
        <color rgb="FFC00000"/>
        <rFont val="Calibri"/>
        <family val="2"/>
        <scheme val="minor"/>
      </rPr>
      <t xml:space="preserve"> 2011</t>
    </r>
  </si>
  <si>
    <r>
      <t>The generating capacity for one substation is set at the space heating capacity at typical district heating flow/return temperatures of 70</t>
    </r>
    <r>
      <rPr>
        <sz val="11"/>
        <color theme="1"/>
        <rFont val="Calibri"/>
        <family val="2"/>
      </rPr>
      <t>°</t>
    </r>
    <r>
      <rPr>
        <sz val="11"/>
        <color theme="1"/>
        <rFont val="Calibri"/>
        <family val="2"/>
        <scheme val="minor"/>
      </rPr>
      <t>C/40</t>
    </r>
    <r>
      <rPr>
        <sz val="11"/>
        <color theme="1"/>
        <rFont val="Calibri"/>
        <family val="2"/>
      </rPr>
      <t>°</t>
    </r>
    <r>
      <rPr>
        <sz val="11"/>
        <color theme="1"/>
        <rFont val="Calibri"/>
        <family val="2"/>
        <scheme val="minor"/>
      </rPr>
      <t xml:space="preserve">C. The size of the water heater capacity is estimated based on the number of apartments that the substation can supply with space heating. </t>
    </r>
  </si>
  <si>
    <t xml:space="preserve">The only losses related to the district heating substation are the standby heat losses. For large well-insulated substations, these are considered negligible – 100% efficiency. However, substations for single-family houses will have a heat loss during summer that cannot be considered useful. Apply-ing best available technology, this is considered to be about 2%, resulting in 98% efficiency. </t>
  </si>
  <si>
    <t xml:space="preserve">The price span covers the variety of designs on the market from very simple direct connected sub-stations with instantaneous water heater to indirect connected substations with a storage tank water heater. </t>
  </si>
  <si>
    <t xml:space="preserve">Specific investment in branch pipe from the steet network to the building and in the heat meter. </t>
  </si>
  <si>
    <t xml:space="preserve">The price span covers the variety of designs on the market from very simple direct connected sub-stations with instantaneous water heater to indirect connected substations with storage tank water heater. The price is related to generating capacity. </t>
  </si>
  <si>
    <t xml:space="preserve">The operation and maintenance costs are based on a maintenance check every second year, but cal-culated per year and per installation. </t>
  </si>
  <si>
    <t xml:space="preserve">The price is given for an indirect connected substation with storage tank water heater and is related to generating capacity. A large variety of designs are on the market from very simple direct con-nected substations with instantaneous water heater to indirect connected substations with storage tank water heater. For the simplest solution the price can be 50 % lower than the prices given in the table. </t>
  </si>
  <si>
    <t>Note that the branch pipe should be dimensioned for the use of hot tap water. If there is not any hot water tank, the branch pipe capacity should be higher than the capacity of the DH substation.</t>
  </si>
  <si>
    <t>Due to the significant economy of scale displayed by district heating substations (se section on economy of scale) the savings achieved by reducing the capacity of the substation is limited or non-existing. Hence, the investment cost is not influenced by the capacity of the substations installed.</t>
  </si>
  <si>
    <t>02112016 rin :the difference between RHTDBHCEBN1 and RHTDBHCEBN2 is that the cost of the connection pipe and heat meter are included in the investment cost for RHTDBHCEBN2</t>
  </si>
  <si>
    <t>RHTMBHCEBN2</t>
  </si>
  <si>
    <t>RHTMBHDEBN2</t>
  </si>
  <si>
    <t>Residential heating technology multistorey building - heat exchangers - heat centralised - new 1</t>
  </si>
  <si>
    <t>Residential heating technology multistorey building - heat exchangers -heat decentralised - new 1</t>
  </si>
  <si>
    <t>Residential heat tech detached build - heat exchanger+connect pipe+meter - centralised - new 2</t>
  </si>
  <si>
    <t>Residential heat tech detached build - heat exchanger+connect pipe+meter - decentralised - new 2</t>
  </si>
  <si>
    <t>Residential heating technology multistorey building -heat exchanger+connect pipe+meter- heat centralised - new 1</t>
  </si>
  <si>
    <t>Residential heating technology multistorey building -heat exchanger+connect pipe+meter- heat decentralised - new 1</t>
  </si>
  <si>
    <t>c70</t>
  </si>
  <si>
    <t>C70</t>
  </si>
  <si>
    <t>New technology woodstove included</t>
  </si>
  <si>
    <t>New technology DH 2 included the difference between RHTDBHCEBN1 and RHTDBHCEBN2 is that the cost of the connection pipe and heat meter are included in the investment cost for RHTDBHCEBN2</t>
  </si>
  <si>
    <t>New technology DH 2 included the difference between RHTMBHCEBN1 and RHTMBHCEBN2 is that the cost of the connection pipe and heat meter are included in the investment cost for RHTDBHCEBN2</t>
  </si>
  <si>
    <t>C71</t>
  </si>
  <si>
    <t>Data for technology DH 2 investment is calculated. For DH2 the investment cost of the connection pipe and heat meter are added to the investment cost for DH1</t>
  </si>
  <si>
    <t xml:space="preserve">There is losses after the boiler e.g. in circulation and HWT it is assumed that this loss can be included withdrawing 3% point from the boiler efficiency  this assumed for at technologies for DB except for wood stoves and Air to Air heat pumps </t>
  </si>
  <si>
    <t>column I</t>
  </si>
  <si>
    <t xml:space="preserve">Deleted the COP for brine to water figured under efficiency  - COPs have in general been moved to the transfile  </t>
  </si>
  <si>
    <t>I30-34</t>
  </si>
  <si>
    <t xml:space="preserve">Default AFA is 0.2  for the heating technologies  that can deliver 100% of room heating demand- AFA for technologies that is expected to deliver less than 100% of the room heating demand is calculated as O.2* % of ecpected room heating demand </t>
  </si>
  <si>
    <t xml:space="preserve">AFA for air to air HP and wood stoves is adjusted : Default AFA is 0.2  for the heating technologies  that can deliver 100% of room heating demand- AFA for technologies that is expected to deliver less than 100% of the room heating demand is calculated as O.2* % of ecpected room heating demand </t>
  </si>
  <si>
    <t>O18 and O26</t>
  </si>
  <si>
    <t xml:space="preserve">There is losses after the boiler e.g. in circulation and HWT it is assumed that this loss can be included  substracting  3% point from the boiler efficiency  this assumed for at technologies for DB except for wood stoves and Air to Air heat pumps  </t>
  </si>
  <si>
    <t>Update lifetimes for Heat pumps to more years. The existing have a 30 lifespan.</t>
  </si>
  <si>
    <t>I14:I17</t>
  </si>
  <si>
    <t>Efficiency for biomass automatic boiler set to the values from the old catalog</t>
  </si>
  <si>
    <t>K10:M17</t>
  </si>
  <si>
    <t xml:space="preserve">the cost reduced  looking at the cost from previous cat, comparing tech and to - to account for the lower CAP </t>
  </si>
  <si>
    <t>CURR</t>
  </si>
  <si>
    <t>Output name</t>
  </si>
  <si>
    <t>Currency unit</t>
  </si>
  <si>
    <t>MKr15</t>
  </si>
  <si>
    <t>Column  G</t>
  </si>
  <si>
    <t xml:space="preserve">Currency included </t>
  </si>
  <si>
    <t>J8O</t>
  </si>
  <si>
    <t xml:space="preserve">A percentage can be set in this cell reflect losses in the radiatorsystem - IN the BF  3 % is set as standard value  - ( but not included for the VP ) </t>
  </si>
  <si>
    <t>New family housing</t>
  </si>
  <si>
    <t>Existing family housin</t>
  </si>
  <si>
    <t>Heat pump, Air-to-air, new one family house</t>
  </si>
  <si>
    <t>C, G, H, J</t>
  </si>
  <si>
    <t>Heat pump, Air-to-water, new one family house</t>
  </si>
  <si>
    <t>1,2,3,13,14</t>
  </si>
  <si>
    <t>Heat pump, ground source, new one family house</t>
  </si>
  <si>
    <t>RHTDBELCXN2N</t>
  </si>
  <si>
    <t>RHTDBELCXN3N</t>
  </si>
  <si>
    <t>RHTDBELCXN4N</t>
  </si>
  <si>
    <t>RHTDBELCXN4E</t>
  </si>
  <si>
    <t>RHTDBELCXN3E</t>
  </si>
  <si>
    <t>RHTDBELCXN2E</t>
  </si>
  <si>
    <t>Residential heating technology detached building - Heat pump, air-to-air - new 2, existing buildings</t>
  </si>
  <si>
    <t>Residential heating technology detached building - Heat pump, air-to-water - new 3, existing buildings</t>
  </si>
  <si>
    <t>Residential heating technology detached building - Heat pump, brine-to-water - new 4, existing buildings</t>
  </si>
  <si>
    <t>Heat pump, Air-to-water, existing apartments</t>
  </si>
  <si>
    <t>Existing multi storey housin</t>
  </si>
  <si>
    <t>New multi storey housing</t>
  </si>
  <si>
    <t>Heat pump, Ground source, existing apartments</t>
  </si>
  <si>
    <t>Existing Multi storey housin</t>
  </si>
  <si>
    <t>New Multi storey housing</t>
  </si>
  <si>
    <t>RHTMBELCXN3E</t>
  </si>
  <si>
    <t>RHTMBELCXN4E</t>
  </si>
  <si>
    <t>RHTMBELCXN3N</t>
  </si>
  <si>
    <t>RHTMBELCXN4N</t>
  </si>
  <si>
    <t>Residential heating technology multistorey building - Heat pump, air-to-water - new 3 - existing buildings</t>
  </si>
  <si>
    <t>Residential heating technology multistorey building - Heat pump, brine-to-water - new 4 - existing buildings</t>
  </si>
  <si>
    <t>Residential heating technology multistorey building - Heat pump, air-to-water - new 3 - new buildings</t>
  </si>
  <si>
    <t>Residential heating technology multistorey building - Heat pump, brine-to-water - new 4 - new buildings</t>
  </si>
  <si>
    <t>Natural gas boiler - One-family house, existing and energy renovated buildings</t>
  </si>
  <si>
    <t>G, H, I</t>
  </si>
  <si>
    <t>Possible additional specific investment (1000€/unit)</t>
  </si>
  <si>
    <t>SO2 (g per GJ fuel)</t>
  </si>
  <si>
    <t>NOX (g per GJ fuel)</t>
  </si>
  <si>
    <t>CH4 (g per GJ fuel)</t>
  </si>
  <si>
    <t>N2O (g per GJ fuel)</t>
  </si>
  <si>
    <t>Direct district heating substation - One-family house, existing, new and energy renovated buildings</t>
  </si>
  <si>
    <t>C, F</t>
  </si>
  <si>
    <t>D, F</t>
  </si>
  <si>
    <t>Biomass boiler, automatic stoking , wood pellets or wood chips - One-family house, existing and energy renovated buildings.</t>
  </si>
  <si>
    <t>F, L</t>
  </si>
  <si>
    <t>D, E, L</t>
  </si>
  <si>
    <t>Mikkel Bosack Simonsen</t>
  </si>
  <si>
    <t>Background data</t>
  </si>
  <si>
    <t xml:space="preserve">Updated values for NG boilers, Oli boilers, Biomass boilers and Wood stove according to the technology catalog </t>
  </si>
  <si>
    <t>1,2,3,4,14</t>
  </si>
  <si>
    <t>F, H, J</t>
  </si>
  <si>
    <r>
      <t>Wood stove</t>
    </r>
    <r>
      <rPr>
        <b/>
        <sz val="8"/>
        <rFont val="Arial"/>
        <family val="2"/>
      </rPr>
      <t xml:space="preserve"> without water tank, wood logs</t>
    </r>
    <r>
      <rPr>
        <b/>
        <sz val="8"/>
        <color theme="1"/>
        <rFont val="Arial"/>
        <family val="2"/>
      </rPr>
      <t xml:space="preserve"> - One-family house, existing, energy renovated and new buildings</t>
    </r>
  </si>
  <si>
    <t>Updates of AFA for solar heating, used data from the technology catalogue regarding fuldload hours</t>
  </si>
  <si>
    <t>Assumptions for heat distribution to hot water and spatial heating is divided as:</t>
  </si>
  <si>
    <t>Hot water</t>
  </si>
  <si>
    <t>Heating and other losses</t>
  </si>
  <si>
    <t>Source: http://www.3b.dk/bo_i_3b/mens_du_bor_i_3b/forklaring_til_vand-_og_varmeopgoerelse/hvordan_laeser_jeg_min_varmeopgoerelse/</t>
  </si>
  <si>
    <t>Updated AFA according to spatial and hot water production.</t>
  </si>
  <si>
    <t>Updated AFA based on the assumption that oil boilers is 50 % larger than other heating sources (technology catalogue)</t>
  </si>
  <si>
    <t>Set the AFA as correction factor, due to higher efficiency from large scale plants, and moved the profile and annual production to the Sub_Annual file</t>
  </si>
  <si>
    <t>Full load hour for large scale solar heating plants, whitch is used to calculate subannual production pattern.</t>
  </si>
  <si>
    <t>Full load</t>
  </si>
  <si>
    <t>Year</t>
  </si>
  <si>
    <t>Cooking</t>
  </si>
  <si>
    <t>CAPUNIT</t>
  </si>
  <si>
    <t>Fuel</t>
  </si>
  <si>
    <t>*Unit</t>
  </si>
  <si>
    <t>PJ/PJ</t>
  </si>
  <si>
    <t>Annual avaiability</t>
  </si>
  <si>
    <t>Appliances</t>
  </si>
  <si>
    <t>Hot Water</t>
  </si>
  <si>
    <t>*SubSector</t>
  </si>
  <si>
    <t>*Building type</t>
  </si>
  <si>
    <t>Urban</t>
  </si>
  <si>
    <t>Detached</t>
  </si>
  <si>
    <t>Rural</t>
  </si>
  <si>
    <t>Multi storey</t>
  </si>
  <si>
    <t>Sector name</t>
  </si>
  <si>
    <t>Type</t>
  </si>
  <si>
    <t>Building</t>
  </si>
  <si>
    <t>Area</t>
  </si>
  <si>
    <t>Technology with age specific parameters to buildings</t>
  </si>
  <si>
    <t>Long names</t>
  </si>
  <si>
    <t>Names</t>
  </si>
  <si>
    <t>DEM</t>
  </si>
  <si>
    <t>Mm2</t>
  </si>
  <si>
    <t>Heating</t>
  </si>
  <si>
    <t>Demand</t>
  </si>
  <si>
    <t>Multi</t>
  </si>
  <si>
    <t>Cooling</t>
  </si>
  <si>
    <t>Water Hot</t>
  </si>
  <si>
    <t>Food (cooking)</t>
  </si>
  <si>
    <t>NRG</t>
  </si>
  <si>
    <t>NGA</t>
  </si>
  <si>
    <t>Natural Gas</t>
  </si>
  <si>
    <t>LPG</t>
  </si>
  <si>
    <t>DSL</t>
  </si>
  <si>
    <t>Diesel</t>
  </si>
  <si>
    <t>GSL</t>
  </si>
  <si>
    <t>Gasoline</t>
  </si>
  <si>
    <t>WPE</t>
  </si>
  <si>
    <t>Wood pellets</t>
  </si>
  <si>
    <t>FIW</t>
  </si>
  <si>
    <t>Fire wood</t>
  </si>
  <si>
    <t>STR</t>
  </si>
  <si>
    <t>Straw</t>
  </si>
  <si>
    <t>H2</t>
  </si>
  <si>
    <t>Hydrogen</t>
  </si>
  <si>
    <t>SOL</t>
  </si>
  <si>
    <t>Solar</t>
  </si>
  <si>
    <t>ELC</t>
  </si>
  <si>
    <t>ELCH</t>
  </si>
  <si>
    <t>Electricity Heating</t>
  </si>
  <si>
    <t>ELCC</t>
  </si>
  <si>
    <t>Electricity Cooling</t>
  </si>
  <si>
    <t>ELCA</t>
  </si>
  <si>
    <t>Electricity Appliances</t>
  </si>
  <si>
    <t>HCE</t>
  </si>
  <si>
    <t>District heating Central</t>
  </si>
  <si>
    <t>HDE</t>
  </si>
  <si>
    <t>District heating Decentral</t>
  </si>
  <si>
    <t>SNG</t>
  </si>
  <si>
    <t>Synthetic Natural Gas</t>
  </si>
  <si>
    <t>This is only a scatch to explain how are the processes and commoditieslinked in case of district heating.</t>
  </si>
  <si>
    <t>DSB</t>
  </si>
  <si>
    <t>Renewable Diesel</t>
  </si>
  <si>
    <t>For detailed representation, go to VEDA FE--&gt;Advanced Functions and go to Process Master and Commodity.</t>
  </si>
  <si>
    <t>Xhanger DH</t>
  </si>
  <si>
    <t>RES sheet contains detailed graphical representation, but not heat savings.</t>
  </si>
  <si>
    <t>Boilers</t>
  </si>
  <si>
    <t>Existing buildings</t>
  </si>
  <si>
    <t>New buildings</t>
  </si>
  <si>
    <t>FX</t>
  </si>
  <si>
    <t>Savings</t>
  </si>
  <si>
    <t>Low</t>
  </si>
  <si>
    <t>Medium</t>
  </si>
  <si>
    <t>High</t>
  </si>
  <si>
    <t>RESCO2</t>
  </si>
  <si>
    <t>CO2 Residential</t>
  </si>
  <si>
    <t>kt</t>
  </si>
  <si>
    <t>Application</t>
  </si>
  <si>
    <t>Not read</t>
  </si>
  <si>
    <t>DMD</t>
  </si>
  <si>
    <t>New</t>
  </si>
  <si>
    <t>Food (Cooking)</t>
  </si>
  <si>
    <t>COM</t>
  </si>
  <si>
    <t>Commercial</t>
  </si>
  <si>
    <t>COMSOx</t>
  </si>
  <si>
    <t>COMNOx</t>
  </si>
  <si>
    <t>COMCH4</t>
  </si>
  <si>
    <t>COMN2O</t>
  </si>
  <si>
    <t>COMPM</t>
  </si>
  <si>
    <t>Commercial heating  heating technology - SOx emission</t>
  </si>
  <si>
    <t>Commercial heating  heating technology - NOx emission</t>
  </si>
  <si>
    <t>Commercial heating  heating technology - CH4 emission</t>
  </si>
  <si>
    <t>Commercial heating  heating technology - NO2 emission</t>
  </si>
  <si>
    <t>Commercial heating  heating technology - Particle emission</t>
  </si>
  <si>
    <t>CHTDBNGABN1</t>
  </si>
  <si>
    <t>CHTDBDSLBN1</t>
  </si>
  <si>
    <t>CHTDBWPEBN1</t>
  </si>
  <si>
    <t>CHTDBFIWBN1</t>
  </si>
  <si>
    <t>RHTDBNGABN4</t>
  </si>
  <si>
    <t>RHTDBNGABN5</t>
  </si>
  <si>
    <t>RHTMBELCXN2</t>
  </si>
  <si>
    <t>RHTMBNGABN6</t>
  </si>
  <si>
    <t>COMNGA,COMSNG</t>
  </si>
  <si>
    <t>COMDSL,COMDSB</t>
  </si>
  <si>
    <t>COMWPE</t>
  </si>
  <si>
    <t>COMFIW</t>
  </si>
  <si>
    <t>COMELCH</t>
  </si>
  <si>
    <t>COMSOL</t>
  </si>
  <si>
    <t>COMHCE</t>
  </si>
  <si>
    <t>COMHDE</t>
  </si>
  <si>
    <t>Technologies available for heating in the Commercial sector based on residential strucutre</t>
  </si>
  <si>
    <t>Efficiency</t>
  </si>
  <si>
    <t>Lifetime</t>
  </si>
  <si>
    <t>MKr/MW</t>
  </si>
  <si>
    <t>MKr/PJ</t>
  </si>
  <si>
    <t>Aviability factor</t>
  </si>
  <si>
    <t>*=Processes!D66</t>
  </si>
  <si>
    <t>*=Processes!D67</t>
  </si>
  <si>
    <t>*=Processes!D68</t>
  </si>
  <si>
    <t>*=Processes!D86</t>
  </si>
  <si>
    <t>*=Processes!D87</t>
  </si>
  <si>
    <t>FT</t>
  </si>
  <si>
    <t>HET</t>
  </si>
  <si>
    <t>COMHET</t>
  </si>
  <si>
    <t>CWDEM</t>
  </si>
  <si>
    <t>COMHSE</t>
  </si>
  <si>
    <t>RHTDBHSEBN1</t>
  </si>
  <si>
    <t>RHTMBHSEBN1</t>
  </si>
  <si>
    <t>*=Processes!D72</t>
  </si>
  <si>
    <t>*=Processes!D73</t>
  </si>
  <si>
    <t>*=Processes!D94</t>
  </si>
  <si>
    <t>MEUR/MW</t>
  </si>
  <si>
    <t>COMELC</t>
  </si>
  <si>
    <t>EFF~DE1</t>
  </si>
  <si>
    <t>EFF~DE2</t>
  </si>
  <si>
    <t>EFF~DE3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</si>
</sst>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1" formatCode="_-* #,##0_-;\-* #,##0_-;_-* &quot;-&quot;_-;_-@_-"/>
    <numFmt numFmtId="43" formatCode="_-* #,##0.00_-;\-* #,##0.00_-;_-* &quot;-&quot;??_-;_-@_-"/>
    <numFmt numFmtId="164" formatCode="_-* #,##0\ _k_r_._-;\-* #,##0\ _k_r_._-;_-* &quot;-&quot;\ _k_r_._-;_-@_-"/>
    <numFmt numFmtId="165" formatCode="_-* #,##0.00\ _k_r_._-;\-* #,##0.00\ _k_r_._-;_-* &quot;-&quot;??\ _k_r_._-;_-@_-"/>
    <numFmt numFmtId="166" formatCode="_ * #,##0.00_ ;_ * \-#,##0.00_ ;_ * &quot;-&quot;??_ ;_ @_ "/>
    <numFmt numFmtId="167" formatCode="_(* #,##0.00_);_(* \(#,##0.00\);_(* &quot;-&quot;??_);_(@_)"/>
    <numFmt numFmtId="168" formatCode="0.000"/>
    <numFmt numFmtId="169" formatCode="_ * #,##0_ ;_ * \-#,##0_ ;_ * &quot;-&quot;??_ ;_ @_ "/>
    <numFmt numFmtId="170" formatCode="_-[$€-2]\ * #,##0.00_-;\-[$€-2]\ * #,##0.00_-;_-[$€-2]\ * &quot;-&quot;??_-"/>
    <numFmt numFmtId="171" formatCode="_-&quot;€&quot;\ * #,##0.00_-;\-&quot;€&quot;\ * #,##0.00_-;_-&quot;€&quot;\ * &quot;-&quot;??_-;_-@_-"/>
    <numFmt numFmtId="172" formatCode="#,##0;\-\ #,##0;_-\ &quot;- &quot;"/>
    <numFmt numFmtId="173" formatCode="_([$€]* #,##0.00_);_([$€]* \(#,##0.00\);_([$€]* &quot;-&quot;??_);_(@_)"/>
    <numFmt numFmtId="174" formatCode="\Te\x\t"/>
    <numFmt numFmtId="175" formatCode="&quot;kr.&quot;#,##0.00"/>
    <numFmt numFmtId="176" formatCode="_-* #,##0_-;\-* #,##0_-;_-* &quot;-&quot;??_-;_-@_-"/>
    <numFmt numFmtId="177" formatCode="_(* #,##0_);_(* \(#,##0\);_(* &quot;-&quot;_);_(@_)"/>
    <numFmt numFmtId="178" formatCode="0.0"/>
    <numFmt numFmtId="179" formatCode="#,##0.00_ ;\-#,##0.00\ "/>
    <numFmt numFmtId="180" formatCode="0.0000"/>
    <numFmt numFmtId="181" formatCode="0.00000"/>
    <numFmt numFmtId="182" formatCode="_-* #,##0.0000_-;\-* #,##0.0000_-;_-* &quot;-&quot;??_-;_-@_-"/>
  </numFmts>
  <fonts count="105">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sz val="8"/>
      <color theme="1"/>
      <name val="Arial"/>
      <family val="2"/>
    </font>
    <font>
      <sz val="11"/>
      <name val="Calibri"/>
      <family val="2"/>
      <scheme val="minor"/>
    </font>
    <font>
      <b/>
      <sz val="12"/>
      <color theme="1"/>
      <name val="Calibri"/>
      <family val="2"/>
      <scheme val="minor"/>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0"/>
      <name val="Arial"/>
      <family val="2"/>
    </font>
    <font>
      <b/>
      <sz val="12"/>
      <name val="Arial"/>
      <family val="2"/>
    </font>
    <font>
      <sz val="8"/>
      <color indexed="9"/>
      <name val="Arial"/>
      <family val="2"/>
    </font>
    <font>
      <sz val="11"/>
      <color theme="0"/>
      <name val="Calibri"/>
      <family val="2"/>
    </font>
    <font>
      <sz val="9"/>
      <color rgb="FFFF0000"/>
      <name val="Arial"/>
      <family val="2"/>
    </font>
    <font>
      <b/>
      <sz val="8"/>
      <color theme="1"/>
      <name val="Arial"/>
      <family val="2"/>
    </font>
    <font>
      <sz val="8"/>
      <color rgb="FF000000"/>
      <name val="Arial"/>
      <family val="2"/>
    </font>
    <font>
      <b/>
      <sz val="8"/>
      <color rgb="FF000000"/>
      <name val="Arial"/>
      <family val="2"/>
    </font>
    <font>
      <vertAlign val="subscript"/>
      <sz val="8"/>
      <color theme="1"/>
      <name val="Arial"/>
      <family val="2"/>
    </font>
    <font>
      <u/>
      <sz val="11"/>
      <color theme="10"/>
      <name val="Calibri"/>
      <family val="2"/>
      <scheme val="minor"/>
    </font>
    <font>
      <sz val="8"/>
      <name val="Arial"/>
      <family val="2"/>
    </font>
    <font>
      <b/>
      <sz val="8"/>
      <name val="Arial"/>
      <family val="2"/>
    </font>
    <font>
      <vertAlign val="subscript"/>
      <sz val="8"/>
      <name val="Arial"/>
      <family val="2"/>
    </font>
    <font>
      <sz val="8"/>
      <color rgb="FFFF0000"/>
      <name val="Arial"/>
      <family val="2"/>
    </font>
    <font>
      <b/>
      <sz val="8"/>
      <color rgb="FFFF0000"/>
      <name val="Arial"/>
      <family val="2"/>
    </font>
    <font>
      <sz val="12"/>
      <color theme="1"/>
      <name val="Calibri"/>
      <family val="2"/>
      <scheme val="minor"/>
    </font>
    <font>
      <sz val="12"/>
      <name val="Calibri"/>
      <family val="2"/>
      <scheme val="minor"/>
    </font>
    <font>
      <sz val="8"/>
      <name val="Calibri"/>
      <family val="2"/>
      <scheme val="minor"/>
    </font>
    <font>
      <sz val="10"/>
      <color theme="1"/>
      <name val="Calibri"/>
      <family val="2"/>
      <scheme val="minor"/>
    </font>
    <font>
      <b/>
      <sz val="9"/>
      <name val="Calibri"/>
      <family val="2"/>
    </font>
    <font>
      <b/>
      <sz val="9"/>
      <color theme="0" tint="-0.249977111117893"/>
      <name val="Calibri"/>
      <family val="2"/>
    </font>
    <font>
      <sz val="11.5"/>
      <color theme="1"/>
      <name val="Times New Roman"/>
      <family val="1"/>
    </font>
    <font>
      <b/>
      <sz val="11"/>
      <name val="Calibri"/>
      <family val="2"/>
      <scheme val="minor"/>
    </font>
    <font>
      <sz val="11"/>
      <color theme="1"/>
      <name val="Times New Roman"/>
      <family val="1"/>
    </font>
    <font>
      <vertAlign val="subscript"/>
      <sz val="11.5"/>
      <name val="Calibri"/>
      <family val="2"/>
      <scheme val="minor"/>
    </font>
    <font>
      <sz val="11.5"/>
      <name val="Calibri"/>
      <family val="2"/>
      <scheme val="minor"/>
    </font>
    <font>
      <u/>
      <sz val="11.5"/>
      <name val="Calibri"/>
      <family val="2"/>
      <scheme val="minor"/>
    </font>
    <font>
      <sz val="11"/>
      <color rgb="FFC00000"/>
      <name val="Calibri"/>
      <family val="2"/>
      <scheme val="minor"/>
    </font>
    <font>
      <u/>
      <sz val="11"/>
      <name val="Calibri"/>
      <family val="2"/>
      <scheme val="minor"/>
    </font>
    <font>
      <sz val="11"/>
      <color rgb="FF000000"/>
      <name val="Calibri"/>
      <family val="2"/>
      <scheme val="minor"/>
    </font>
    <font>
      <b/>
      <sz val="16"/>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1"/>
      <color theme="1" tint="0.34998626667073579"/>
      <name val="Calibri"/>
      <family val="2"/>
      <scheme val="minor"/>
    </font>
    <font>
      <sz val="10"/>
      <color rgb="FFFF0000"/>
      <name val="Calibri"/>
      <family val="2"/>
      <scheme val="minor"/>
    </font>
    <font>
      <b/>
      <sz val="14"/>
      <name val="Calibri"/>
      <family val="2"/>
      <scheme val="minor"/>
    </font>
    <font>
      <b/>
      <sz val="14"/>
      <name val="Arial"/>
      <family val="2"/>
    </font>
    <font>
      <sz val="10"/>
      <color rgb="FFFF0000"/>
      <name val="Arial"/>
      <family val="2"/>
    </font>
  </fonts>
  <fills count="7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indexed="63"/>
        <bgColor indexed="64"/>
      </patternFill>
    </fill>
    <fill>
      <patternFill patternType="solid">
        <fgColor indexed="62"/>
        <bgColor indexed="64"/>
      </patternFill>
    </fill>
    <fill>
      <patternFill patternType="solid">
        <fgColor rgb="FF00B0F0"/>
        <bgColor indexed="64"/>
      </patternFill>
    </fill>
    <fill>
      <patternFill patternType="solid">
        <fgColor theme="9"/>
        <bgColor indexed="64"/>
      </patternFill>
    </fill>
    <fill>
      <patternFill patternType="solid">
        <fgColor theme="0" tint="-0.14999847407452621"/>
        <bgColor indexed="64"/>
      </patternFill>
    </fill>
    <fill>
      <patternFill patternType="solid">
        <fgColor rgb="FFFF66FF"/>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indexed="51"/>
        <bgColor indexed="64"/>
      </patternFill>
    </fill>
  </fills>
  <borders count="63">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ck">
        <color indexed="64"/>
      </left>
      <right/>
      <top style="thin">
        <color indexed="64"/>
      </top>
      <bottom/>
      <diagonal/>
    </border>
    <border>
      <left/>
      <right style="thick">
        <color indexed="64"/>
      </right>
      <top style="thin">
        <color indexed="64"/>
      </top>
      <bottom/>
      <diagonal/>
    </border>
    <border>
      <left style="thin">
        <color indexed="64"/>
      </left>
      <right style="thick">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top style="thin">
        <color indexed="64"/>
      </top>
      <bottom style="thin">
        <color indexed="64"/>
      </bottom>
      <diagonal/>
    </border>
    <border>
      <left/>
      <right/>
      <top style="thick">
        <color rgb="FFFF0000"/>
      </top>
      <bottom/>
      <diagonal/>
    </border>
    <border>
      <left/>
      <right style="thick">
        <color rgb="FFFF0000"/>
      </right>
      <top style="thick">
        <color rgb="FFFF0000"/>
      </top>
      <bottom/>
      <diagonal/>
    </border>
    <border>
      <left/>
      <right/>
      <top/>
      <bottom style="thick">
        <color rgb="FFFF0000"/>
      </bottom>
      <diagonal/>
    </border>
    <border>
      <left/>
      <right style="thick">
        <color rgb="FFFF0000"/>
      </right>
      <top/>
      <bottom style="thick">
        <color rgb="FFFF0000"/>
      </bottom>
      <diagonal/>
    </border>
    <border>
      <left/>
      <right style="thick">
        <color rgb="FFFF0000"/>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top/>
      <bottom style="medium">
        <color auto="1"/>
      </bottom>
      <diagonal/>
    </border>
  </borders>
  <cellStyleXfs count="2835">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3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6" fontId="40" fillId="0" borderId="0" applyFont="0" applyFill="0" applyBorder="0" applyAlignment="0" applyProtection="0"/>
    <xf numFmtId="167" fontId="11" fillId="0" borderId="0" applyFont="0" applyFill="0" applyBorder="0" applyAlignment="0" applyProtection="0"/>
    <xf numFmtId="167" fontId="35" fillId="0" borderId="0" applyFont="0" applyFill="0" applyBorder="0" applyAlignment="0" applyProtection="0"/>
    <xf numFmtId="167" fontId="11"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11" fillId="0" borderId="0" applyFont="0" applyFill="0" applyBorder="0" applyAlignment="0" applyProtection="0"/>
    <xf numFmtId="167" fontId="34" fillId="0" borderId="0" applyFont="0" applyFill="0" applyBorder="0" applyAlignment="0" applyProtection="0"/>
    <xf numFmtId="167" fontId="11" fillId="0" borderId="0" applyFont="0" applyFill="0" applyBorder="0" applyAlignment="0" applyProtection="0"/>
    <xf numFmtId="166" fontId="40" fillId="0" borderId="0" applyFont="0" applyFill="0" applyBorder="0" applyAlignment="0" applyProtection="0"/>
    <xf numFmtId="167" fontId="11"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0" fontId="39" fillId="0" borderId="0"/>
    <xf numFmtId="0" fontId="43" fillId="0" borderId="0" applyNumberFormat="0" applyFill="0" applyBorder="0" applyAlignment="0" applyProtection="0">
      <alignment vertical="top"/>
      <protection locked="0"/>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7"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35"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4" fontId="37" fillId="0" borderId="0"/>
    <xf numFmtId="0" fontId="40" fillId="41" borderId="0" applyNumberFormat="0" applyBorder="0" applyAlignment="0" applyProtection="0"/>
    <xf numFmtId="0" fontId="40" fillId="41"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42" borderId="0" applyNumberFormat="0" applyBorder="0" applyAlignment="0" applyProtection="0"/>
    <xf numFmtId="0" fontId="40" fillId="42" borderId="0" applyNumberFormat="0" applyBorder="0" applyAlignment="0" applyProtection="0"/>
    <xf numFmtId="0" fontId="40" fillId="46" borderId="0" applyNumberFormat="0" applyBorder="0" applyAlignment="0" applyProtection="0"/>
    <xf numFmtId="0" fontId="40" fillId="46" borderId="0" applyNumberFormat="0" applyBorder="0" applyAlignment="0" applyProtection="0"/>
    <xf numFmtId="0" fontId="40" fillId="50" borderId="0" applyNumberFormat="0" applyBorder="0" applyAlignment="0" applyProtection="0"/>
    <xf numFmtId="0" fontId="40" fillId="50"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0" fillId="58" borderId="0" applyNumberFormat="0" applyBorder="0" applyAlignment="0" applyProtection="0"/>
    <xf numFmtId="0" fontId="40" fillId="58"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60" fillId="43" borderId="0" applyNumberFormat="0" applyBorder="0" applyAlignment="0" applyProtection="0"/>
    <xf numFmtId="0" fontId="60" fillId="47" borderId="0" applyNumberFormat="0" applyBorder="0" applyAlignment="0" applyProtection="0"/>
    <xf numFmtId="0" fontId="60" fillId="51" borderId="0" applyNumberFormat="0" applyBorder="0" applyAlignment="0" applyProtection="0"/>
    <xf numFmtId="0" fontId="60" fillId="55" borderId="0" applyNumberFormat="0" applyBorder="0" applyAlignment="0" applyProtection="0"/>
    <xf numFmtId="0" fontId="60" fillId="59" borderId="0" applyNumberFormat="0" applyBorder="0" applyAlignment="0" applyProtection="0"/>
    <xf numFmtId="0" fontId="60" fillId="63" borderId="0" applyNumberFormat="0" applyBorder="0" applyAlignment="0" applyProtection="0"/>
    <xf numFmtId="0" fontId="17" fillId="21" borderId="2" applyNumberFormat="0" applyAlignment="0" applyProtection="0"/>
    <xf numFmtId="0" fontId="17" fillId="21" borderId="2" applyNumberFormat="0" applyAlignment="0" applyProtection="0"/>
    <xf numFmtId="167"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0" fontId="62" fillId="36" borderId="0" applyNumberFormat="0" applyBorder="0" applyAlignment="0" applyProtection="0"/>
    <xf numFmtId="0" fontId="6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6" fontId="39" fillId="0" borderId="0" applyFont="0" applyFill="0" applyBorder="0" applyAlignment="0" applyProtection="0"/>
    <xf numFmtId="0" fontId="59" fillId="38" borderId="50" applyNumberFormat="0" applyAlignment="0" applyProtection="0"/>
    <xf numFmtId="0" fontId="60" fillId="40" borderId="0" applyNumberFormat="0" applyBorder="0" applyAlignment="0" applyProtection="0"/>
    <xf numFmtId="0" fontId="60" fillId="44" borderId="0" applyNumberFormat="0" applyBorder="0" applyAlignment="0" applyProtection="0"/>
    <xf numFmtId="0" fontId="60" fillId="48" borderId="0" applyNumberFormat="0" applyBorder="0" applyAlignment="0" applyProtection="0"/>
    <xf numFmtId="0" fontId="60" fillId="52" borderId="0" applyNumberFormat="0" applyBorder="0" applyAlignment="0" applyProtection="0"/>
    <xf numFmtId="0" fontId="60" fillId="56" borderId="0" applyNumberFormat="0" applyBorder="0" applyAlignment="0" applyProtection="0"/>
    <xf numFmtId="0" fontId="60" fillId="60" borderId="0" applyNumberFormat="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0" fontId="64" fillId="37" borderId="0" applyNumberFormat="0" applyBorder="0" applyAlignment="0" applyProtection="0"/>
    <xf numFmtId="0" fontId="40" fillId="0" borderId="0"/>
    <xf numFmtId="0" fontId="11"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39" borderId="51" applyNumberFormat="0" applyFont="0" applyAlignment="0" applyProtection="0"/>
    <xf numFmtId="0" fontId="40" fillId="39" borderId="51" applyNumberFormat="0" applyFont="0" applyAlignment="0" applyProtection="0"/>
    <xf numFmtId="0" fontId="40" fillId="39" borderId="51" applyNumberFormat="0" applyFont="0" applyAlignment="0" applyProtection="0"/>
    <xf numFmtId="0" fontId="40" fillId="39" borderId="51" applyNumberFormat="0" applyFont="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74" fillId="0" borderId="0" applyNumberFormat="0" applyFill="0" applyBorder="0" applyAlignment="0" applyProtection="0"/>
    <xf numFmtId="0" fontId="43" fillId="0" borderId="0" applyNumberFormat="0" applyFill="0" applyBorder="0" applyAlignment="0" applyProtection="0">
      <alignment vertical="top"/>
      <protection locked="0"/>
    </xf>
    <xf numFmtId="9" fontId="40" fillId="0" borderId="0" applyFont="0" applyFill="0" applyBorder="0" applyAlignment="0" applyProtection="0"/>
    <xf numFmtId="165" fontId="11" fillId="0" borderId="0" applyFont="0" applyFill="0" applyBorder="0" applyAlignment="0" applyProtection="0"/>
    <xf numFmtId="165" fontId="35" fillId="0" borderId="0" applyFont="0" applyFill="0" applyBorder="0" applyAlignment="0" applyProtection="0"/>
    <xf numFmtId="165" fontId="1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0" fontId="11" fillId="0" borderId="0"/>
  </cellStyleXfs>
  <cellXfs count="1337">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17" fontId="49" fillId="0" borderId="13" xfId="0" applyNumberFormat="1" applyFont="1" applyBorder="1" applyAlignment="1">
      <alignment horizontal="center"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374"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3" borderId="20" xfId="0" applyFont="1" applyFill="1" applyBorder="1" applyAlignment="1">
      <alignment horizontal="right" vertical="center" wrapText="1"/>
    </xf>
    <xf numFmtId="0" fontId="8" fillId="33" borderId="20" xfId="0" applyFont="1" applyFill="1" applyBorder="1" applyAlignment="1">
      <alignment horizontal="center" vertical="center" wrapText="1"/>
    </xf>
    <xf numFmtId="0" fontId="8" fillId="33" borderId="20" xfId="0" applyFont="1" applyFill="1" applyBorder="1" applyAlignment="1">
      <alignment horizontal="center" vertical="center"/>
    </xf>
    <xf numFmtId="0" fontId="52"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3" fillId="0" borderId="1" xfId="0" applyFont="1" applyBorder="1"/>
    <xf numFmtId="169" fontId="53" fillId="0" borderId="1" xfId="0" applyNumberFormat="1" applyFont="1" applyBorder="1"/>
    <xf numFmtId="0" fontId="0" fillId="0" borderId="1" xfId="0" applyBorder="1"/>
    <xf numFmtId="0" fontId="0" fillId="0" borderId="0" xfId="0" applyFill="1"/>
    <xf numFmtId="0" fontId="47" fillId="0" borderId="0" xfId="0" applyFont="1"/>
    <xf numFmtId="0" fontId="0" fillId="0" borderId="0" xfId="0" applyAlignment="1">
      <alignment wrapText="1"/>
    </xf>
    <xf numFmtId="0" fontId="53" fillId="0" borderId="0" xfId="0" applyFont="1"/>
    <xf numFmtId="0" fontId="53" fillId="0" borderId="1" xfId="0" applyFont="1" applyFill="1" applyBorder="1" applyAlignment="1">
      <alignment horizontal="center"/>
    </xf>
    <xf numFmtId="2" fontId="0" fillId="0" borderId="1" xfId="0" applyNumberFormat="1" applyBorder="1" applyAlignment="1">
      <alignment horizontal="center"/>
    </xf>
    <xf numFmtId="0" fontId="53" fillId="0" borderId="1" xfId="0" applyFont="1" applyBorder="1" applyAlignment="1">
      <alignment horizontal="center"/>
    </xf>
    <xf numFmtId="0" fontId="0" fillId="0" borderId="1" xfId="0" applyBorder="1" applyAlignment="1">
      <alignment horizontal="center"/>
    </xf>
    <xf numFmtId="169" fontId="53" fillId="0" borderId="1" xfId="47" applyNumberFormat="1" applyFont="1" applyFill="1" applyBorder="1" applyAlignment="1">
      <alignment horizontal="center"/>
    </xf>
    <xf numFmtId="0" fontId="55" fillId="0" borderId="0" xfId="0" applyFont="1"/>
    <xf numFmtId="0" fontId="0" fillId="0" borderId="0" xfId="0" applyAlignment="1">
      <alignment horizontal="center"/>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17" fontId="49" fillId="0" borderId="17" xfId="0" quotePrefix="1" applyNumberFormat="1" applyFont="1" applyBorder="1" applyAlignment="1">
      <alignment horizontal="center" wrapText="1"/>
    </xf>
    <xf numFmtId="0" fontId="53" fillId="34" borderId="1" xfId="0" applyFont="1" applyFill="1" applyBorder="1" applyAlignment="1">
      <alignment horizontal="center"/>
    </xf>
    <xf numFmtId="0" fontId="7" fillId="26" borderId="26" xfId="0" applyFont="1" applyFill="1" applyBorder="1" applyAlignment="1">
      <alignment horizontal="left" vertical="center" wrapText="1"/>
    </xf>
    <xf numFmtId="0" fontId="8" fillId="33" borderId="20" xfId="0" applyFont="1" applyFill="1" applyBorder="1" applyAlignment="1">
      <alignment horizontal="left" vertical="center" wrapText="1"/>
    </xf>
    <xf numFmtId="0" fontId="8" fillId="33" borderId="27" xfId="0" applyFont="1" applyFill="1" applyBorder="1" applyAlignment="1">
      <alignment horizontal="right" vertical="center" wrapText="1"/>
    </xf>
    <xf numFmtId="0" fontId="11" fillId="0" borderId="0" xfId="866" applyFill="1"/>
    <xf numFmtId="0" fontId="11" fillId="0" borderId="0" xfId="866" applyFont="1" applyFill="1"/>
    <xf numFmtId="0" fontId="11" fillId="28" borderId="0" xfId="866" applyFill="1"/>
    <xf numFmtId="0" fontId="0" fillId="0" borderId="0" xfId="0" applyAlignment="1">
      <alignment horizontal="left"/>
    </xf>
    <xf numFmtId="0" fontId="49" fillId="0" borderId="13" xfId="0" applyFont="1" applyBorder="1" applyAlignment="1">
      <alignment horizontal="center" wrapText="1"/>
    </xf>
    <xf numFmtId="0" fontId="53" fillId="32" borderId="1" xfId="0" applyFont="1" applyFill="1" applyBorder="1" applyAlignment="1">
      <alignment horizontal="center"/>
    </xf>
    <xf numFmtId="0" fontId="53" fillId="35" borderId="1" xfId="0" applyFont="1" applyFill="1" applyBorder="1" applyAlignment="1">
      <alignment horizontal="center"/>
    </xf>
    <xf numFmtId="0" fontId="53" fillId="0" borderId="1" xfId="47" applyNumberFormat="1" applyFont="1" applyFill="1" applyBorder="1" applyAlignment="1">
      <alignment horizontal="center"/>
    </xf>
    <xf numFmtId="0" fontId="57" fillId="35" borderId="1" xfId="0" applyFont="1" applyFill="1" applyBorder="1" applyAlignment="1">
      <alignment horizontal="center"/>
    </xf>
    <xf numFmtId="2" fontId="57" fillId="35" borderId="1" xfId="0" applyNumberFormat="1" applyFont="1" applyFill="1" applyBorder="1" applyAlignment="1">
      <alignment horizontal="center"/>
    </xf>
    <xf numFmtId="0" fontId="53" fillId="0" borderId="1" xfId="0" applyNumberFormat="1" applyFont="1" applyBorder="1"/>
    <xf numFmtId="2" fontId="0" fillId="35" borderId="1" xfId="0" applyNumberFormat="1" applyFill="1" applyBorder="1" applyAlignment="1">
      <alignment horizontal="center"/>
    </xf>
    <xf numFmtId="0" fontId="53" fillId="0" borderId="0" xfId="0" applyFont="1" applyBorder="1" applyAlignment="1">
      <alignment horizontal="center"/>
    </xf>
    <xf numFmtId="169" fontId="53" fillId="0" borderId="0" xfId="47" applyNumberFormat="1" applyFont="1" applyFill="1" applyBorder="1" applyAlignment="1">
      <alignment horizontal="center"/>
    </xf>
    <xf numFmtId="2" fontId="0" fillId="0" borderId="0" xfId="0" applyNumberFormat="1" applyBorder="1" applyAlignment="1">
      <alignment horizontal="center"/>
    </xf>
    <xf numFmtId="0" fontId="53" fillId="0" borderId="0" xfId="47" applyNumberFormat="1" applyFont="1" applyFill="1" applyBorder="1" applyAlignment="1">
      <alignment horizontal="center"/>
    </xf>
    <xf numFmtId="2" fontId="53" fillId="0" borderId="1" xfId="0" applyNumberFormat="1" applyFont="1" applyFill="1" applyBorder="1" applyAlignment="1">
      <alignment horizontal="center"/>
    </xf>
    <xf numFmtId="2" fontId="53" fillId="0" borderId="1" xfId="0" applyNumberFormat="1" applyFont="1" applyBorder="1" applyAlignment="1">
      <alignment horizontal="center"/>
    </xf>
    <xf numFmtId="0" fontId="34" fillId="0" borderId="0" xfId="879" applyFill="1"/>
    <xf numFmtId="0" fontId="53" fillId="0" borderId="0" xfId="0" applyFont="1" applyFill="1" applyBorder="1" applyAlignment="1">
      <alignment horizontal="center"/>
    </xf>
    <xf numFmtId="2" fontId="0" fillId="0" borderId="0" xfId="0" applyNumberFormat="1" applyFill="1"/>
    <xf numFmtId="2" fontId="0" fillId="0" borderId="1" xfId="0" applyNumberFormat="1" applyFill="1" applyBorder="1" applyAlignment="1">
      <alignment horizontal="center"/>
    </xf>
    <xf numFmtId="2" fontId="57" fillId="0" borderId="1" xfId="0" applyNumberFormat="1" applyFont="1" applyFill="1" applyBorder="1" applyAlignment="1">
      <alignment horizontal="center"/>
    </xf>
    <xf numFmtId="2" fontId="0" fillId="0" borderId="0" xfId="0" applyNumberFormat="1" applyFill="1" applyBorder="1" applyAlignment="1">
      <alignment horizontal="center"/>
    </xf>
    <xf numFmtId="0" fontId="0" fillId="0" borderId="31" xfId="0" applyBorder="1"/>
    <xf numFmtId="2" fontId="0" fillId="0" borderId="31" xfId="0" applyNumberFormat="1" applyBorder="1"/>
    <xf numFmtId="0" fontId="53" fillId="35" borderId="0" xfId="0" applyFont="1" applyFill="1" applyBorder="1" applyAlignment="1">
      <alignment horizontal="center"/>
    </xf>
    <xf numFmtId="0" fontId="57" fillId="0" borderId="0" xfId="0" applyFont="1" applyFill="1" applyBorder="1" applyAlignment="1">
      <alignment horizontal="center"/>
    </xf>
    <xf numFmtId="174" fontId="7" fillId="26" borderId="19" xfId="866" applyNumberFormat="1" applyFont="1" applyFill="1" applyBorder="1" applyAlignment="1">
      <alignment horizontal="left" vertical="center" wrapText="1"/>
    </xf>
    <xf numFmtId="174" fontId="11" fillId="0" borderId="0" xfId="866" applyNumberFormat="1" applyFill="1"/>
    <xf numFmtId="174" fontId="13" fillId="0" borderId="0" xfId="866" applyNumberFormat="1" applyFont="1"/>
    <xf numFmtId="174" fontId="11" fillId="0" borderId="0" xfId="866" applyNumberFormat="1"/>
    <xf numFmtId="174" fontId="14" fillId="29" borderId="20" xfId="866" applyNumberFormat="1" applyFont="1" applyFill="1" applyBorder="1" applyAlignment="1">
      <alignment horizontal="left" vertical="top" wrapText="1"/>
    </xf>
    <xf numFmtId="174" fontId="14" fillId="29" borderId="20" xfId="866" quotePrefix="1" applyNumberFormat="1" applyFont="1" applyFill="1" applyBorder="1" applyAlignment="1">
      <alignment horizontal="left" vertical="top" wrapText="1"/>
    </xf>
    <xf numFmtId="174" fontId="12" fillId="0" borderId="0" xfId="866" applyNumberFormat="1" applyFont="1" applyFill="1" applyBorder="1" applyAlignment="1">
      <alignment horizontal="left"/>
    </xf>
    <xf numFmtId="174" fontId="13" fillId="0" borderId="0" xfId="866" applyNumberFormat="1" applyFont="1" applyFill="1" applyBorder="1" applyAlignment="1">
      <alignment horizontal="left" wrapText="1"/>
    </xf>
    <xf numFmtId="174" fontId="40" fillId="0" borderId="0" xfId="48" applyNumberFormat="1" applyFont="1"/>
    <xf numFmtId="174" fontId="12" fillId="0" borderId="0" xfId="866"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15" fillId="3" borderId="19" xfId="3" applyBorder="1" applyAlignment="1">
      <alignment horizontal="center"/>
    </xf>
    <xf numFmtId="2" fontId="15" fillId="3" borderId="1" xfId="3" applyNumberFormat="1" applyBorder="1" applyAlignment="1">
      <alignment horizontal="center"/>
    </xf>
    <xf numFmtId="0" fontId="15" fillId="3" borderId="1" xfId="3" applyBorder="1" applyAlignment="1">
      <alignment horizontal="center"/>
    </xf>
    <xf numFmtId="0" fontId="0" fillId="0" borderId="0" xfId="0"/>
    <xf numFmtId="0" fontId="57"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7" fillId="0" borderId="0" xfId="0" applyNumberFormat="1" applyFont="1" applyFill="1" applyBorder="1" applyAlignment="1">
      <alignment horizontal="center"/>
    </xf>
    <xf numFmtId="174" fontId="57" fillId="0" borderId="0" xfId="0" applyNumberFormat="1" applyFont="1" applyFill="1"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4" fontId="57" fillId="32" borderId="0" xfId="866" applyNumberFormat="1" applyFont="1" applyFill="1"/>
    <xf numFmtId="174" fontId="0" fillId="0" borderId="31" xfId="0" applyNumberFormat="1" applyFont="1" applyBorder="1"/>
    <xf numFmtId="174" fontId="0" fillId="32" borderId="0" xfId="0" applyNumberFormat="1" applyFont="1" applyFill="1"/>
    <xf numFmtId="174" fontId="0" fillId="0" borderId="0" xfId="0" applyNumberFormat="1" applyFont="1"/>
    <xf numFmtId="174" fontId="57" fillId="0" borderId="31" xfId="866" applyNumberFormat="1" applyFont="1" applyBorder="1"/>
    <xf numFmtId="174" fontId="57" fillId="0" borderId="31" xfId="866" applyNumberFormat="1" applyFont="1" applyFill="1" applyBorder="1"/>
    <xf numFmtId="174" fontId="57" fillId="0" borderId="0" xfId="866" applyNumberFormat="1" applyFont="1"/>
    <xf numFmtId="174" fontId="57" fillId="0" borderId="0" xfId="866" applyNumberFormat="1" applyFont="1" applyFill="1"/>
    <xf numFmtId="0" fontId="0" fillId="0" borderId="31" xfId="0" applyFill="1" applyBorder="1"/>
    <xf numFmtId="0" fontId="57" fillId="0" borderId="31" xfId="0" applyFont="1" applyFill="1" applyBorder="1" applyAlignment="1">
      <alignment horizontal="left"/>
    </xf>
    <xf numFmtId="0" fontId="0" fillId="0" borderId="0" xfId="0" applyFont="1" applyAlignment="1">
      <alignment horizontal="left" wrapText="1"/>
    </xf>
    <xf numFmtId="175" fontId="0" fillId="0" borderId="0" xfId="0" applyNumberFormat="1" applyAlignment="1"/>
    <xf numFmtId="0" fontId="7" fillId="26" borderId="34" xfId="0" applyFont="1" applyFill="1" applyBorder="1" applyAlignment="1">
      <alignment horizontal="left" vertical="center" wrapText="1"/>
    </xf>
    <xf numFmtId="0" fontId="7" fillId="26" borderId="35" xfId="0" applyFont="1" applyFill="1" applyBorder="1" applyAlignment="1">
      <alignment horizontal="left" vertical="center" wrapText="1"/>
    </xf>
    <xf numFmtId="0" fontId="7" fillId="26" borderId="35" xfId="0" applyFont="1" applyFill="1" applyBorder="1" applyAlignment="1">
      <alignment horizontal="center" vertical="center" wrapText="1"/>
    </xf>
    <xf numFmtId="0" fontId="7" fillId="26" borderId="35" xfId="0" applyFont="1" applyFill="1" applyBorder="1" applyAlignment="1">
      <alignment horizontal="center" vertical="center"/>
    </xf>
    <xf numFmtId="0" fontId="7" fillId="26" borderId="35" xfId="0" applyFont="1" applyFill="1" applyBorder="1" applyAlignment="1">
      <alignment horizontal="right" vertical="center" wrapText="1"/>
    </xf>
    <xf numFmtId="0" fontId="7" fillId="26" borderId="36" xfId="0" applyFont="1" applyFill="1" applyBorder="1" applyAlignment="1">
      <alignment horizontal="right" vertical="center" wrapText="1"/>
    </xf>
    <xf numFmtId="0" fontId="8" fillId="33" borderId="37" xfId="0" applyFont="1" applyFill="1" applyBorder="1" applyAlignment="1">
      <alignment horizontal="right" vertical="center" wrapText="1"/>
    </xf>
    <xf numFmtId="0" fontId="8" fillId="33" borderId="38" xfId="0" applyFont="1" applyFill="1" applyBorder="1" applyAlignment="1">
      <alignment horizontal="right" vertical="center" wrapText="1"/>
    </xf>
    <xf numFmtId="0" fontId="8" fillId="27" borderId="39" xfId="0" applyFont="1" applyFill="1" applyBorder="1" applyAlignment="1">
      <alignment horizontal="right"/>
    </xf>
    <xf numFmtId="0" fontId="8" fillId="27" borderId="40" xfId="0" applyFont="1" applyFill="1" applyBorder="1" applyAlignment="1">
      <alignment horizontal="right"/>
    </xf>
    <xf numFmtId="0" fontId="53" fillId="0" borderId="41" xfId="0" applyFont="1" applyBorder="1"/>
    <xf numFmtId="0" fontId="53" fillId="0" borderId="42" xfId="0" applyFont="1" applyBorder="1"/>
    <xf numFmtId="0" fontId="53" fillId="0" borderId="43" xfId="0" applyFont="1" applyBorder="1"/>
    <xf numFmtId="0" fontId="55" fillId="0" borderId="0" xfId="0" applyFont="1" applyAlignment="1"/>
    <xf numFmtId="0" fontId="52" fillId="0" borderId="0" xfId="0" applyFont="1" applyFill="1"/>
    <xf numFmtId="0" fontId="7" fillId="0" borderId="0" xfId="0" applyFont="1" applyFill="1" applyBorder="1" applyAlignment="1">
      <alignment horizontal="right" vertical="center" wrapText="1"/>
    </xf>
    <xf numFmtId="0" fontId="8" fillId="0" borderId="0" xfId="0" applyFont="1" applyFill="1" applyBorder="1" applyAlignment="1">
      <alignment horizontal="right" vertical="center" wrapText="1"/>
    </xf>
    <xf numFmtId="0" fontId="8" fillId="0" borderId="0" xfId="0" applyFont="1" applyFill="1" applyBorder="1" applyAlignment="1">
      <alignment horizontal="right"/>
    </xf>
    <xf numFmtId="0" fontId="8" fillId="0" borderId="0" xfId="0" applyFont="1" applyFill="1" applyBorder="1" applyAlignment="1">
      <alignment horizontal="center"/>
    </xf>
    <xf numFmtId="0" fontId="53" fillId="0" borderId="0" xfId="0" applyFont="1" applyFill="1" applyBorder="1"/>
    <xf numFmtId="0" fontId="0" fillId="0" borderId="0" xfId="0" quotePrefix="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49" fillId="0" borderId="0" xfId="0" applyFont="1" applyFill="1" applyBorder="1" applyAlignment="1">
      <alignment horizontal="center" wrapText="1"/>
    </xf>
    <xf numFmtId="0" fontId="0" fillId="0" borderId="30" xfId="0" applyFill="1" applyBorder="1"/>
    <xf numFmtId="0" fontId="0" fillId="0" borderId="15" xfId="0" applyBorder="1"/>
    <xf numFmtId="0" fontId="61" fillId="0" borderId="0" xfId="864" applyFont="1"/>
    <xf numFmtId="0" fontId="44" fillId="0" borderId="0" xfId="864"/>
    <xf numFmtId="0" fontId="46" fillId="0" borderId="0" xfId="864" applyFont="1"/>
    <xf numFmtId="0" fontId="46" fillId="0" borderId="31" xfId="864" applyFont="1" applyBorder="1"/>
    <xf numFmtId="0" fontId="0" fillId="0" borderId="0" xfId="864" applyFont="1"/>
    <xf numFmtId="0" fontId="40" fillId="64" borderId="0" xfId="864" applyFont="1" applyFill="1"/>
    <xf numFmtId="0" fontId="68" fillId="67" borderId="0" xfId="864" applyFont="1" applyFill="1"/>
    <xf numFmtId="0" fontId="40" fillId="68" borderId="0" xfId="864" applyFont="1" applyFill="1"/>
    <xf numFmtId="0" fontId="0" fillId="0" borderId="0" xfId="0" applyFont="1"/>
    <xf numFmtId="169" fontId="69" fillId="0" borderId="18" xfId="47" quotePrefix="1" applyNumberFormat="1" applyFont="1" applyBorder="1" applyAlignment="1">
      <alignment wrapText="1"/>
    </xf>
    <xf numFmtId="2" fontId="47" fillId="0" borderId="1" xfId="0" applyNumberFormat="1" applyFont="1" applyFill="1" applyBorder="1" applyAlignment="1">
      <alignment horizontal="center"/>
    </xf>
    <xf numFmtId="174" fontId="0" fillId="0" borderId="0" xfId="0" applyNumberFormat="1"/>
    <xf numFmtId="0" fontId="0" fillId="69" borderId="0" xfId="0" applyFill="1"/>
    <xf numFmtId="178" fontId="0" fillId="0" borderId="0" xfId="0" applyNumberFormat="1"/>
    <xf numFmtId="178" fontId="0" fillId="0" borderId="31" xfId="0" applyNumberFormat="1" applyBorder="1"/>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0" fillId="0" borderId="0" xfId="0"/>
    <xf numFmtId="0" fontId="75" fillId="0" borderId="17" xfId="0" applyFont="1" applyBorder="1" applyAlignment="1">
      <alignment horizontal="center" vertical="center" wrapText="1"/>
    </xf>
    <xf numFmtId="0" fontId="75" fillId="0" borderId="16" xfId="0" applyFont="1" applyBorder="1" applyAlignment="1">
      <alignment horizontal="center" vertical="center" wrapText="1"/>
    </xf>
    <xf numFmtId="1" fontId="75" fillId="0" borderId="24" xfId="0" applyNumberFormat="1" applyFont="1" applyBorder="1" applyAlignment="1">
      <alignment horizontal="center" vertical="center" wrapText="1"/>
    </xf>
    <xf numFmtId="0" fontId="0" fillId="0" borderId="0" xfId="0"/>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Font="1"/>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6" fillId="0" borderId="12" xfId="0" applyFont="1" applyBorder="1" applyAlignment="1">
      <alignment vertical="center" wrapText="1"/>
    </xf>
    <xf numFmtId="0" fontId="76" fillId="0" borderId="18" xfId="0" applyFont="1" applyBorder="1" applyAlignment="1">
      <alignment vertical="center" wrapText="1"/>
    </xf>
    <xf numFmtId="0" fontId="57" fillId="0" borderId="0" xfId="0" applyFont="1"/>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6" xfId="0" applyFont="1" applyBorder="1" applyAlignment="1">
      <alignment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6" xfId="0" applyFont="1" applyFill="1" applyBorder="1" applyAlignment="1">
      <alignment vertical="center" wrapText="1"/>
    </xf>
    <xf numFmtId="178" fontId="75" fillId="0" borderId="17"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178" fontId="75" fillId="0" borderId="23"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28" xfId="0" applyNumberFormat="1" applyFont="1" applyBorder="1" applyAlignment="1">
      <alignment horizontal="center" vertical="center" wrapText="1"/>
    </xf>
    <xf numFmtId="49" fontId="75" fillId="0" borderId="16" xfId="0" applyNumberFormat="1" applyFont="1" applyBorder="1" applyAlignment="1">
      <alignment vertical="center" wrapText="1"/>
    </xf>
    <xf numFmtId="1" fontId="75" fillId="0" borderId="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57" fillId="0" borderId="0" xfId="0" applyFont="1" applyAlignment="1">
      <alignment wrapText="1"/>
    </xf>
    <xf numFmtId="0" fontId="57" fillId="0" borderId="0" xfId="0" applyFont="1" applyFill="1" applyAlignment="1">
      <alignment wrapText="1"/>
    </xf>
    <xf numFmtId="0" fontId="57" fillId="0" borderId="25" xfId="0" applyFont="1" applyBorder="1" applyAlignment="1">
      <alignment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2" fontId="53" fillId="0" borderId="1" xfId="0" applyNumberFormat="1" applyFont="1" applyBorder="1"/>
    <xf numFmtId="0" fontId="48" fillId="0" borderId="0" xfId="0" applyFont="1" applyFill="1" applyBorder="1" applyAlignment="1">
      <alignment wrapText="1"/>
    </xf>
    <xf numFmtId="2" fontId="53" fillId="0" borderId="52" xfId="0" applyNumberFormat="1" applyFont="1" applyBorder="1"/>
    <xf numFmtId="2" fontId="53" fillId="0" borderId="0" xfId="0" applyNumberFormat="1" applyFont="1" applyFill="1" applyBorder="1"/>
    <xf numFmtId="0" fontId="0" fillId="0" borderId="0" xfId="0" applyAlignment="1"/>
    <xf numFmtId="0" fontId="50" fillId="0" borderId="14" xfId="0" applyFont="1" applyBorder="1" applyAlignment="1">
      <alignment horizontal="left"/>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0" fillId="0" borderId="0" xfId="0" applyAlignment="1">
      <alignment wrapText="1"/>
    </xf>
    <xf numFmtId="0" fontId="75" fillId="0" borderId="17" xfId="0" applyFont="1" applyBorder="1" applyAlignment="1">
      <alignment horizontal="center" vertical="center" wrapText="1"/>
    </xf>
    <xf numFmtId="0" fontId="75" fillId="0" borderId="16" xfId="0" applyFont="1" applyFill="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2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6" fillId="0" borderId="0" xfId="0" applyFont="1" applyBorder="1" applyAlignment="1">
      <alignment horizontal="center"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3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57" fillId="0" borderId="0" xfId="0" applyFont="1" applyFill="1"/>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49" fontId="75" fillId="0" borderId="30" xfId="0" applyNumberFormat="1" applyFont="1" applyBorder="1" applyAlignment="1">
      <alignment vertical="center" wrapText="1"/>
    </xf>
    <xf numFmtId="0" fontId="75" fillId="0" borderId="28" xfId="0" applyFont="1" applyBorder="1" applyAlignment="1">
      <alignment vertical="center" wrapText="1"/>
    </xf>
    <xf numFmtId="0" fontId="75" fillId="0" borderId="13" xfId="0" quotePrefix="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0" fontId="75" fillId="0" borderId="30" xfId="0" applyFont="1" applyBorder="1" applyAlignment="1">
      <alignment vertical="center" wrapText="1"/>
    </xf>
    <xf numFmtId="1" fontId="75" fillId="0" borderId="17" xfId="0" quotePrefix="1" applyNumberFormat="1" applyFont="1" applyBorder="1" applyAlignment="1">
      <alignment horizontal="center" vertical="center" wrapText="1"/>
    </xf>
    <xf numFmtId="0" fontId="75" fillId="0" borderId="14" xfId="0" applyFont="1" applyBorder="1" applyAlignment="1">
      <alignment vertical="center" wrapText="1"/>
    </xf>
    <xf numFmtId="0" fontId="75" fillId="0" borderId="12" xfId="0" applyFont="1" applyFill="1" applyBorder="1" applyAlignment="1">
      <alignment horizontal="center" vertical="center" wrapText="1"/>
    </xf>
    <xf numFmtId="1" fontId="75" fillId="0" borderId="14"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Alignment="1">
      <alignment wrapText="1"/>
    </xf>
    <xf numFmtId="0" fontId="71" fillId="0" borderId="23" xfId="0" applyFont="1" applyBorder="1" applyAlignment="1">
      <alignment horizontal="center" vertical="center" wrapText="1"/>
    </xf>
    <xf numFmtId="0" fontId="71" fillId="0" borderId="16" xfId="0" applyFont="1" applyBorder="1" applyAlignment="1">
      <alignment horizontal="center" vertical="center" wrapText="1"/>
    </xf>
    <xf numFmtId="0" fontId="75" fillId="0" borderId="17" xfId="0" applyFont="1" applyBorder="1" applyAlignment="1">
      <alignment horizontal="center" vertical="center" wrapText="1"/>
    </xf>
    <xf numFmtId="0" fontId="71" fillId="0" borderId="24" xfId="0" applyFont="1" applyBorder="1" applyAlignment="1">
      <alignment horizontal="center" vertical="center" wrapText="1"/>
    </xf>
    <xf numFmtId="0" fontId="53" fillId="0" borderId="0" xfId="0" applyFont="1"/>
    <xf numFmtId="0" fontId="71" fillId="0" borderId="12" xfId="0" applyFont="1" applyBorder="1" applyAlignment="1">
      <alignment horizontal="center" vertical="center" wrapText="1"/>
    </xf>
    <xf numFmtId="0" fontId="0" fillId="0" borderId="25" xfId="0" applyBorder="1"/>
    <xf numFmtId="0" fontId="71" fillId="0" borderId="16" xfId="0" applyFont="1" applyBorder="1" applyAlignment="1">
      <alignment horizontal="center" vertical="center"/>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25"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5" fillId="0" borderId="18" xfId="0" applyFont="1" applyBorder="1" applyAlignment="1">
      <alignment horizontal="center" vertical="center" wrapText="1"/>
    </xf>
    <xf numFmtId="0" fontId="75" fillId="0" borderId="23" xfId="0" applyFont="1" applyBorder="1" applyAlignment="1">
      <alignment horizontal="center"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3"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5" fillId="0" borderId="16" xfId="0" applyFont="1" applyBorder="1" applyAlignment="1">
      <alignment vertical="center" wrapText="1"/>
    </xf>
    <xf numFmtId="0" fontId="75" fillId="0" borderId="28" xfId="0" applyFont="1" applyBorder="1" applyAlignment="1">
      <alignment horizontal="center" vertical="center" wrapText="1"/>
    </xf>
    <xf numFmtId="1" fontId="75" fillId="0" borderId="28"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75" fillId="0" borderId="30"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14" xfId="0" applyFont="1" applyBorder="1" applyAlignment="1">
      <alignment horizontal="center" vertical="center" wrapText="1"/>
    </xf>
    <xf numFmtId="0" fontId="57" fillId="0" borderId="25" xfId="0" applyFont="1" applyBorder="1"/>
    <xf numFmtId="0" fontId="75" fillId="0" borderId="25" xfId="0" applyFont="1" applyBorder="1" applyAlignment="1">
      <alignment vertical="center" wrapText="1"/>
    </xf>
    <xf numFmtId="0" fontId="57" fillId="0" borderId="24" xfId="0" applyFont="1" applyBorder="1"/>
    <xf numFmtId="49" fontId="75" fillId="0" borderId="16" xfId="0" applyNumberFormat="1" applyFont="1" applyBorder="1" applyAlignment="1">
      <alignment vertical="center" wrapText="1"/>
    </xf>
    <xf numFmtId="1" fontId="75" fillId="0" borderId="3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0" fontId="75" fillId="0" borderId="13" xfId="0" applyFont="1" applyBorder="1" applyAlignment="1">
      <alignment horizontal="center" vertical="center"/>
    </xf>
    <xf numFmtId="0" fontId="75" fillId="0" borderId="12" xfId="0" applyFont="1" applyBorder="1" applyAlignment="1">
      <alignment horizontal="center" vertical="center"/>
    </xf>
    <xf numFmtId="0" fontId="75" fillId="0" borderId="13" xfId="0" applyFont="1" applyFill="1" applyBorder="1" applyAlignment="1">
      <alignment horizontal="center" vertical="center" wrapText="1"/>
    </xf>
    <xf numFmtId="0" fontId="75" fillId="0" borderId="15" xfId="0" applyFont="1" applyFill="1" applyBorder="1" applyAlignment="1">
      <alignment horizontal="center" vertical="center" wrapText="1"/>
    </xf>
    <xf numFmtId="2" fontId="76" fillId="0" borderId="15" xfId="0" applyNumberFormat="1" applyFont="1" applyBorder="1" applyAlignment="1">
      <alignment horizontal="center" vertical="center" wrapText="1"/>
    </xf>
    <xf numFmtId="1" fontId="75" fillId="0" borderId="14" xfId="0" applyNumberFormat="1" applyFont="1" applyFill="1" applyBorder="1" applyAlignment="1">
      <alignment horizontal="center" vertical="center" wrapText="1"/>
    </xf>
    <xf numFmtId="178" fontId="53" fillId="0" borderId="0" xfId="0" applyNumberFormat="1" applyFont="1"/>
    <xf numFmtId="0" fontId="50" fillId="0" borderId="0" xfId="0" applyFont="1" applyBorder="1" applyAlignment="1">
      <alignment horizont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Alignment="1">
      <alignment wrapText="1"/>
    </xf>
    <xf numFmtId="0" fontId="75" fillId="0" borderId="17" xfId="0" applyFont="1" applyBorder="1" applyAlignment="1">
      <alignment horizontal="center" vertical="center" wrapText="1"/>
    </xf>
    <xf numFmtId="0" fontId="0" fillId="0" borderId="0" xfId="0" applyAlignment="1"/>
    <xf numFmtId="0" fontId="53" fillId="0" borderId="0" xfId="0" applyFont="1"/>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57" fillId="0" borderId="25" xfId="0" applyFont="1" applyBorder="1"/>
    <xf numFmtId="0" fontId="75" fillId="0" borderId="25" xfId="0" applyFont="1" applyBorder="1" applyAlignment="1">
      <alignment vertical="center" wrapText="1"/>
    </xf>
    <xf numFmtId="49" fontId="75" fillId="0" borderId="16" xfId="0" applyNumberFormat="1" applyFont="1" applyBorder="1" applyAlignment="1">
      <alignment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0" fontId="76" fillId="0" borderId="18" xfId="0" applyFont="1" applyBorder="1" applyAlignment="1">
      <alignment vertical="center" wrapText="1"/>
    </xf>
    <xf numFmtId="0" fontId="75" fillId="0" borderId="17" xfId="0" applyFont="1" applyFill="1" applyBorder="1" applyAlignment="1">
      <alignment horizontal="center" vertical="center" wrapText="1"/>
    </xf>
    <xf numFmtId="0" fontId="57" fillId="0" borderId="0" xfId="0" applyFont="1" applyFill="1"/>
    <xf numFmtId="0" fontId="75" fillId="0" borderId="16" xfId="0" applyFont="1" applyFill="1" applyBorder="1" applyAlignment="1">
      <alignment vertical="center" wrapText="1"/>
    </xf>
    <xf numFmtId="0" fontId="76" fillId="0" borderId="12" xfId="0" applyFont="1" applyBorder="1" applyAlignment="1">
      <alignment vertical="center" wrapText="1"/>
    </xf>
    <xf numFmtId="1" fontId="75" fillId="0" borderId="23"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5" xfId="0" applyFont="1" applyBorder="1" applyAlignment="1">
      <alignment horizontal="center" vertical="center" wrapText="1"/>
    </xf>
    <xf numFmtId="0" fontId="56"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75" fillId="0" borderId="17"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3" xfId="0" applyFont="1" applyFill="1" applyBorder="1" applyAlignment="1">
      <alignment horizontal="center" vertical="center" wrapText="1"/>
    </xf>
    <xf numFmtId="1" fontId="75" fillId="0" borderId="13" xfId="0" applyNumberFormat="1" applyFont="1" applyFill="1" applyBorder="1" applyAlignment="1">
      <alignment horizontal="center" vertical="center" wrapText="1"/>
    </xf>
    <xf numFmtId="0" fontId="75" fillId="0" borderId="12" xfId="0" applyFont="1" applyFill="1" applyBorder="1" applyAlignment="1">
      <alignment horizontal="center" vertical="center" wrapText="1"/>
    </xf>
    <xf numFmtId="1" fontId="75" fillId="0" borderId="21" xfId="0" applyNumberFormat="1" applyFont="1" applyBorder="1" applyAlignment="1">
      <alignment horizontal="center" vertical="center" wrapText="1"/>
    </xf>
    <xf numFmtId="1" fontId="75" fillId="0" borderId="12" xfId="0" applyNumberFormat="1" applyFont="1" applyFill="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6" xfId="0" applyFont="1" applyBorder="1" applyAlignment="1">
      <alignment vertical="center" wrapText="1"/>
    </xf>
    <xf numFmtId="0" fontId="71" fillId="0" borderId="17" xfId="0" applyFont="1" applyBorder="1" applyAlignment="1">
      <alignment horizontal="center" vertical="center" wrapText="1"/>
    </xf>
    <xf numFmtId="0" fontId="72" fillId="0" borderId="15" xfId="0" applyFont="1" applyFill="1" applyBorder="1" applyAlignment="1">
      <alignment horizontal="center" vertical="center" wrapText="1"/>
    </xf>
    <xf numFmtId="0" fontId="75" fillId="0" borderId="17" xfId="0" applyFont="1" applyBorder="1" applyAlignment="1">
      <alignment horizontal="center" vertical="center" wrapText="1"/>
    </xf>
    <xf numFmtId="0" fontId="0" fillId="0" borderId="0" xfId="0" applyAlignment="1"/>
    <xf numFmtId="0" fontId="0" fillId="0" borderId="0" xfId="0" applyFont="1"/>
    <xf numFmtId="0" fontId="53" fillId="0" borderId="0" xfId="0" applyFont="1"/>
    <xf numFmtId="0" fontId="75" fillId="0" borderId="16" xfId="0" applyFont="1" applyFill="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3" xfId="0" applyFont="1" applyBorder="1" applyAlignment="1">
      <alignment horizontal="center" vertical="center" wrapText="1"/>
    </xf>
    <xf numFmtId="0" fontId="75" fillId="0" borderId="16" xfId="0" applyFont="1" applyBorder="1" applyAlignment="1">
      <alignment vertical="center" wrapText="1"/>
    </xf>
    <xf numFmtId="0" fontId="75" fillId="0" borderId="25" xfId="0"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1" fontId="75" fillId="0" borderId="23" xfId="0" applyNumberFormat="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0" xfId="0" applyFont="1" applyFill="1" applyBorder="1" applyAlignment="1">
      <alignment horizontal="center" vertical="center" wrapText="1"/>
    </xf>
    <xf numFmtId="0" fontId="75" fillId="0" borderId="30" xfId="0" applyFont="1" applyFill="1" applyBorder="1" applyAlignment="1">
      <alignment horizontal="center" vertical="center" wrapText="1"/>
    </xf>
    <xf numFmtId="0" fontId="76" fillId="0" borderId="15" xfId="0" applyFont="1" applyFill="1" applyBorder="1" applyAlignment="1">
      <alignment horizontal="center" vertical="center" wrapText="1"/>
    </xf>
    <xf numFmtId="178" fontId="75" fillId="0" borderId="0" xfId="0" applyNumberFormat="1" applyFont="1" applyFill="1" applyBorder="1" applyAlignment="1">
      <alignment horizontal="center" vertical="center" wrapText="1"/>
    </xf>
    <xf numFmtId="178" fontId="75" fillId="0" borderId="28" xfId="0" applyNumberFormat="1" applyFont="1" applyBorder="1" applyAlignment="1">
      <alignment horizontal="center" vertical="center" wrapText="1"/>
    </xf>
    <xf numFmtId="178" fontId="75" fillId="0" borderId="25" xfId="0" applyNumberFormat="1" applyFont="1" applyBorder="1" applyAlignment="1">
      <alignment horizontal="center" vertical="center" wrapText="1"/>
    </xf>
    <xf numFmtId="1" fontId="75" fillId="0" borderId="21"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44" fillId="0" borderId="0" xfId="864" applyAlignment="1">
      <alignment wrapText="1"/>
    </xf>
    <xf numFmtId="0" fontId="50" fillId="0" borderId="25" xfId="0" applyFont="1" applyBorder="1" applyAlignment="1"/>
    <xf numFmtId="0" fontId="50" fillId="0" borderId="28" xfId="0" applyFont="1" applyBorder="1" applyAlignment="1">
      <alignment horizontal="center"/>
    </xf>
    <xf numFmtId="0" fontId="50" fillId="0" borderId="29" xfId="0" applyFont="1" applyBorder="1" applyAlignment="1">
      <alignment horizontal="center"/>
    </xf>
    <xf numFmtId="0" fontId="50" fillId="0" borderId="24" xfId="0" applyFont="1" applyBorder="1" applyAlignment="1">
      <alignment horizontal="center"/>
    </xf>
    <xf numFmtId="2" fontId="47" fillId="32" borderId="1" xfId="0" applyNumberFormat="1" applyFont="1" applyFill="1" applyBorder="1" applyAlignment="1">
      <alignment horizontal="center"/>
    </xf>
    <xf numFmtId="178" fontId="53" fillId="0" borderId="1" xfId="0" applyNumberFormat="1" applyFont="1" applyFill="1" applyBorder="1" applyAlignment="1">
      <alignment horizontal="center"/>
    </xf>
    <xf numFmtId="0" fontId="78" fillId="32" borderId="13" xfId="0" applyFont="1" applyFill="1" applyBorder="1" applyAlignment="1">
      <alignment horizontal="center" vertical="center" wrapText="1"/>
    </xf>
    <xf numFmtId="178" fontId="53" fillId="0" borderId="1" xfId="0" applyNumberFormat="1" applyFont="1" applyBorder="1" applyAlignment="1">
      <alignment horizontal="center"/>
    </xf>
    <xf numFmtId="1" fontId="78" fillId="32" borderId="28" xfId="0" applyNumberFormat="1" applyFont="1" applyFill="1" applyBorder="1" applyAlignment="1">
      <alignment horizontal="center" vertical="center" wrapText="1"/>
    </xf>
    <xf numFmtId="1" fontId="78" fillId="32" borderId="14" xfId="0" applyNumberFormat="1" applyFont="1" applyFill="1" applyBorder="1" applyAlignment="1">
      <alignment horizontal="center" vertical="center" wrapText="1"/>
    </xf>
    <xf numFmtId="0" fontId="0" fillId="0" borderId="0" xfId="0"/>
    <xf numFmtId="0" fontId="56" fillId="0" borderId="12" xfId="0" applyFont="1" applyBorder="1" applyAlignment="1">
      <alignment vertical="center" wrapText="1"/>
    </xf>
    <xf numFmtId="0" fontId="56" fillId="0" borderId="16" xfId="0" applyFont="1" applyFill="1" applyBorder="1" applyAlignment="1">
      <alignment vertical="center" wrapText="1"/>
    </xf>
    <xf numFmtId="0" fontId="71" fillId="0" borderId="13" xfId="0" applyFont="1" applyFill="1" applyBorder="1" applyAlignment="1">
      <alignment horizontal="center" vertical="center" wrapText="1"/>
    </xf>
    <xf numFmtId="0" fontId="56" fillId="0" borderId="12" xfId="0" applyFont="1" applyFill="1" applyBorder="1" applyAlignment="1">
      <alignment vertical="center" wrapText="1"/>
    </xf>
    <xf numFmtId="0" fontId="70" fillId="0" borderId="18" xfId="0" applyFont="1" applyFill="1" applyBorder="1" applyAlignment="1">
      <alignment vertical="center" wrapText="1"/>
    </xf>
    <xf numFmtId="0" fontId="70" fillId="0" borderId="14" xfId="0" applyFont="1" applyFill="1" applyBorder="1" applyAlignment="1">
      <alignment vertical="center" wrapText="1"/>
    </xf>
    <xf numFmtId="0" fontId="72" fillId="0" borderId="15"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72" fillId="0" borderId="13" xfId="0" applyFont="1" applyFill="1" applyBorder="1" applyAlignment="1">
      <alignment horizontal="center" vertical="center" wrapText="1"/>
    </xf>
    <xf numFmtId="0" fontId="75" fillId="0" borderId="13"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178" fontId="75" fillId="0" borderId="17"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5" xfId="0" applyFont="1" applyFill="1" applyBorder="1" applyAlignment="1">
      <alignment horizontal="center" vertical="center" wrapText="1"/>
    </xf>
    <xf numFmtId="1" fontId="75" fillId="0" borderId="23" xfId="0" applyNumberFormat="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0" fontId="76" fillId="0" borderId="15" xfId="0" applyFont="1" applyFill="1" applyBorder="1" applyAlignment="1">
      <alignment horizontal="center" vertical="center" wrapText="1"/>
    </xf>
    <xf numFmtId="0" fontId="76" fillId="0" borderId="13" xfId="0" applyFont="1" applyFill="1" applyBorder="1" applyAlignment="1">
      <alignment horizontal="center" vertical="center" wrapText="1"/>
    </xf>
    <xf numFmtId="178" fontId="75" fillId="0" borderId="13" xfId="0" applyNumberFormat="1" applyFont="1" applyFill="1" applyBorder="1" applyAlignment="1">
      <alignment horizontal="center" vertical="center" wrapText="1"/>
    </xf>
    <xf numFmtId="1" fontId="71" fillId="0" borderId="13" xfId="0" applyNumberFormat="1" applyFont="1" applyFill="1" applyBorder="1" applyAlignment="1">
      <alignment horizontal="center" vertical="center" wrapText="1"/>
    </xf>
    <xf numFmtId="2" fontId="71" fillId="0" borderId="13" xfId="0" applyNumberFormat="1" applyFont="1" applyFill="1" applyBorder="1" applyAlignment="1">
      <alignment horizontal="center" vertical="center" wrapText="1"/>
    </xf>
    <xf numFmtId="168" fontId="47" fillId="32" borderId="1" xfId="0" applyNumberFormat="1" applyFont="1" applyFill="1" applyBorder="1" applyAlignment="1">
      <alignment horizontal="center"/>
    </xf>
    <xf numFmtId="178" fontId="47" fillId="32" borderId="1" xfId="0" applyNumberFormat="1" applyFont="1" applyFill="1" applyBorder="1" applyAlignment="1">
      <alignment horizontal="center"/>
    </xf>
    <xf numFmtId="0" fontId="78" fillId="32" borderId="17" xfId="0" applyFont="1" applyFill="1" applyBorder="1" applyAlignment="1">
      <alignment horizontal="center" vertical="center" wrapText="1"/>
    </xf>
    <xf numFmtId="2" fontId="79" fillId="32" borderId="15" xfId="0" applyNumberFormat="1" applyFont="1" applyFill="1" applyBorder="1" applyAlignment="1">
      <alignment horizontal="center" vertical="center" wrapText="1"/>
    </xf>
    <xf numFmtId="168" fontId="53" fillId="0" borderId="1" xfId="0" applyNumberFormat="1" applyFont="1" applyFill="1" applyBorder="1" applyAlignment="1">
      <alignment horizontal="center"/>
    </xf>
    <xf numFmtId="0" fontId="0" fillId="0" borderId="0" xfId="0"/>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71" fillId="0" borderId="13" xfId="0" applyFont="1" applyFill="1" applyBorder="1" applyAlignment="1">
      <alignment horizontal="center" vertical="center" wrapText="1"/>
    </xf>
    <xf numFmtId="0" fontId="56" fillId="0" borderId="12" xfId="0" applyFont="1" applyFill="1" applyBorder="1" applyAlignment="1">
      <alignment vertical="center" wrapText="1"/>
    </xf>
    <xf numFmtId="0" fontId="70" fillId="0" borderId="18" xfId="0" applyFont="1" applyFill="1" applyBorder="1" applyAlignment="1">
      <alignment vertical="center" wrapText="1"/>
    </xf>
    <xf numFmtId="0" fontId="70" fillId="0" borderId="14" xfId="0" applyFont="1" applyFill="1" applyBorder="1" applyAlignment="1">
      <alignment vertical="center" wrapText="1"/>
    </xf>
    <xf numFmtId="0" fontId="72" fillId="0" borderId="15"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72" fillId="0" borderId="13" xfId="0" applyFont="1" applyFill="1" applyBorder="1" applyAlignment="1">
      <alignment horizontal="center" vertical="center" wrapText="1"/>
    </xf>
    <xf numFmtId="0" fontId="0" fillId="0" borderId="0" xfId="0" applyFont="1"/>
    <xf numFmtId="0" fontId="53" fillId="0" borderId="0" xfId="0" applyFont="1"/>
    <xf numFmtId="0" fontId="75"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6" xfId="0" applyFont="1" applyBorder="1" applyAlignment="1">
      <alignment vertical="center" wrapText="1"/>
    </xf>
    <xf numFmtId="0" fontId="75" fillId="0" borderId="25" xfId="0" applyFont="1" applyBorder="1" applyAlignment="1">
      <alignment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6" xfId="0" applyFont="1" applyFill="1" applyBorder="1" applyAlignment="1">
      <alignment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0" fontId="75" fillId="0" borderId="15" xfId="0" applyFont="1" applyFill="1" applyBorder="1" applyAlignment="1">
      <alignment horizontal="center" vertical="center" wrapText="1"/>
    </xf>
    <xf numFmtId="1" fontId="75" fillId="0" borderId="13" xfId="0" applyNumberFormat="1" applyFont="1" applyFill="1" applyBorder="1" applyAlignment="1">
      <alignment horizontal="center" vertical="center" wrapText="1"/>
    </xf>
    <xf numFmtId="0" fontId="76" fillId="0" borderId="14" xfId="0" applyFont="1" applyFill="1" applyBorder="1" applyAlignment="1">
      <alignment vertical="center" wrapText="1"/>
    </xf>
    <xf numFmtId="0" fontId="76" fillId="0" borderId="15" xfId="0" applyFont="1" applyFill="1" applyBorder="1" applyAlignment="1">
      <alignment horizontal="center" vertical="center" wrapText="1"/>
    </xf>
    <xf numFmtId="0" fontId="76" fillId="0" borderId="13" xfId="0" applyFont="1" applyFill="1" applyBorder="1" applyAlignment="1">
      <alignment horizontal="center" vertical="center" wrapText="1"/>
    </xf>
    <xf numFmtId="1" fontId="75" fillId="0" borderId="17" xfId="0" applyNumberFormat="1" applyFont="1" applyFill="1" applyBorder="1" applyAlignment="1">
      <alignment horizontal="center" vertical="center" wrapText="1"/>
    </xf>
    <xf numFmtId="178" fontId="75" fillId="0" borderId="13" xfId="0" applyNumberFormat="1" applyFont="1" applyFill="1" applyBorder="1" applyAlignment="1">
      <alignment horizontal="center" vertical="center" wrapText="1"/>
    </xf>
    <xf numFmtId="2" fontId="76" fillId="0" borderId="15" xfId="0" applyNumberFormat="1" applyFont="1" applyBorder="1" applyAlignment="1">
      <alignment horizontal="center" vertical="center" wrapText="1"/>
    </xf>
    <xf numFmtId="1" fontId="71" fillId="0" borderId="13" xfId="0" applyNumberFormat="1" applyFont="1" applyFill="1" applyBorder="1" applyAlignment="1">
      <alignment horizontal="center" vertical="center" wrapText="1"/>
    </xf>
    <xf numFmtId="2" fontId="71" fillId="0" borderId="13" xfId="0" applyNumberFormat="1" applyFont="1" applyFill="1" applyBorder="1" applyAlignment="1">
      <alignment horizontal="center" vertical="center" wrapText="1"/>
    </xf>
    <xf numFmtId="0" fontId="0" fillId="0" borderId="0" xfId="0" applyFont="1" applyFill="1" applyBorder="1" applyAlignment="1">
      <alignment vertical="center"/>
    </xf>
    <xf numFmtId="0" fontId="81" fillId="0" borderId="0" xfId="0" applyFont="1" applyFill="1" applyBorder="1" applyAlignment="1">
      <alignment vertical="center"/>
    </xf>
    <xf numFmtId="0" fontId="0" fillId="0" borderId="0" xfId="0" applyFill="1" applyBorder="1" applyAlignment="1"/>
    <xf numFmtId="0" fontId="46" fillId="0" borderId="0" xfId="0" applyFont="1" applyFill="1" applyBorder="1" applyAlignment="1"/>
    <xf numFmtId="0" fontId="0" fillId="0" borderId="0" xfId="0" applyFont="1" applyFill="1" applyBorder="1" applyAlignment="1">
      <alignment horizontal="right" vertical="center"/>
    </xf>
    <xf numFmtId="0" fontId="80" fillId="0" borderId="0" xfId="0" applyFont="1" applyFill="1" applyBorder="1" applyAlignment="1">
      <alignment vertical="center"/>
    </xf>
    <xf numFmtId="43" fontId="40" fillId="0" borderId="0" xfId="47" applyNumberFormat="1" applyFont="1" applyFill="1" applyBorder="1" applyAlignment="1"/>
    <xf numFmtId="176" fontId="40" fillId="0" borderId="0" xfId="47" applyNumberFormat="1" applyFont="1" applyFill="1" applyBorder="1" applyAlignment="1"/>
    <xf numFmtId="0" fontId="54" fillId="0" borderId="0" xfId="0" applyFont="1" applyFill="1" applyBorder="1" applyAlignment="1"/>
    <xf numFmtId="0" fontId="52" fillId="0" borderId="0" xfId="0" applyFont="1" applyFill="1" applyBorder="1" applyAlignment="1"/>
    <xf numFmtId="176" fontId="48" fillId="0" borderId="0" xfId="0" applyNumberFormat="1" applyFont="1" applyFill="1" applyBorder="1" applyAlignment="1">
      <alignment wrapText="1"/>
    </xf>
    <xf numFmtId="0" fontId="57" fillId="0" borderId="0" xfId="0" applyFont="1" applyFill="1" applyBorder="1" applyAlignment="1"/>
    <xf numFmtId="0" fontId="48" fillId="0" borderId="0" xfId="0" applyFont="1" applyBorder="1" applyAlignment="1">
      <alignment wrapText="1"/>
    </xf>
    <xf numFmtId="0" fontId="0" fillId="0" borderId="0" xfId="0"/>
    <xf numFmtId="0" fontId="71" fillId="0" borderId="13" xfId="0" applyFont="1" applyBorder="1" applyAlignment="1">
      <alignment horizontal="center" vertical="center" wrapText="1"/>
    </xf>
    <xf numFmtId="0" fontId="49" fillId="0" borderId="13" xfId="0" applyFont="1" applyBorder="1" applyAlignment="1">
      <alignment horizontal="center" wrapText="1"/>
    </xf>
    <xf numFmtId="166" fontId="53" fillId="0" borderId="1" xfId="0" applyNumberFormat="1" applyFont="1" applyBorder="1"/>
    <xf numFmtId="179" fontId="53" fillId="0" borderId="1" xfId="0" applyNumberFormat="1" applyFont="1" applyBorder="1"/>
    <xf numFmtId="0" fontId="0" fillId="0" borderId="0" xfId="0" applyBorder="1" applyAlignment="1"/>
    <xf numFmtId="0" fontId="0" fillId="0" borderId="0" xfId="0"/>
    <xf numFmtId="0" fontId="0" fillId="35" borderId="0" xfId="0" applyFill="1"/>
    <xf numFmtId="0" fontId="56" fillId="35" borderId="28"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46" fillId="35" borderId="0" xfId="0" applyFont="1" applyFill="1" applyAlignment="1"/>
    <xf numFmtId="0" fontId="0" fillId="35" borderId="0" xfId="0" applyFont="1" applyFill="1" applyAlignment="1">
      <alignment vertical="center"/>
    </xf>
    <xf numFmtId="0" fontId="80" fillId="35" borderId="0" xfId="0" applyFont="1" applyFill="1" applyAlignment="1">
      <alignment vertical="center"/>
    </xf>
    <xf numFmtId="0" fontId="0" fillId="35" borderId="0" xfId="0" applyFont="1" applyFill="1" applyAlignment="1">
      <alignment horizontal="right" vertical="center"/>
    </xf>
    <xf numFmtId="0" fontId="71" fillId="35" borderId="13" xfId="0" applyNumberFormat="1" applyFont="1" applyFill="1" applyBorder="1" applyAlignment="1">
      <alignment horizontal="center" vertical="center" wrapText="1"/>
    </xf>
    <xf numFmtId="0" fontId="46" fillId="35" borderId="0" xfId="0" applyFont="1" applyFill="1"/>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5" fillId="35" borderId="12" xfId="0" applyNumberFormat="1" applyFont="1" applyFill="1" applyBorder="1" applyAlignment="1">
      <alignment horizontal="center" vertical="center" wrapText="1"/>
    </xf>
    <xf numFmtId="1" fontId="75" fillId="35" borderId="15" xfId="0" applyNumberFormat="1"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0" fillId="35" borderId="0" xfId="0" applyFont="1" applyFill="1" applyAlignment="1">
      <alignment horizontal="left" vertical="center" indent="3"/>
    </xf>
    <xf numFmtId="1" fontId="75" fillId="35" borderId="17" xfId="0" applyNumberFormat="1" applyFont="1" applyFill="1" applyBorder="1" applyAlignment="1">
      <alignment horizontal="center" vertical="center" wrapText="1"/>
    </xf>
    <xf numFmtId="2" fontId="75" fillId="35" borderId="18" xfId="0" applyNumberFormat="1" applyFont="1" applyFill="1" applyBorder="1" applyAlignment="1">
      <alignment horizontal="center" vertical="center" wrapText="1"/>
    </xf>
    <xf numFmtId="2" fontId="75" fillId="35" borderId="23" xfId="0" applyNumberFormat="1" applyFont="1" applyFill="1" applyBorder="1" applyAlignment="1">
      <alignment horizontal="center" vertical="center" wrapText="1"/>
    </xf>
    <xf numFmtId="178" fontId="71" fillId="35" borderId="13" xfId="0" applyNumberFormat="1" applyFont="1" applyFill="1" applyBorder="1" applyAlignment="1">
      <alignment horizontal="center" vertical="center" wrapText="1"/>
    </xf>
    <xf numFmtId="2" fontId="71" fillId="35" borderId="18" xfId="0" applyNumberFormat="1" applyFont="1" applyFill="1" applyBorder="1" applyAlignment="1">
      <alignment horizontal="center" vertical="center" wrapText="1"/>
    </xf>
    <xf numFmtId="1" fontId="71" fillId="35" borderId="17" xfId="0" applyNumberFormat="1" applyFont="1" applyFill="1" applyBorder="1" applyAlignment="1">
      <alignment horizontal="center" vertical="center" wrapText="1"/>
    </xf>
    <xf numFmtId="1" fontId="71" fillId="35" borderId="16" xfId="0" applyNumberFormat="1" applyFont="1" applyFill="1" applyBorder="1" applyAlignment="1">
      <alignment horizontal="center" vertical="center" wrapText="1"/>
    </xf>
    <xf numFmtId="0" fontId="81" fillId="35" borderId="0" xfId="0" applyFont="1" applyFill="1" applyAlignment="1">
      <alignment vertical="center"/>
    </xf>
    <xf numFmtId="1" fontId="53" fillId="0" borderId="1" xfId="0" applyNumberFormat="1" applyFont="1" applyFill="1" applyBorder="1" applyAlignment="1">
      <alignment horizontal="center"/>
    </xf>
    <xf numFmtId="0" fontId="53" fillId="0" borderId="0" xfId="0" applyFont="1" applyBorder="1"/>
    <xf numFmtId="169" fontId="53" fillId="0" borderId="0" xfId="0" applyNumberFormat="1" applyFont="1" applyBorder="1"/>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12" xfId="0" applyFont="1" applyFill="1" applyBorder="1" applyAlignment="1">
      <alignment vertical="center" wrapText="1"/>
    </xf>
    <xf numFmtId="0" fontId="56" fillId="35" borderId="25" xfId="0" applyFont="1" applyFill="1" applyBorder="1" applyAlignment="1">
      <alignment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50" fillId="0" borderId="29" xfId="0" applyFont="1" applyBorder="1" applyAlignment="1">
      <alignment horizontal="center" wrapText="1"/>
    </xf>
    <xf numFmtId="0" fontId="50" fillId="0" borderId="2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75" fillId="0" borderId="25"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71" fillId="35" borderId="14"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8" fillId="0" borderId="19" xfId="0" applyFont="1" applyFill="1" applyBorder="1" applyAlignment="1">
      <alignment horizontal="center"/>
    </xf>
    <xf numFmtId="0" fontId="7" fillId="0" borderId="0" xfId="0" applyFont="1" applyFill="1" applyBorder="1" applyAlignment="1">
      <alignment horizontal="left" vertical="center" wrapText="1"/>
    </xf>
    <xf numFmtId="9" fontId="0" fillId="0" borderId="0" xfId="2582" applyFont="1"/>
    <xf numFmtId="0" fontId="0" fillId="70" borderId="0" xfId="0" applyFill="1"/>
    <xf numFmtId="0" fontId="7" fillId="0" borderId="0" xfId="0" applyFont="1" applyFill="1" applyBorder="1" applyAlignment="1">
      <alignment horizontal="center"/>
    </xf>
    <xf numFmtId="0" fontId="83" fillId="72" borderId="0" xfId="0" applyFont="1" applyFill="1" applyBorder="1" applyAlignment="1">
      <alignment horizontal="center"/>
    </xf>
    <xf numFmtId="2" fontId="83" fillId="72" borderId="0" xfId="0" applyNumberFormat="1" applyFont="1" applyFill="1" applyBorder="1" applyAlignment="1">
      <alignment horizontal="center"/>
    </xf>
    <xf numFmtId="178" fontId="83" fillId="72" borderId="0" xfId="0" applyNumberFormat="1" applyFont="1" applyFill="1" applyBorder="1" applyAlignment="1">
      <alignment horizontal="center"/>
    </xf>
    <xf numFmtId="0" fontId="7" fillId="26" borderId="28" xfId="0" applyFont="1" applyFill="1" applyBorder="1" applyAlignment="1">
      <alignment horizontal="left" vertical="center" wrapText="1"/>
    </xf>
    <xf numFmtId="0" fontId="7" fillId="26" borderId="29" xfId="0" applyFont="1" applyFill="1" applyBorder="1" applyAlignment="1">
      <alignment horizontal="left" vertical="center" wrapText="1"/>
    </xf>
    <xf numFmtId="0" fontId="7" fillId="26" borderId="24" xfId="0" applyFont="1" applyFill="1" applyBorder="1" applyAlignment="1">
      <alignment horizontal="left" vertical="center" wrapText="1"/>
    </xf>
    <xf numFmtId="0" fontId="8" fillId="27" borderId="53" xfId="0" applyFont="1" applyFill="1" applyBorder="1" applyAlignment="1">
      <alignment horizontal="center"/>
    </xf>
    <xf numFmtId="0" fontId="8" fillId="27" borderId="54" xfId="0" applyFont="1" applyFill="1" applyBorder="1" applyAlignment="1">
      <alignment horizontal="center"/>
    </xf>
    <xf numFmtId="0" fontId="7" fillId="71" borderId="30" xfId="0" applyFont="1" applyFill="1" applyBorder="1" applyAlignment="1">
      <alignment horizontal="center"/>
    </xf>
    <xf numFmtId="9" fontId="83" fillId="73" borderId="17" xfId="2582" applyFont="1" applyFill="1" applyBorder="1" applyAlignment="1">
      <alignment horizontal="center"/>
    </xf>
    <xf numFmtId="2" fontId="7" fillId="71" borderId="30" xfId="0" applyNumberFormat="1" applyFont="1" applyFill="1" applyBorder="1" applyAlignment="1">
      <alignment horizontal="center"/>
    </xf>
    <xf numFmtId="178" fontId="7" fillId="71" borderId="30" xfId="0" applyNumberFormat="1" applyFont="1" applyFill="1" applyBorder="1" applyAlignment="1">
      <alignment horizontal="center"/>
    </xf>
    <xf numFmtId="0" fontId="8" fillId="27" borderId="28" xfId="0" applyFont="1" applyFill="1" applyBorder="1" applyAlignment="1">
      <alignment horizontal="center"/>
    </xf>
    <xf numFmtId="0" fontId="8" fillId="27" borderId="29" xfId="0" applyFont="1" applyFill="1" applyBorder="1" applyAlignment="1">
      <alignment horizontal="center"/>
    </xf>
    <xf numFmtId="0" fontId="8" fillId="27" borderId="24" xfId="0" applyFont="1" applyFill="1" applyBorder="1" applyAlignment="1">
      <alignment horizontal="center"/>
    </xf>
    <xf numFmtId="0" fontId="0" fillId="0" borderId="55" xfId="0" applyBorder="1"/>
    <xf numFmtId="0" fontId="7" fillId="0" borderId="19" xfId="0" applyFont="1" applyFill="1" applyBorder="1" applyAlignment="1">
      <alignment horizontal="center"/>
    </xf>
    <xf numFmtId="0" fontId="7" fillId="71" borderId="53" xfId="0" applyFont="1" applyFill="1" applyBorder="1" applyAlignment="1">
      <alignment horizontal="center"/>
    </xf>
    <xf numFmtId="0" fontId="83" fillId="72" borderId="19" xfId="0" applyFont="1" applyFill="1" applyBorder="1" applyAlignment="1">
      <alignment horizontal="center"/>
    </xf>
    <xf numFmtId="9" fontId="83" fillId="73" borderId="54" xfId="2582" applyFont="1" applyFill="1" applyBorder="1" applyAlignment="1">
      <alignment horizontal="center"/>
    </xf>
    <xf numFmtId="178" fontId="7" fillId="71" borderId="53" xfId="0" applyNumberFormat="1" applyFont="1" applyFill="1" applyBorder="1" applyAlignment="1">
      <alignment horizontal="center"/>
    </xf>
    <xf numFmtId="178" fontId="83" fillId="72" borderId="19" xfId="0" applyNumberFormat="1" applyFont="1" applyFill="1" applyBorder="1" applyAlignment="1">
      <alignment horizontal="center"/>
    </xf>
    <xf numFmtId="2" fontId="7" fillId="71" borderId="53" xfId="0" applyNumberFormat="1" applyFont="1" applyFill="1" applyBorder="1" applyAlignment="1">
      <alignment horizontal="center"/>
    </xf>
    <xf numFmtId="2" fontId="83" fillId="72" borderId="19" xfId="0" applyNumberFormat="1" applyFont="1" applyFill="1" applyBorder="1" applyAlignment="1">
      <alignment horizontal="center"/>
    </xf>
    <xf numFmtId="9" fontId="83" fillId="73" borderId="26" xfId="2582" applyFont="1" applyFill="1" applyBorder="1" applyAlignment="1">
      <alignment horizontal="center"/>
    </xf>
    <xf numFmtId="0" fontId="0" fillId="0" borderId="56" xfId="0" applyBorder="1"/>
    <xf numFmtId="9" fontId="83" fillId="73" borderId="57" xfId="2582" applyFont="1" applyFill="1" applyBorder="1" applyAlignment="1">
      <alignment horizontal="center"/>
    </xf>
    <xf numFmtId="0" fontId="0" fillId="0" borderId="58" xfId="0" applyBorder="1"/>
    <xf numFmtId="0" fontId="8" fillId="0" borderId="44" xfId="0" applyFont="1" applyFill="1" applyBorder="1" applyAlignment="1">
      <alignment horizontal="center"/>
    </xf>
    <xf numFmtId="0" fontId="7" fillId="0" borderId="31" xfId="0" applyFont="1" applyFill="1" applyBorder="1" applyAlignment="1">
      <alignment horizontal="center"/>
    </xf>
    <xf numFmtId="0" fontId="7" fillId="71" borderId="59" xfId="0" applyFont="1" applyFill="1" applyBorder="1" applyAlignment="1">
      <alignment horizontal="center"/>
    </xf>
    <xf numFmtId="0" fontId="83" fillId="72" borderId="31" xfId="0" applyFont="1" applyFill="1" applyBorder="1" applyAlignment="1">
      <alignment horizontal="center"/>
    </xf>
    <xf numFmtId="9" fontId="83" fillId="73" borderId="60" xfId="2582" applyFont="1" applyFill="1" applyBorder="1" applyAlignment="1">
      <alignment horizontal="center"/>
    </xf>
    <xf numFmtId="178" fontId="7" fillId="71" borderId="59" xfId="0" applyNumberFormat="1" applyFont="1" applyFill="1" applyBorder="1" applyAlignment="1">
      <alignment horizontal="center"/>
    </xf>
    <xf numFmtId="178" fontId="83" fillId="72" borderId="31" xfId="0" applyNumberFormat="1" applyFont="1" applyFill="1" applyBorder="1" applyAlignment="1">
      <alignment horizontal="center"/>
    </xf>
    <xf numFmtId="2" fontId="7" fillId="71" borderId="59" xfId="0" applyNumberFormat="1" applyFont="1" applyFill="1" applyBorder="1" applyAlignment="1">
      <alignment horizontal="center"/>
    </xf>
    <xf numFmtId="2" fontId="83" fillId="72" borderId="31" xfId="0" applyNumberFormat="1" applyFont="1" applyFill="1" applyBorder="1" applyAlignment="1">
      <alignment horizontal="center"/>
    </xf>
    <xf numFmtId="9" fontId="83" fillId="73" borderId="32" xfId="2582" applyFont="1" applyFill="1" applyBorder="1" applyAlignment="1">
      <alignment horizontal="center"/>
    </xf>
    <xf numFmtId="1" fontId="83" fillId="72" borderId="0" xfId="0" applyNumberFormat="1" applyFont="1" applyFill="1" applyBorder="1" applyAlignment="1">
      <alignment horizontal="center"/>
    </xf>
    <xf numFmtId="1" fontId="83" fillId="72" borderId="19" xfId="0" applyNumberFormat="1" applyFont="1" applyFill="1" applyBorder="1" applyAlignment="1">
      <alignment horizontal="center"/>
    </xf>
    <xf numFmtId="1" fontId="83" fillId="72" borderId="31" xfId="0" applyNumberFormat="1" applyFont="1" applyFill="1" applyBorder="1" applyAlignment="1">
      <alignment horizontal="center"/>
    </xf>
    <xf numFmtId="1" fontId="7" fillId="71" borderId="30" xfId="0" applyNumberFormat="1" applyFont="1" applyFill="1" applyBorder="1" applyAlignment="1">
      <alignment horizontal="center"/>
    </xf>
    <xf numFmtId="1" fontId="7" fillId="71" borderId="53" xfId="0" applyNumberFormat="1" applyFont="1" applyFill="1" applyBorder="1" applyAlignment="1">
      <alignment horizontal="center"/>
    </xf>
    <xf numFmtId="1" fontId="7" fillId="71" borderId="59" xfId="0" applyNumberFormat="1" applyFont="1" applyFill="1" applyBorder="1" applyAlignment="1">
      <alignment horizontal="center"/>
    </xf>
    <xf numFmtId="0" fontId="53" fillId="0" borderId="0" xfId="0" applyNumberFormat="1" applyFont="1" applyBorder="1"/>
    <xf numFmtId="0" fontId="70" fillId="35" borderId="22" xfId="0" applyFont="1" applyFill="1" applyBorder="1" applyAlignment="1">
      <alignment horizontal="center" vertical="center"/>
    </xf>
    <xf numFmtId="0" fontId="70" fillId="35" borderId="23" xfId="0" applyFont="1" applyFill="1" applyBorder="1" applyAlignment="1">
      <alignment horizontal="center" vertical="center"/>
    </xf>
    <xf numFmtId="0" fontId="70" fillId="35" borderId="21" xfId="0" applyFont="1" applyFill="1" applyBorder="1" applyAlignment="1">
      <alignment horizontal="left" vertical="center"/>
    </xf>
    <xf numFmtId="0" fontId="46" fillId="0" borderId="0" xfId="0" applyFont="1" applyAlignment="1"/>
    <xf numFmtId="0" fontId="50" fillId="0" borderId="15" xfId="0" applyFont="1" applyBorder="1" applyAlignment="1">
      <alignment horizontal="center"/>
    </xf>
    <xf numFmtId="0" fontId="50" fillId="0" borderId="13" xfId="0" applyFont="1" applyBorder="1" applyAlignment="1">
      <alignment horizontal="center"/>
    </xf>
    <xf numFmtId="0" fontId="46" fillId="0" borderId="0" xfId="0" applyFont="1" applyBorder="1" applyAlignment="1"/>
    <xf numFmtId="0" fontId="48" fillId="0" borderId="0" xfId="0" applyFont="1" applyBorder="1" applyAlignment="1">
      <alignment horizontal="center" vertical="top"/>
    </xf>
    <xf numFmtId="0" fontId="52" fillId="0" borderId="0" xfId="0" applyFont="1" applyFill="1" applyAlignment="1"/>
    <xf numFmtId="0" fontId="56" fillId="35" borderId="22" xfId="0" applyFont="1" applyFill="1" applyBorder="1" applyAlignment="1">
      <alignment horizontal="center" vertical="center" wrapText="1"/>
    </xf>
    <xf numFmtId="0" fontId="72" fillId="35" borderId="22" xfId="0" applyFont="1" applyFill="1" applyBorder="1" applyAlignment="1">
      <alignment horizontal="center" vertical="center" wrapText="1"/>
    </xf>
    <xf numFmtId="0" fontId="72" fillId="35" borderId="23" xfId="0" applyFont="1" applyFill="1" applyBorder="1" applyAlignment="1">
      <alignment horizontal="center" vertical="center" wrapText="1"/>
    </xf>
    <xf numFmtId="0" fontId="56" fillId="35" borderId="13" xfId="0" applyNumberFormat="1"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30" xfId="0" applyFont="1" applyFill="1" applyBorder="1" applyAlignment="1">
      <alignment horizontal="center" vertical="center" wrapText="1"/>
    </xf>
    <xf numFmtId="0" fontId="71" fillId="35" borderId="25" xfId="0" applyNumberFormat="1" applyFont="1" applyFill="1" applyBorder="1" applyAlignment="1">
      <alignment horizontal="center" vertical="center" wrapText="1"/>
    </xf>
    <xf numFmtId="178" fontId="71" fillId="35" borderId="25" xfId="0" applyNumberFormat="1" applyFont="1" applyFill="1" applyBorder="1" applyAlignment="1">
      <alignment horizontal="center" vertical="center" wrapText="1"/>
    </xf>
    <xf numFmtId="0" fontId="71" fillId="35" borderId="12" xfId="0" applyNumberFormat="1" applyFont="1" applyFill="1" applyBorder="1" applyAlignment="1">
      <alignment horizontal="center" vertical="center" wrapText="1"/>
    </xf>
    <xf numFmtId="0" fontId="71" fillId="35" borderId="18" xfId="0" applyFont="1" applyFill="1" applyBorder="1" applyAlignment="1">
      <alignment horizontal="center" vertical="center" wrapText="1"/>
    </xf>
    <xf numFmtId="0" fontId="72" fillId="35" borderId="21" xfId="0" applyFont="1" applyFill="1" applyBorder="1" applyAlignment="1">
      <alignment horizontal="center" vertical="center" wrapText="1"/>
    </xf>
    <xf numFmtId="0" fontId="75" fillId="0" borderId="25"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58" fillId="0" borderId="0" xfId="0" applyFont="1" applyAlignment="1">
      <alignment horizontal="left"/>
    </xf>
    <xf numFmtId="0" fontId="0" fillId="0" borderId="0" xfId="0"/>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13" xfId="0" applyNumberFormat="1"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2" xfId="0" applyNumberFormat="1" applyFont="1" applyFill="1" applyBorder="1" applyAlignment="1">
      <alignment horizontal="center" vertical="center" wrapText="1"/>
    </xf>
    <xf numFmtId="0" fontId="56" fillId="35" borderId="15" xfId="0" applyFont="1" applyFill="1" applyBorder="1" applyAlignment="1">
      <alignment horizontal="center" vertical="center" wrapText="1"/>
    </xf>
    <xf numFmtId="0" fontId="70" fillId="35" borderId="23" xfId="0" applyFont="1" applyFill="1" applyBorder="1" applyAlignment="1">
      <alignment horizontal="center" vertical="center" wrapText="1"/>
    </xf>
    <xf numFmtId="0" fontId="70" fillId="35" borderId="21" xfId="0" applyFont="1" applyFill="1" applyBorder="1" applyAlignment="1">
      <alignment horizontal="center" vertical="center"/>
    </xf>
    <xf numFmtId="0" fontId="70" fillId="35" borderId="22" xfId="0" applyFont="1" applyFill="1" applyBorder="1" applyAlignment="1">
      <alignment horizontal="left" vertical="center"/>
    </xf>
    <xf numFmtId="0" fontId="71" fillId="35" borderId="24" xfId="0" applyFont="1" applyFill="1" applyBorder="1" applyAlignment="1">
      <alignment horizontal="center" vertical="center"/>
    </xf>
    <xf numFmtId="0" fontId="71" fillId="35" borderId="28" xfId="0" applyFont="1" applyFill="1" applyBorder="1" applyAlignment="1">
      <alignment horizontal="left" vertical="center"/>
    </xf>
    <xf numFmtId="0" fontId="8" fillId="33" borderId="19" xfId="0" applyFont="1" applyFill="1" applyBorder="1" applyAlignment="1">
      <alignment horizontal="right" vertical="center" wrapText="1"/>
    </xf>
    <xf numFmtId="0" fontId="8" fillId="33" borderId="40" xfId="0" applyFont="1" applyFill="1" applyBorder="1" applyAlignment="1">
      <alignment horizontal="right" vertical="center" wrapText="1"/>
    </xf>
    <xf numFmtId="0" fontId="7" fillId="26" borderId="0" xfId="0" applyFont="1" applyFill="1" applyBorder="1" applyAlignment="1">
      <alignment horizontal="right" vertical="center" wrapText="1"/>
    </xf>
    <xf numFmtId="0" fontId="8" fillId="33" borderId="0" xfId="0" applyFont="1" applyFill="1" applyBorder="1" applyAlignment="1">
      <alignment horizontal="right" vertical="center" wrapText="1"/>
    </xf>
    <xf numFmtId="0" fontId="8" fillId="27" borderId="0" xfId="0" applyFont="1" applyFill="1" applyBorder="1" applyAlignment="1">
      <alignment horizontal="center"/>
    </xf>
    <xf numFmtId="0" fontId="0" fillId="0" borderId="0" xfId="0" applyBorder="1" applyAlignment="1">
      <alignment horizontal="center"/>
    </xf>
    <xf numFmtId="0" fontId="53" fillId="0" borderId="31" xfId="47" applyNumberFormat="1" applyFont="1" applyFill="1" applyBorder="1" applyAlignment="1">
      <alignment horizontal="center"/>
    </xf>
    <xf numFmtId="2" fontId="53" fillId="0" borderId="0" xfId="0" applyNumberFormat="1" applyFont="1" applyFill="1" applyBorder="1" applyAlignment="1">
      <alignment horizontal="center"/>
    </xf>
    <xf numFmtId="0" fontId="50" fillId="0" borderId="30" xfId="0" applyFont="1" applyBorder="1" applyAlignment="1">
      <alignment horizontal="center" wrapText="1"/>
    </xf>
    <xf numFmtId="0" fontId="50" fillId="0" borderId="17" xfId="0" applyFont="1" applyBorder="1" applyAlignment="1">
      <alignment horizontal="center" wrapText="1"/>
    </xf>
    <xf numFmtId="0" fontId="50" fillId="0" borderId="0" xfId="0" applyFont="1" applyBorder="1" applyAlignment="1">
      <alignment horizontal="center"/>
    </xf>
    <xf numFmtId="0" fontId="50" fillId="0" borderId="17" xfId="0" applyFont="1" applyBorder="1" applyAlignment="1">
      <alignment horizontal="center"/>
    </xf>
    <xf numFmtId="0" fontId="84" fillId="0" borderId="19" xfId="0" applyFont="1" applyFill="1" applyBorder="1" applyAlignment="1">
      <alignment horizontal="center"/>
    </xf>
    <xf numFmtId="0" fontId="0" fillId="0" borderId="0" xfId="0"/>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3" xfId="0" applyNumberFormat="1" applyFont="1" applyFill="1" applyBorder="1" applyAlignment="1">
      <alignment horizontal="center" vertical="center"/>
    </xf>
    <xf numFmtId="0" fontId="56" fillId="35" borderId="25" xfId="0" applyFont="1" applyFill="1" applyBorder="1" applyAlignment="1">
      <alignment vertical="center"/>
    </xf>
    <xf numFmtId="0" fontId="71" fillId="35" borderId="25" xfId="0" applyFont="1" applyFill="1" applyBorder="1" applyAlignment="1">
      <alignment horizontal="center" vertical="center"/>
    </xf>
    <xf numFmtId="0" fontId="71" fillId="35" borderId="28" xfId="0" applyFont="1" applyFill="1" applyBorder="1" applyAlignment="1">
      <alignment horizontal="center" vertical="center"/>
    </xf>
    <xf numFmtId="0" fontId="71" fillId="35" borderId="24" xfId="0" applyFont="1" applyFill="1" applyBorder="1" applyAlignment="1">
      <alignment horizontal="center" vertical="center"/>
    </xf>
    <xf numFmtId="0" fontId="0" fillId="0" borderId="0" xfId="0"/>
    <xf numFmtId="0" fontId="71" fillId="35" borderId="13" xfId="0" applyFont="1" applyFill="1" applyBorder="1" applyAlignment="1">
      <alignment horizontal="center" vertical="center" wrapText="1"/>
    </xf>
    <xf numFmtId="0" fontId="70" fillId="35" borderId="14" xfId="0" applyFont="1" applyFill="1" applyBorder="1" applyAlignment="1">
      <alignment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2"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2" xfId="0" applyNumberFormat="1" applyFont="1" applyFill="1" applyBorder="1" applyAlignment="1">
      <alignment horizontal="center" vertical="center" wrapText="1"/>
    </xf>
    <xf numFmtId="0" fontId="84" fillId="0" borderId="44" xfId="0" applyFont="1" applyFill="1" applyBorder="1" applyAlignment="1">
      <alignment horizontal="center"/>
    </xf>
    <xf numFmtId="0" fontId="84" fillId="0" borderId="0" xfId="0" applyFont="1" applyFill="1" applyBorder="1" applyAlignment="1">
      <alignment horizontal="center"/>
    </xf>
    <xf numFmtId="0" fontId="85" fillId="0" borderId="19" xfId="0" applyFont="1" applyFill="1" applyBorder="1" applyAlignment="1">
      <alignment horizontal="center"/>
    </xf>
    <xf numFmtId="0" fontId="85" fillId="0" borderId="44" xfId="0" applyFont="1" applyFill="1" applyBorder="1" applyAlignment="1">
      <alignment horizontal="center"/>
    </xf>
    <xf numFmtId="180" fontId="75" fillId="0" borderId="12" xfId="0" applyNumberFormat="1" applyFont="1" applyBorder="1" applyAlignment="1">
      <alignment horizontal="center" vertical="center" wrapText="1"/>
    </xf>
    <xf numFmtId="180" fontId="7" fillId="71" borderId="53" xfId="0" applyNumberFormat="1" applyFont="1" applyFill="1" applyBorder="1" applyAlignment="1">
      <alignment horizontal="center"/>
    </xf>
    <xf numFmtId="180" fontId="83" fillId="72" borderId="19" xfId="0" applyNumberFormat="1" applyFont="1" applyFill="1" applyBorder="1" applyAlignment="1">
      <alignment horizontal="center"/>
    </xf>
    <xf numFmtId="180" fontId="7" fillId="71" borderId="30" xfId="0" applyNumberFormat="1" applyFont="1" applyFill="1" applyBorder="1" applyAlignment="1">
      <alignment horizontal="center"/>
    </xf>
    <xf numFmtId="180" fontId="83" fillId="72" borderId="0" xfId="0" applyNumberFormat="1" applyFont="1" applyFill="1" applyBorder="1" applyAlignment="1">
      <alignment horizontal="center"/>
    </xf>
    <xf numFmtId="180" fontId="7" fillId="71" borderId="59" xfId="0" applyNumberFormat="1" applyFont="1" applyFill="1" applyBorder="1" applyAlignment="1">
      <alignment horizontal="center"/>
    </xf>
    <xf numFmtId="180" fontId="83" fillId="72" borderId="31" xfId="0" applyNumberFormat="1" applyFont="1" applyFill="1" applyBorder="1" applyAlignment="1">
      <alignment horizontal="center"/>
    </xf>
    <xf numFmtId="0" fontId="0" fillId="0" borderId="0" xfId="0" applyFont="1" applyAlignment="1">
      <alignment horizontal="left" vertical="center" indent="3"/>
    </xf>
    <xf numFmtId="0" fontId="74" fillId="0" borderId="0" xfId="2580" applyAlignment="1">
      <alignment horizontal="left"/>
    </xf>
    <xf numFmtId="0" fontId="74" fillId="0" borderId="0" xfId="2580" applyAlignment="1"/>
    <xf numFmtId="0" fontId="86" fillId="0" borderId="0" xfId="0" applyFont="1" applyAlignment="1">
      <alignment horizontal="left" vertical="center" indent="3"/>
    </xf>
    <xf numFmtId="0" fontId="74" fillId="0" borderId="0" xfId="2580" applyAlignment="1">
      <alignment horizontal="left" vertical="center"/>
    </xf>
    <xf numFmtId="0" fontId="57" fillId="0" borderId="0" xfId="0" applyFont="1" applyAlignment="1">
      <alignment horizontal="left" vertical="center" indent="3"/>
    </xf>
    <xf numFmtId="0" fontId="87" fillId="0" borderId="0" xfId="0" applyFont="1"/>
    <xf numFmtId="0" fontId="57" fillId="0" borderId="0" xfId="0" applyFont="1" applyAlignment="1">
      <alignment horizontal="left"/>
    </xf>
    <xf numFmtId="0" fontId="88" fillId="0" borderId="0" xfId="0" applyFont="1"/>
    <xf numFmtId="0" fontId="57" fillId="0" borderId="0" xfId="0" applyFont="1" applyAlignment="1">
      <alignment horizontal="left" vertical="top" indent="3"/>
    </xf>
    <xf numFmtId="0" fontId="75" fillId="0" borderId="25" xfId="0" applyFont="1" applyBorder="1" applyAlignment="1">
      <alignment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75" fillId="0" borderId="17" xfId="0" applyFont="1" applyBorder="1" applyAlignment="1">
      <alignment horizontal="center" vertical="center" wrapText="1"/>
    </xf>
    <xf numFmtId="0" fontId="75" fillId="0" borderId="15" xfId="0" applyFont="1" applyBorder="1" applyAlignment="1">
      <alignment horizontal="center" vertical="center" wrapText="1"/>
    </xf>
    <xf numFmtId="0" fontId="71" fillId="0" borderId="13" xfId="0" applyFont="1" applyFill="1" applyBorder="1" applyAlignment="1">
      <alignment horizontal="center" vertical="center" wrapText="1"/>
    </xf>
    <xf numFmtId="174" fontId="0" fillId="0" borderId="31" xfId="0" applyNumberFormat="1" applyFill="1" applyBorder="1"/>
    <xf numFmtId="0" fontId="71" fillId="0" borderId="17" xfId="0" applyFont="1" applyFill="1" applyBorder="1" applyAlignment="1">
      <alignment horizontal="center" vertical="center" wrapText="1"/>
    </xf>
    <xf numFmtId="0" fontId="86" fillId="0" borderId="0" xfId="0" applyFont="1" applyAlignment="1">
      <alignment horizontal="left" vertical="center"/>
    </xf>
    <xf numFmtId="0" fontId="86" fillId="0" borderId="0" xfId="0" applyFont="1"/>
    <xf numFmtId="0" fontId="86" fillId="0" borderId="0" xfId="0" applyFont="1" applyFill="1"/>
    <xf numFmtId="0" fontId="86" fillId="0" borderId="0" xfId="0" applyFont="1" applyAlignment="1">
      <alignment vertical="center"/>
    </xf>
    <xf numFmtId="174" fontId="11" fillId="0" borderId="0" xfId="0" applyNumberFormat="1" applyFont="1" applyFill="1" applyBorder="1"/>
    <xf numFmtId="174" fontId="11" fillId="0" borderId="0" xfId="48" applyNumberFormat="1" applyFont="1" applyFill="1"/>
    <xf numFmtId="174" fontId="35" fillId="0" borderId="0" xfId="0" applyNumberFormat="1" applyFont="1"/>
    <xf numFmtId="1" fontId="53" fillId="0" borderId="1" xfId="0" applyNumberFormat="1" applyFont="1" applyBorder="1" applyAlignment="1">
      <alignment horizontal="center"/>
    </xf>
    <xf numFmtId="2" fontId="71" fillId="0" borderId="13" xfId="0" applyNumberFormat="1" applyFont="1" applyBorder="1" applyAlignment="1">
      <alignment horizontal="center" vertical="center" wrapText="1"/>
    </xf>
    <xf numFmtId="0" fontId="0" fillId="0" borderId="0" xfId="0"/>
    <xf numFmtId="0" fontId="46" fillId="0" borderId="0" xfId="0" applyFont="1"/>
    <xf numFmtId="0" fontId="86" fillId="0" borderId="0" xfId="0" applyFont="1" applyAlignment="1">
      <alignment horizontal="left" vertical="center" indent="3"/>
    </xf>
    <xf numFmtId="0" fontId="0" fillId="0" borderId="0" xfId="0" applyAlignment="1">
      <alignment horizontal="left"/>
    </xf>
    <xf numFmtId="0" fontId="46" fillId="0" borderId="0" xfId="0" applyFont="1" applyAlignment="1">
      <alignment wrapText="1"/>
    </xf>
    <xf numFmtId="0" fontId="0" fillId="0" borderId="0" xfId="0" applyAlignment="1"/>
    <xf numFmtId="0" fontId="74" fillId="0" borderId="0" xfId="2580" applyAlignment="1">
      <alignment horizontal="left"/>
    </xf>
    <xf numFmtId="0" fontId="0" fillId="0" borderId="0" xfId="0" applyFont="1" applyAlignment="1">
      <alignment horizontal="left" vertical="center" indent="3"/>
    </xf>
    <xf numFmtId="0" fontId="0" fillId="0" borderId="0" xfId="0" applyFont="1"/>
    <xf numFmtId="2" fontId="47" fillId="0" borderId="1" xfId="0" applyNumberFormat="1" applyFont="1" applyBorder="1" applyAlignment="1">
      <alignment horizontal="center"/>
    </xf>
    <xf numFmtId="9" fontId="53" fillId="0" borderId="1" xfId="0" applyNumberFormat="1" applyFont="1" applyFill="1" applyBorder="1" applyAlignment="1">
      <alignment horizontal="center"/>
    </xf>
    <xf numFmtId="9" fontId="47" fillId="0" borderId="0" xfId="2582" applyFont="1"/>
    <xf numFmtId="9" fontId="53" fillId="0" borderId="1" xfId="0" applyNumberFormat="1" applyFont="1" applyBorder="1" applyAlignment="1">
      <alignment horizontal="center"/>
    </xf>
    <xf numFmtId="0" fontId="94" fillId="0" borderId="0" xfId="0" applyFont="1"/>
    <xf numFmtId="9" fontId="47" fillId="0" borderId="1" xfId="0" applyNumberFormat="1" applyFont="1" applyBorder="1" applyAlignment="1">
      <alignment horizontal="center"/>
    </xf>
    <xf numFmtId="0" fontId="57" fillId="26" borderId="26" xfId="0" applyFont="1" applyFill="1" applyBorder="1" applyAlignment="1">
      <alignment horizontal="left" vertical="center" wrapText="1"/>
    </xf>
    <xf numFmtId="0" fontId="57" fillId="33" borderId="26" xfId="0" applyFont="1" applyFill="1" applyBorder="1" applyAlignment="1">
      <alignment vertical="top" wrapText="1"/>
    </xf>
    <xf numFmtId="0" fontId="57" fillId="27" borderId="27" xfId="0" applyFont="1" applyFill="1" applyBorder="1" applyAlignment="1">
      <alignment horizontal="right"/>
    </xf>
    <xf numFmtId="0" fontId="11" fillId="0" borderId="0" xfId="2281" applyFont="1" applyFill="1" applyBorder="1" applyAlignment="1"/>
    <xf numFmtId="181" fontId="53" fillId="0" borderId="1" xfId="0" applyNumberFormat="1" applyFont="1" applyBorder="1" applyAlignment="1">
      <alignment horizontal="center"/>
    </xf>
    <xf numFmtId="0" fontId="75" fillId="0" borderId="25" xfId="0" applyFont="1" applyBorder="1" applyAlignment="1">
      <alignment vertical="center" wrapText="1"/>
    </xf>
    <xf numFmtId="0" fontId="75"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49" fillId="0" borderId="13" xfId="0" applyFont="1" applyBorder="1" applyAlignment="1">
      <alignment horizontal="center" wrapText="1"/>
    </xf>
    <xf numFmtId="17" fontId="0" fillId="0" borderId="0" xfId="0" applyNumberFormat="1" applyFont="1"/>
    <xf numFmtId="2" fontId="53" fillId="0" borderId="0" xfId="0" applyNumberFormat="1" applyFont="1" applyBorder="1"/>
    <xf numFmtId="0" fontId="75" fillId="0" borderId="0" xfId="0" applyFont="1" applyBorder="1" applyAlignment="1">
      <alignment vertical="center" wrapText="1"/>
    </xf>
    <xf numFmtId="1" fontId="71" fillId="35" borderId="0" xfId="0" applyNumberFormat="1" applyFont="1" applyFill="1" applyBorder="1" applyAlignment="1">
      <alignment horizontal="center" vertical="center" wrapText="1"/>
    </xf>
    <xf numFmtId="0" fontId="71" fillId="0" borderId="0" xfId="0" applyFont="1" applyBorder="1" applyAlignment="1">
      <alignment horizontal="center" vertical="center" wrapText="1"/>
    </xf>
    <xf numFmtId="0" fontId="0" fillId="0" borderId="17" xfId="0" applyBorder="1" applyAlignment="1"/>
    <xf numFmtId="0" fontId="48" fillId="0" borderId="30" xfId="0" applyFont="1" applyBorder="1" applyAlignment="1">
      <alignment wrapText="1"/>
    </xf>
    <xf numFmtId="174" fontId="0" fillId="32" borderId="0" xfId="0" applyNumberFormat="1" applyFill="1"/>
    <xf numFmtId="0" fontId="71" fillId="35" borderId="13"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49" fillId="0" borderId="13" xfId="0" applyFont="1" applyBorder="1" applyAlignment="1">
      <alignment horizontal="center" wrapText="1"/>
    </xf>
    <xf numFmtId="0" fontId="71" fillId="35" borderId="0" xfId="0" applyFont="1" applyFill="1" applyBorder="1" applyAlignment="1">
      <alignment horizontal="center"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1"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56" fillId="0" borderId="14" xfId="0" applyFont="1" applyBorder="1" applyAlignment="1">
      <alignment vertical="center" wrapText="1"/>
    </xf>
    <xf numFmtId="14" fontId="0" fillId="0" borderId="0" xfId="0" applyNumberFormat="1" applyFont="1"/>
    <xf numFmtId="1" fontId="75" fillId="0" borderId="12"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5" fillId="0" borderId="13"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17" xfId="0" applyFont="1" applyBorder="1" applyAlignment="1">
      <alignment horizontal="center" vertical="center" wrapText="1"/>
    </xf>
    <xf numFmtId="1" fontId="75" fillId="0" borderId="28" xfId="0" applyNumberFormat="1"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71" fillId="0" borderId="23" xfId="0" applyFont="1" applyBorder="1" applyAlignment="1">
      <alignment horizontal="center" vertical="center" wrapText="1"/>
    </xf>
    <xf numFmtId="0" fontId="71" fillId="0" borderId="15" xfId="0" applyFont="1" applyBorder="1" applyAlignment="1">
      <alignment horizontal="center" vertical="center" wrapText="1"/>
    </xf>
    <xf numFmtId="0" fontId="56" fillId="0" borderId="18" xfId="0" applyFont="1" applyBorder="1" applyAlignment="1">
      <alignment horizontal="center" vertical="center" wrapText="1"/>
    </xf>
    <xf numFmtId="0" fontId="56" fillId="0" borderId="13" xfId="0" applyFont="1" applyBorder="1" applyAlignment="1">
      <alignment horizontal="center" vertical="center" wrapText="1"/>
    </xf>
    <xf numFmtId="0" fontId="56" fillId="0" borderId="16" xfId="0" applyFont="1" applyBorder="1" applyAlignment="1">
      <alignment vertical="center" wrapText="1"/>
    </xf>
    <xf numFmtId="0" fontId="71" fillId="0" borderId="24" xfId="0" applyFont="1" applyBorder="1" applyAlignment="1">
      <alignment horizontal="center" vertical="center" wrapText="1"/>
    </xf>
    <xf numFmtId="178" fontId="75" fillId="0" borderId="25"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0" fontId="71" fillId="0" borderId="17" xfId="0" applyFont="1" applyBorder="1" applyAlignment="1">
      <alignment horizontal="center" vertical="center" wrapText="1"/>
    </xf>
    <xf numFmtId="0" fontId="56" fillId="0" borderId="28" xfId="0" applyFont="1" applyBorder="1" applyAlignment="1">
      <alignment vertical="center" wrapText="1"/>
    </xf>
    <xf numFmtId="0" fontId="0" fillId="0" borderId="24" xfId="0" applyBorder="1"/>
    <xf numFmtId="49" fontId="56" fillId="0" borderId="30" xfId="0" applyNumberFormat="1" applyFont="1" applyBorder="1" applyAlignment="1">
      <alignment vertical="center" wrapText="1"/>
    </xf>
    <xf numFmtId="1" fontId="75" fillId="0" borderId="30" xfId="0" applyNumberFormat="1" applyFont="1" applyBorder="1" applyAlignment="1">
      <alignment horizontal="center" vertical="center" wrapText="1"/>
    </xf>
    <xf numFmtId="49" fontId="56" fillId="0" borderId="14" xfId="0" applyNumberFormat="1" applyFont="1" applyBorder="1" applyAlignment="1">
      <alignment vertical="center" wrapText="1"/>
    </xf>
    <xf numFmtId="1" fontId="75" fillId="0" borderId="14" xfId="0" applyNumberFormat="1" applyFont="1" applyBorder="1" applyAlignment="1">
      <alignment horizontal="center" vertical="center" wrapText="1"/>
    </xf>
    <xf numFmtId="178" fontId="75" fillId="0" borderId="28" xfId="0" applyNumberFormat="1" applyFont="1" applyBorder="1" applyAlignment="1">
      <alignment horizontal="center" vertical="center" wrapText="1"/>
    </xf>
    <xf numFmtId="178" fontId="75" fillId="0" borderId="29"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76" fillId="0" borderId="18" xfId="0" applyFont="1" applyBorder="1" applyAlignment="1">
      <alignment vertical="center" wrapText="1"/>
    </xf>
    <xf numFmtId="0" fontId="76" fillId="0" borderId="14" xfId="0" applyFont="1" applyBorder="1" applyAlignment="1">
      <alignment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5" fillId="0" borderId="16" xfId="0" applyFont="1" applyFill="1" applyBorder="1" applyAlignment="1">
      <alignment vertical="center" wrapText="1"/>
    </xf>
    <xf numFmtId="0" fontId="75" fillId="0" borderId="17" xfId="0" applyFont="1" applyFill="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0" xfId="0" applyFont="1" applyFill="1" applyBorder="1" applyAlignment="1">
      <alignment horizontal="center" vertical="center" wrapText="1"/>
    </xf>
    <xf numFmtId="0" fontId="75" fillId="0" borderId="16" xfId="0" applyFont="1" applyBorder="1" applyAlignment="1">
      <alignment vertical="center" wrapText="1"/>
    </xf>
    <xf numFmtId="0" fontId="75" fillId="0" borderId="17" xfId="0" applyFont="1" applyBorder="1" applyAlignment="1">
      <alignment horizontal="center" vertical="center" wrapText="1"/>
    </xf>
    <xf numFmtId="0" fontId="75" fillId="0" borderId="25" xfId="0" applyFont="1" applyBorder="1" applyAlignment="1">
      <alignment vertical="center" wrapText="1"/>
    </xf>
    <xf numFmtId="1" fontId="75" fillId="0" borderId="28" xfId="0" applyNumberFormat="1" applyFont="1" applyFill="1" applyBorder="1" applyAlignment="1">
      <alignment horizontal="center" vertical="center" wrapText="1"/>
    </xf>
    <xf numFmtId="1" fontId="75" fillId="0" borderId="28" xfId="0" applyNumberFormat="1" applyFont="1" applyBorder="1" applyAlignment="1">
      <alignment horizontal="center" vertical="center" wrapText="1"/>
    </xf>
    <xf numFmtId="0" fontId="57" fillId="0" borderId="25" xfId="0" applyFont="1" applyBorder="1"/>
    <xf numFmtId="0" fontId="75" fillId="0" borderId="24" xfId="0" applyFont="1" applyBorder="1" applyAlignment="1">
      <alignment horizontal="center" vertical="center" wrapText="1"/>
    </xf>
    <xf numFmtId="49" fontId="75" fillId="0" borderId="16" xfId="0" applyNumberFormat="1" applyFont="1" applyBorder="1" applyAlignment="1">
      <alignment vertical="center" wrapText="1"/>
    </xf>
    <xf numFmtId="1" fontId="75" fillId="0" borderId="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49" fontId="75" fillId="0" borderId="12" xfId="0" applyNumberFormat="1" applyFont="1" applyBorder="1" applyAlignment="1">
      <alignment vertical="center" wrapText="1"/>
    </xf>
    <xf numFmtId="0" fontId="75" fillId="0" borderId="12" xfId="0" applyFont="1" applyBorder="1" applyAlignment="1">
      <alignment horizontal="center" vertical="center" wrapText="1"/>
    </xf>
    <xf numFmtId="1" fontId="75" fillId="0" borderId="18" xfId="0" applyNumberFormat="1" applyFont="1" applyBorder="1" applyAlignment="1">
      <alignment horizontal="center" vertical="center" wrapText="1"/>
    </xf>
    <xf numFmtId="1" fontId="75" fillId="0" borderId="21" xfId="0" applyNumberFormat="1" applyFont="1" applyBorder="1" applyAlignment="1">
      <alignment horizontal="center" vertical="center" wrapText="1"/>
    </xf>
    <xf numFmtId="1" fontId="75" fillId="0" borderId="22"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0" xfId="0" applyFont="1" applyFill="1" applyBorder="1" applyAlignment="1">
      <alignment horizontal="center" vertical="center" wrapText="1"/>
    </xf>
    <xf numFmtId="0" fontId="75" fillId="0" borderId="17" xfId="0" applyFont="1" applyBorder="1" applyAlignment="1">
      <alignment horizontal="center" vertical="center" wrapText="1"/>
    </xf>
    <xf numFmtId="0" fontId="75" fillId="0" borderId="24" xfId="0"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75" fillId="0" borderId="13" xfId="0" applyNumberFormat="1" applyFont="1" applyBorder="1" applyAlignment="1">
      <alignment horizontal="center" vertical="center" wrapText="1"/>
    </xf>
    <xf numFmtId="0" fontId="75" fillId="0" borderId="25"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4"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0" fontId="75" fillId="0" borderId="16" xfId="0"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3" xfId="0" quotePrefix="1" applyFont="1" applyBorder="1" applyAlignment="1">
      <alignment horizontal="center" vertical="center" wrapText="1"/>
    </xf>
    <xf numFmtId="0" fontId="56" fillId="0" borderId="12" xfId="0" applyFont="1" applyFill="1" applyBorder="1" applyAlignment="1">
      <alignment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28" xfId="0" applyFont="1" applyBorder="1" applyAlignment="1">
      <alignment vertical="center" wrapText="1"/>
    </xf>
    <xf numFmtId="49" fontId="75" fillId="0" borderId="30" xfId="0" applyNumberFormat="1" applyFont="1" applyBorder="1" applyAlignment="1">
      <alignment vertical="center" wrapText="1"/>
    </xf>
    <xf numFmtId="49" fontId="75" fillId="0" borderId="14" xfId="0" applyNumberFormat="1" applyFont="1" applyBorder="1" applyAlignment="1">
      <alignment vertical="center" wrapText="1"/>
    </xf>
    <xf numFmtId="0" fontId="75" fillId="0" borderId="15" xfId="0" applyFont="1" applyFill="1" applyBorder="1" applyAlignment="1">
      <alignment horizontal="center" vertical="center" wrapText="1"/>
    </xf>
    <xf numFmtId="0" fontId="56" fillId="0" borderId="30" xfId="0" applyFont="1" applyBorder="1" applyAlignment="1">
      <alignment vertical="center" wrapText="1"/>
    </xf>
    <xf numFmtId="0" fontId="75" fillId="0" borderId="25" xfId="0" applyNumberFormat="1" applyFont="1" applyBorder="1" applyAlignment="1">
      <alignment horizontal="center" vertical="center" wrapText="1"/>
    </xf>
    <xf numFmtId="178" fontId="75" fillId="0" borderId="0" xfId="0" applyNumberFormat="1" applyFont="1" applyBorder="1" applyAlignment="1">
      <alignment horizontal="center" vertical="center" wrapText="1"/>
    </xf>
    <xf numFmtId="0" fontId="75" fillId="0" borderId="28" xfId="0" applyFont="1" applyBorder="1" applyAlignment="1">
      <alignment horizontal="center" vertical="center" wrapText="1"/>
    </xf>
    <xf numFmtId="0" fontId="56" fillId="0" borderId="30" xfId="0" applyFont="1" applyFill="1" applyBorder="1" applyAlignment="1">
      <alignment vertical="center" wrapText="1"/>
    </xf>
    <xf numFmtId="0" fontId="75" fillId="0" borderId="30" xfId="0" applyFont="1" applyFill="1" applyBorder="1" applyAlignment="1">
      <alignment horizontal="center" vertical="center" wrapText="1"/>
    </xf>
    <xf numFmtId="0" fontId="56" fillId="0" borderId="14" xfId="0" applyFont="1" applyFill="1" applyBorder="1" applyAlignment="1">
      <alignment vertical="center" wrapText="1"/>
    </xf>
    <xf numFmtId="178" fontId="75" fillId="0" borderId="23"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7" xfId="0" applyFont="1" applyFill="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17" xfId="0"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56" fillId="0" borderId="16" xfId="0" applyFont="1" applyBorder="1" applyAlignment="1">
      <alignment vertical="center" wrapText="1"/>
    </xf>
    <xf numFmtId="0" fontId="75" fillId="0" borderId="25"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4"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3" xfId="0" quotePrefix="1" applyFont="1" applyBorder="1" applyAlignment="1">
      <alignment horizontal="center" vertical="center" wrapText="1"/>
    </xf>
    <xf numFmtId="0" fontId="56" fillId="0" borderId="12" xfId="0" applyFont="1" applyFill="1" applyBorder="1" applyAlignment="1">
      <alignment vertical="center" wrapText="1"/>
    </xf>
    <xf numFmtId="1" fontId="75" fillId="0" borderId="13" xfId="0" applyNumberFormat="1" applyFont="1" applyFill="1" applyBorder="1" applyAlignment="1">
      <alignment horizontal="center"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178" fontId="75" fillId="0" borderId="13"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1" fontId="75" fillId="0" borderId="17" xfId="0" quotePrefix="1"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28" xfId="0" applyFont="1" applyBorder="1" applyAlignment="1">
      <alignment vertical="center" wrapText="1"/>
    </xf>
    <xf numFmtId="49" fontId="75" fillId="0" borderId="30" xfId="0" applyNumberFormat="1" applyFont="1" applyBorder="1" applyAlignment="1">
      <alignment vertical="center" wrapText="1"/>
    </xf>
    <xf numFmtId="49" fontId="75" fillId="0" borderId="14" xfId="0" applyNumberFormat="1" applyFont="1" applyBorder="1" applyAlignment="1">
      <alignment vertical="center" wrapText="1"/>
    </xf>
    <xf numFmtId="0" fontId="75" fillId="0" borderId="15"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NumberFormat="1" applyFont="1" applyFill="1" applyBorder="1" applyAlignment="1">
      <alignment horizontal="center" vertical="center" wrapText="1"/>
    </xf>
    <xf numFmtId="0" fontId="75" fillId="35" borderId="13" xfId="0" applyFont="1" applyFill="1" applyBorder="1" applyAlignment="1">
      <alignment horizontal="center" vertical="center" wrapText="1"/>
    </xf>
    <xf numFmtId="0" fontId="75" fillId="35" borderId="15"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6" fillId="35" borderId="15"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NumberFormat="1" applyFont="1" applyFill="1" applyBorder="1" applyAlignment="1">
      <alignment horizontal="center"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NumberFormat="1" applyFont="1" applyFill="1" applyBorder="1" applyAlignment="1">
      <alignment horizontal="center" vertical="center" wrapText="1"/>
    </xf>
    <xf numFmtId="0" fontId="71" fillId="35" borderId="17" xfId="0" applyFont="1" applyFill="1" applyBorder="1" applyAlignment="1">
      <alignment horizontal="center" vertical="center" wrapText="1"/>
    </xf>
    <xf numFmtId="1" fontId="75" fillId="35" borderId="13" xfId="0" applyNumberFormat="1"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NumberFormat="1"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5" fillId="35" borderId="13" xfId="0" applyNumberFormat="1"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168" fontId="53" fillId="0" borderId="1" xfId="0" applyNumberFormat="1" applyFont="1" applyBorder="1"/>
    <xf numFmtId="168" fontId="47" fillId="35" borderId="1" xfId="0" applyNumberFormat="1" applyFont="1" applyFill="1" applyBorder="1" applyAlignment="1">
      <alignment horizontal="center"/>
    </xf>
    <xf numFmtId="9" fontId="0" fillId="0" borderId="0" xfId="0" applyNumberFormat="1"/>
    <xf numFmtId="169" fontId="0" fillId="0" borderId="0" xfId="2832" applyNumberFormat="1" applyFont="1"/>
    <xf numFmtId="167" fontId="95" fillId="0" borderId="0" xfId="48" applyFont="1" applyFill="1" applyBorder="1" applyAlignment="1">
      <alignment horizontal="center"/>
    </xf>
    <xf numFmtId="167" fontId="57" fillId="0" borderId="0" xfId="48" applyFont="1" applyFill="1" applyBorder="1" applyAlignment="1">
      <alignment horizontal="center"/>
    </xf>
    <xf numFmtId="167" fontId="100" fillId="0" borderId="0" xfId="48" applyFont="1" applyFill="1" applyBorder="1" applyAlignment="1">
      <alignment horizontal="center"/>
    </xf>
    <xf numFmtId="167" fontId="102" fillId="0" borderId="0" xfId="48" applyFont="1" applyFill="1" applyBorder="1" applyAlignment="1"/>
    <xf numFmtId="174" fontId="96" fillId="0" borderId="0" xfId="2834" applyNumberFormat="1" applyFont="1"/>
    <xf numFmtId="0" fontId="103" fillId="0" borderId="0" xfId="863" applyFont="1"/>
    <xf numFmtId="0" fontId="11" fillId="0" borderId="0" xfId="863"/>
    <xf numFmtId="0" fontId="11" fillId="0" borderId="0" xfId="863" applyAlignment="1">
      <alignment wrapText="1"/>
    </xf>
    <xf numFmtId="0" fontId="13" fillId="0" borderId="0" xfId="863" applyFont="1"/>
    <xf numFmtId="174" fontId="13" fillId="0" borderId="0" xfId="863" applyNumberFormat="1" applyFont="1"/>
    <xf numFmtId="174" fontId="11" fillId="0" borderId="0" xfId="863" applyNumberFormat="1"/>
    <xf numFmtId="174" fontId="7" fillId="26" borderId="19" xfId="863" applyNumberFormat="1" applyFont="1" applyFill="1" applyBorder="1" applyAlignment="1">
      <alignment horizontal="left" vertical="center" wrapText="1"/>
    </xf>
    <xf numFmtId="0" fontId="11" fillId="26" borderId="0" xfId="863" applyFill="1" applyAlignment="1">
      <alignment wrapText="1"/>
    </xf>
    <xf numFmtId="174" fontId="7" fillId="26" borderId="0" xfId="863" applyNumberFormat="1" applyFont="1" applyFill="1" applyAlignment="1">
      <alignment horizontal="left" vertical="center" wrapText="1"/>
    </xf>
    <xf numFmtId="174" fontId="14" fillId="29" borderId="19" xfId="863" applyNumberFormat="1" applyFont="1" applyFill="1" applyBorder="1" applyAlignment="1">
      <alignment horizontal="left" vertical="top" wrapText="1"/>
    </xf>
    <xf numFmtId="174" fontId="14" fillId="29" borderId="19" xfId="863" quotePrefix="1" applyNumberFormat="1" applyFont="1" applyFill="1" applyBorder="1" applyAlignment="1">
      <alignment horizontal="left" vertical="top" wrapText="1"/>
    </xf>
    <xf numFmtId="174" fontId="11" fillId="0" borderId="0" xfId="863" applyNumberFormat="1" applyAlignment="1">
      <alignment horizontal="left"/>
    </xf>
    <xf numFmtId="174" fontId="0" fillId="0" borderId="0" xfId="48" applyNumberFormat="1" applyFont="1"/>
    <xf numFmtId="174" fontId="11" fillId="0" borderId="31" xfId="863" applyNumberFormat="1" applyBorder="1"/>
    <xf numFmtId="174" fontId="11" fillId="0" borderId="31" xfId="863" applyNumberFormat="1" applyBorder="1" applyAlignment="1">
      <alignment horizontal="left"/>
    </xf>
    <xf numFmtId="174" fontId="0" fillId="0" borderId="31" xfId="48" applyNumberFormat="1" applyFont="1" applyBorder="1"/>
    <xf numFmtId="0" fontId="11" fillId="0" borderId="31" xfId="863" applyBorder="1" applyAlignment="1">
      <alignment wrapText="1"/>
    </xf>
    <xf numFmtId="174" fontId="0" fillId="0" borderId="0" xfId="48" applyNumberFormat="1" applyFont="1" applyBorder="1"/>
    <xf numFmtId="174" fontId="35" fillId="0" borderId="0" xfId="863" applyNumberFormat="1" applyFont="1"/>
    <xf numFmtId="174" fontId="35" fillId="0" borderId="31" xfId="863" applyNumberFormat="1" applyFont="1" applyBorder="1"/>
    <xf numFmtId="174" fontId="11" fillId="0" borderId="29" xfId="863" applyNumberFormat="1" applyBorder="1"/>
    <xf numFmtId="0" fontId="11" fillId="0" borderId="29" xfId="863" applyBorder="1" applyAlignment="1">
      <alignment wrapText="1"/>
    </xf>
    <xf numFmtId="0" fontId="104" fillId="0" borderId="0" xfId="863" applyFont="1"/>
    <xf numFmtId="174" fontId="11" fillId="0" borderId="62" xfId="863" applyNumberFormat="1" applyBorder="1"/>
    <xf numFmtId="0" fontId="11" fillId="0" borderId="62" xfId="863" applyBorder="1" applyAlignment="1">
      <alignment wrapText="1"/>
    </xf>
    <xf numFmtId="174" fontId="7" fillId="0" borderId="0" xfId="863" applyNumberFormat="1" applyFont="1" applyAlignment="1">
      <alignment horizontal="left" vertical="center" wrapText="1"/>
    </xf>
    <xf numFmtId="174" fontId="14" fillId="29" borderId="20" xfId="863" quotePrefix="1" applyNumberFormat="1" applyFont="1" applyFill="1" applyBorder="1" applyAlignment="1">
      <alignment horizontal="left" vertical="top" wrapText="1"/>
    </xf>
    <xf numFmtId="174" fontId="14" fillId="0" borderId="0" xfId="863" quotePrefix="1" applyNumberFormat="1" applyFont="1" applyAlignment="1">
      <alignment horizontal="left" vertical="top" wrapText="1"/>
    </xf>
    <xf numFmtId="174" fontId="14" fillId="29" borderId="0" xfId="863" applyNumberFormat="1" applyFont="1" applyFill="1" applyAlignment="1">
      <alignment horizontal="left" vertical="top" wrapText="1"/>
    </xf>
    <xf numFmtId="0" fontId="96" fillId="0" borderId="0" xfId="863" applyFont="1" applyAlignment="1">
      <alignment horizontal="left"/>
    </xf>
    <xf numFmtId="0" fontId="11" fillId="0" borderId="31" xfId="863" applyBorder="1"/>
    <xf numFmtId="0" fontId="96" fillId="0" borderId="31" xfId="863" applyFont="1" applyBorder="1" applyAlignment="1">
      <alignment horizontal="left"/>
    </xf>
    <xf numFmtId="174" fontId="11" fillId="0" borderId="0" xfId="48" applyNumberFormat="1" applyFont="1" applyFill="1" applyBorder="1"/>
    <xf numFmtId="174" fontId="11" fillId="0" borderId="0" xfId="48" applyNumberFormat="1" applyFont="1" applyBorder="1"/>
    <xf numFmtId="174" fontId="11" fillId="0" borderId="31" xfId="48" applyNumberFormat="1" applyFont="1" applyFill="1" applyBorder="1"/>
    <xf numFmtId="174" fontId="11" fillId="0" borderId="31" xfId="48" applyNumberFormat="1" applyFont="1" applyBorder="1"/>
    <xf numFmtId="174" fontId="11" fillId="0" borderId="0" xfId="48" applyNumberFormat="1" applyFont="1"/>
    <xf numFmtId="0" fontId="96" fillId="0" borderId="0" xfId="863" applyFont="1"/>
    <xf numFmtId="0" fontId="97" fillId="0" borderId="0" xfId="863" applyFont="1" applyAlignment="1">
      <alignment horizontal="left"/>
    </xf>
    <xf numFmtId="0" fontId="98" fillId="0" borderId="0" xfId="863" applyFont="1" applyAlignment="1">
      <alignment horizontal="left"/>
    </xf>
    <xf numFmtId="2" fontId="99" fillId="0" borderId="0" xfId="863" applyNumberFormat="1" applyFont="1" applyAlignment="1">
      <alignment horizontal="center"/>
    </xf>
    <xf numFmtId="0" fontId="96" fillId="0" borderId="0" xfId="863" applyFont="1" applyAlignment="1">
      <alignment horizontal="center"/>
    </xf>
    <xf numFmtId="43" fontId="96" fillId="0" borderId="0" xfId="863" applyNumberFormat="1" applyFont="1"/>
    <xf numFmtId="2" fontId="97" fillId="0" borderId="0" xfId="863" applyNumberFormat="1" applyFont="1" applyAlignment="1">
      <alignment horizontal="left"/>
    </xf>
    <xf numFmtId="0" fontId="96" fillId="26" borderId="19" xfId="863" applyFont="1" applyFill="1" applyBorder="1" applyAlignment="1">
      <alignment horizontal="left" vertical="center" wrapText="1"/>
    </xf>
    <xf numFmtId="0" fontId="96" fillId="74" borderId="19" xfId="863" applyFont="1" applyFill="1" applyBorder="1" applyAlignment="1">
      <alignment horizontal="left" vertical="center" wrapText="1"/>
    </xf>
    <xf numFmtId="0" fontId="96" fillId="27" borderId="19" xfId="863" applyFont="1" applyFill="1" applyBorder="1" applyAlignment="1">
      <alignment horizontal="left" vertical="center" wrapText="1"/>
    </xf>
    <xf numFmtId="0" fontId="82" fillId="29" borderId="20" xfId="863" applyFont="1" applyFill="1" applyBorder="1" applyAlignment="1">
      <alignment horizontal="left" vertical="top" wrapText="1"/>
    </xf>
    <xf numFmtId="168" fontId="96" fillId="0" borderId="0" xfId="863" applyNumberFormat="1" applyFont="1" applyAlignment="1">
      <alignment horizontal="center"/>
    </xf>
    <xf numFmtId="2" fontId="101" fillId="0" borderId="0" xfId="863" applyNumberFormat="1" applyFont="1"/>
    <xf numFmtId="176" fontId="96" fillId="0" borderId="0" xfId="863" applyNumberFormat="1" applyFont="1" applyAlignment="1">
      <alignment horizontal="left"/>
    </xf>
    <xf numFmtId="43" fontId="11" fillId="0" borderId="0" xfId="863" applyNumberFormat="1"/>
    <xf numFmtId="182" fontId="11" fillId="0" borderId="0" xfId="863" applyNumberFormat="1"/>
    <xf numFmtId="2" fontId="96" fillId="0" borderId="0" xfId="863" applyNumberFormat="1" applyFont="1" applyAlignment="1">
      <alignment horizontal="center"/>
    </xf>
    <xf numFmtId="0" fontId="101" fillId="0" borderId="0" xfId="863" applyFont="1"/>
    <xf numFmtId="174" fontId="11" fillId="0" borderId="0" xfId="866" applyNumberFormat="1" applyFont="1" applyFill="1" applyBorder="1" applyAlignment="1">
      <alignment horizontal="left"/>
    </xf>
    <xf numFmtId="1" fontId="100" fillId="0" borderId="0" xfId="48" applyNumberFormat="1" applyFont="1" applyFill="1" applyBorder="1" applyAlignment="1">
      <alignment horizontal="center"/>
    </xf>
    <xf numFmtId="168" fontId="96" fillId="0" borderId="0" xfId="863" applyNumberFormat="1" applyFont="1" applyAlignment="1">
      <alignment horizontal="center" vertical="center"/>
    </xf>
    <xf numFmtId="1" fontId="96" fillId="0" borderId="0" xfId="863" applyNumberFormat="1" applyFont="1" applyAlignment="1">
      <alignment horizontal="center" vertical="center"/>
    </xf>
    <xf numFmtId="1" fontId="11" fillId="0" borderId="0" xfId="863" applyNumberFormat="1" applyAlignment="1">
      <alignment horizontal="center" vertical="center"/>
    </xf>
    <xf numFmtId="2" fontId="11" fillId="0" borderId="0" xfId="863" applyNumberFormat="1" applyAlignment="1">
      <alignment horizontal="center" vertical="center"/>
    </xf>
    <xf numFmtId="2" fontId="96" fillId="0" borderId="0" xfId="863" applyNumberFormat="1" applyFont="1" applyAlignment="1">
      <alignment horizontal="center" vertical="center"/>
    </xf>
    <xf numFmtId="1" fontId="104" fillId="0" borderId="0" xfId="863" applyNumberFormat="1" applyFont="1" applyAlignment="1">
      <alignment horizontal="center" vertical="center"/>
    </xf>
    <xf numFmtId="174" fontId="11" fillId="0" borderId="0" xfId="866" applyNumberFormat="1" applyFont="1" applyFill="1" applyBorder="1"/>
    <xf numFmtId="0" fontId="11" fillId="0" borderId="0" xfId="863" applyAlignment="1">
      <alignment horizontal="center"/>
    </xf>
    <xf numFmtId="0" fontId="70" fillId="35" borderId="21" xfId="0" applyFont="1" applyFill="1" applyBorder="1" applyAlignment="1">
      <alignment horizontal="center" vertical="center" wrapText="1"/>
    </xf>
    <xf numFmtId="0" fontId="70" fillId="35" borderId="22" xfId="0" applyFont="1" applyFill="1" applyBorder="1" applyAlignment="1">
      <alignment horizontal="center" vertical="center" wrapText="1"/>
    </xf>
    <xf numFmtId="0" fontId="70" fillId="35" borderId="23" xfId="0" applyFont="1" applyFill="1" applyBorder="1" applyAlignment="1">
      <alignment horizontal="center" vertical="center" wrapText="1"/>
    </xf>
    <xf numFmtId="0" fontId="71" fillId="35" borderId="24"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1" fillId="35" borderId="29" xfId="0" applyFont="1" applyFill="1" applyBorder="1" applyAlignment="1">
      <alignment horizontal="center" vertical="center" wrapText="1"/>
    </xf>
    <xf numFmtId="0" fontId="71" fillId="35" borderId="28"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71" fillId="35" borderId="14" xfId="0" applyFont="1" applyFill="1" applyBorder="1" applyAlignment="1">
      <alignment horizontal="center" vertical="center" wrapText="1"/>
    </xf>
    <xf numFmtId="0" fontId="50" fillId="0" borderId="28" xfId="0" applyFont="1" applyBorder="1" applyAlignment="1">
      <alignment horizontal="center" wrapText="1"/>
    </xf>
    <xf numFmtId="0" fontId="50" fillId="0" borderId="29" xfId="0" applyFont="1" applyBorder="1" applyAlignment="1">
      <alignment horizontal="center" wrapText="1"/>
    </xf>
    <xf numFmtId="0" fontId="50" fillId="0" borderId="24" xfId="0" applyFont="1" applyBorder="1" applyAlignment="1">
      <alignment horizontal="center"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53" fillId="0" borderId="52" xfId="0" applyFont="1" applyBorder="1" applyAlignment="1">
      <alignment horizontal="left"/>
    </xf>
    <xf numFmtId="0" fontId="53" fillId="0" borderId="44" xfId="0" applyFont="1" applyBorder="1" applyAlignment="1">
      <alignment horizontal="left"/>
    </xf>
    <xf numFmtId="0" fontId="53" fillId="0" borderId="61" xfId="0" applyFont="1" applyBorder="1" applyAlignment="1">
      <alignment horizontal="left"/>
    </xf>
    <xf numFmtId="0" fontId="76" fillId="0" borderId="21" xfId="0" applyFont="1" applyBorder="1" applyAlignment="1">
      <alignment horizontal="center" vertical="center" wrapText="1"/>
    </xf>
    <xf numFmtId="0" fontId="76" fillId="0" borderId="22" xfId="0" applyFont="1" applyBorder="1" applyAlignment="1">
      <alignment horizontal="center" vertical="center" wrapText="1"/>
    </xf>
    <xf numFmtId="0" fontId="76" fillId="0" borderId="23" xfId="0" applyFont="1" applyBorder="1" applyAlignment="1">
      <alignment horizontal="center" vertical="center" wrapText="1"/>
    </xf>
    <xf numFmtId="0" fontId="75" fillId="0" borderId="28"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14"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25" xfId="0" applyFont="1" applyBorder="1" applyAlignment="1">
      <alignment horizontal="center" vertical="center" wrapText="1"/>
    </xf>
    <xf numFmtId="0" fontId="75" fillId="0" borderId="12" xfId="0" applyFont="1" applyBorder="1" applyAlignment="1">
      <alignment horizontal="center"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56" fillId="0" borderId="25" xfId="0" applyFont="1" applyBorder="1" applyAlignment="1">
      <alignment vertical="center" wrapText="1"/>
    </xf>
    <xf numFmtId="0" fontId="56" fillId="0" borderId="12" xfId="0" applyFont="1" applyBorder="1" applyAlignment="1">
      <alignment vertical="center" wrapText="1"/>
    </xf>
    <xf numFmtId="0" fontId="71" fillId="0" borderId="25" xfId="0" applyFont="1" applyBorder="1" applyAlignment="1">
      <alignment horizontal="center" vertical="center" wrapText="1"/>
    </xf>
    <xf numFmtId="0" fontId="71" fillId="0" borderId="12" xfId="0" applyFont="1" applyBorder="1" applyAlignment="1">
      <alignment horizontal="center" vertical="center" wrapText="1"/>
    </xf>
    <xf numFmtId="0" fontId="57" fillId="0" borderId="0" xfId="0" applyFont="1" applyAlignment="1">
      <alignment horizontal="left" wrapText="1"/>
    </xf>
    <xf numFmtId="0" fontId="71" fillId="0" borderId="28" xfId="0" applyFont="1" applyBorder="1" applyAlignment="1">
      <alignment horizontal="center" vertical="center" wrapText="1"/>
    </xf>
    <xf numFmtId="0" fontId="71" fillId="0" borderId="24" xfId="0" applyFont="1" applyBorder="1" applyAlignment="1">
      <alignment horizontal="center" vertical="center" wrapText="1"/>
    </xf>
    <xf numFmtId="0" fontId="71" fillId="0" borderId="14" xfId="0" applyFont="1" applyBorder="1" applyAlignment="1">
      <alignment horizontal="center" vertical="center" wrapText="1"/>
    </xf>
    <xf numFmtId="0" fontId="71" fillId="0" borderId="13" xfId="0" applyFont="1" applyBorder="1" applyAlignment="1">
      <alignment horizontal="center" vertical="center" wrapText="1"/>
    </xf>
    <xf numFmtId="0" fontId="70" fillId="0" borderId="21" xfId="0" applyFont="1" applyBorder="1" applyAlignment="1">
      <alignment horizontal="center" vertical="center" wrapText="1"/>
    </xf>
    <xf numFmtId="0" fontId="70" fillId="0" borderId="22" xfId="0" applyFont="1" applyBorder="1" applyAlignment="1">
      <alignment horizontal="center" vertical="center" wrapText="1"/>
    </xf>
    <xf numFmtId="0" fontId="70" fillId="0" borderId="23" xfId="0" applyFont="1" applyBorder="1" applyAlignment="1">
      <alignment horizontal="center" vertical="center" wrapText="1"/>
    </xf>
    <xf numFmtId="0" fontId="75" fillId="0" borderId="29" xfId="0" applyFont="1" applyBorder="1" applyAlignment="1">
      <alignment horizontal="center" vertical="center" wrapText="1"/>
    </xf>
    <xf numFmtId="0" fontId="75" fillId="0" borderId="30"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17" xfId="0" applyFont="1" applyBorder="1" applyAlignment="1">
      <alignment horizontal="center" vertical="center" wrapText="1"/>
    </xf>
    <xf numFmtId="0" fontId="75" fillId="0" borderId="15" xfId="0" applyFont="1" applyBorder="1" applyAlignment="1">
      <alignment horizontal="center" vertical="center" wrapText="1"/>
    </xf>
    <xf numFmtId="0" fontId="71" fillId="0" borderId="28" xfId="0" applyFont="1" applyFill="1" applyBorder="1" applyAlignment="1">
      <alignment horizontal="center" vertical="center" wrapText="1"/>
    </xf>
    <xf numFmtId="0" fontId="71" fillId="0" borderId="24" xfId="0" applyFont="1" applyFill="1" applyBorder="1" applyAlignment="1">
      <alignment horizontal="center" vertical="center" wrapText="1"/>
    </xf>
    <xf numFmtId="0" fontId="71" fillId="0" borderId="14" xfId="0" applyFont="1" applyFill="1" applyBorder="1" applyAlignment="1">
      <alignment horizontal="center" vertical="center" wrapText="1"/>
    </xf>
    <xf numFmtId="0" fontId="71" fillId="0" borderId="13" xfId="0" applyFont="1" applyFill="1" applyBorder="1" applyAlignment="1">
      <alignment horizontal="center" vertical="center" wrapText="1"/>
    </xf>
    <xf numFmtId="0" fontId="56" fillId="0" borderId="25" xfId="0" applyFont="1" applyFill="1" applyBorder="1" applyAlignment="1">
      <alignment vertical="center" wrapText="1"/>
    </xf>
    <xf numFmtId="0" fontId="56" fillId="0" borderId="12" xfId="0" applyFont="1" applyFill="1" applyBorder="1" applyAlignment="1">
      <alignment vertical="center" wrapText="1"/>
    </xf>
    <xf numFmtId="0" fontId="71" fillId="0" borderId="25" xfId="0" applyFont="1" applyFill="1" applyBorder="1" applyAlignment="1">
      <alignment horizontal="center" vertical="center" wrapText="1"/>
    </xf>
    <xf numFmtId="0" fontId="71" fillId="0" borderId="12" xfId="0" applyFont="1" applyFill="1" applyBorder="1" applyAlignment="1">
      <alignment horizontal="center" vertical="center" wrapText="1"/>
    </xf>
    <xf numFmtId="0" fontId="70" fillId="0" borderId="21"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70" fillId="0" borderId="23" xfId="0" applyFont="1" applyFill="1" applyBorder="1" applyAlignment="1">
      <alignment horizontal="center" vertical="center" wrapText="1"/>
    </xf>
    <xf numFmtId="0" fontId="0" fillId="0" borderId="0" xfId="0" applyAlignment="1">
      <alignment horizontal="left" vertical="top" wrapText="1"/>
    </xf>
    <xf numFmtId="0" fontId="71" fillId="35" borderId="21" xfId="0" applyFont="1" applyFill="1" applyBorder="1" applyAlignment="1">
      <alignment horizontal="center" vertical="center" wrapText="1"/>
    </xf>
    <xf numFmtId="0" fontId="71" fillId="35" borderId="23" xfId="0" applyFont="1" applyFill="1" applyBorder="1" applyAlignment="1">
      <alignment horizontal="center" vertical="center" wrapText="1"/>
    </xf>
    <xf numFmtId="0" fontId="50" fillId="0" borderId="25" xfId="0" applyFont="1" applyBorder="1" applyAlignment="1">
      <alignment wrapText="1"/>
    </xf>
    <xf numFmtId="0" fontId="50" fillId="0" borderId="12" xfId="0" applyFont="1" applyBorder="1" applyAlignment="1">
      <alignment wrapText="1"/>
    </xf>
    <xf numFmtId="0" fontId="48" fillId="0" borderId="28" xfId="0" applyFont="1" applyBorder="1" applyAlignment="1">
      <alignment vertical="center" wrapText="1"/>
    </xf>
    <xf numFmtId="0" fontId="48" fillId="0" borderId="29" xfId="0" applyFont="1" applyBorder="1" applyAlignment="1">
      <alignment vertical="center" wrapText="1"/>
    </xf>
    <xf numFmtId="0" fontId="48" fillId="0" borderId="24" xfId="0" applyFont="1" applyBorder="1" applyAlignment="1">
      <alignment vertical="center" wrapText="1"/>
    </xf>
    <xf numFmtId="0" fontId="48" fillId="0" borderId="30"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49" fillId="0" borderId="28"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24" xfId="0" applyFont="1" applyBorder="1" applyAlignment="1">
      <alignment horizontal="center" vertical="center" wrapText="1"/>
    </xf>
    <xf numFmtId="0" fontId="49" fillId="0" borderId="30"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21" xfId="0" applyFont="1" applyBorder="1" applyAlignment="1">
      <alignment horizontal="center" wrapText="1"/>
    </xf>
    <xf numFmtId="0" fontId="50" fillId="0" borderId="22" xfId="0" applyFont="1" applyBorder="1" applyAlignment="1">
      <alignment horizontal="center" wrapText="1"/>
    </xf>
    <xf numFmtId="0" fontId="50" fillId="0" borderId="23" xfId="0" applyFont="1" applyBorder="1" applyAlignment="1">
      <alignment horizontal="center" wrapText="1"/>
    </xf>
  </cellXfs>
  <cellStyles count="2835">
    <cellStyle name="20 % - Markeringsfarve1" xfId="1892" xr:uid="{00000000-0005-0000-0000-000000000000}"/>
    <cellStyle name="20 % - Markeringsfarve1 2" xfId="1893" xr:uid="{00000000-0005-0000-0000-000001000000}"/>
    <cellStyle name="20 % - Markeringsfarve2" xfId="1894" xr:uid="{00000000-0005-0000-0000-000002000000}"/>
    <cellStyle name="20 % - Markeringsfarve2 2" xfId="1895" xr:uid="{00000000-0005-0000-0000-000003000000}"/>
    <cellStyle name="20 % - Markeringsfarve3" xfId="1896" xr:uid="{00000000-0005-0000-0000-000004000000}"/>
    <cellStyle name="20 % - Markeringsfarve3 2" xfId="1897" xr:uid="{00000000-0005-0000-0000-000005000000}"/>
    <cellStyle name="20 % - Markeringsfarve4" xfId="1898" xr:uid="{00000000-0005-0000-0000-000006000000}"/>
    <cellStyle name="20 % - Markeringsfarve4 2" xfId="1899" xr:uid="{00000000-0005-0000-0000-000007000000}"/>
    <cellStyle name="20 % - Markeringsfarve5" xfId="1900" xr:uid="{00000000-0005-0000-0000-000008000000}"/>
    <cellStyle name="20 % - Markeringsfarve5 2" xfId="1901" xr:uid="{00000000-0005-0000-0000-000009000000}"/>
    <cellStyle name="20 % - Markeringsfarve6" xfId="1902" xr:uid="{00000000-0005-0000-0000-00000A000000}"/>
    <cellStyle name="20 % - Markeringsfarve6 2" xfId="1903" xr:uid="{00000000-0005-0000-0000-00000B000000}"/>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40 % - Markeringsfarve1" xfId="1904" xr:uid="{00000000-0005-0000-0000-000018000000}"/>
    <cellStyle name="40 % - Markeringsfarve1 2" xfId="1905" xr:uid="{00000000-0005-0000-0000-000019000000}"/>
    <cellStyle name="40 % - Markeringsfarve2" xfId="1906" xr:uid="{00000000-0005-0000-0000-00001A000000}"/>
    <cellStyle name="40 % - Markeringsfarve2 2" xfId="1907" xr:uid="{00000000-0005-0000-0000-00001B000000}"/>
    <cellStyle name="40 % - Markeringsfarve3" xfId="1908" xr:uid="{00000000-0005-0000-0000-00001C000000}"/>
    <cellStyle name="40 % - Markeringsfarve3 2" xfId="1909" xr:uid="{00000000-0005-0000-0000-00001D000000}"/>
    <cellStyle name="40 % - Markeringsfarve4" xfId="1910" xr:uid="{00000000-0005-0000-0000-00001E000000}"/>
    <cellStyle name="40 % - Markeringsfarve4 2" xfId="1911" xr:uid="{00000000-0005-0000-0000-00001F000000}"/>
    <cellStyle name="40 % - Markeringsfarve5" xfId="1912" xr:uid="{00000000-0005-0000-0000-000020000000}"/>
    <cellStyle name="40 % - Markeringsfarve5 2" xfId="1913" xr:uid="{00000000-0005-0000-0000-000021000000}"/>
    <cellStyle name="40 % - Markeringsfarve6" xfId="1914" xr:uid="{00000000-0005-0000-0000-000022000000}"/>
    <cellStyle name="40 % - Markeringsfarve6 2" xfId="1915" xr:uid="{00000000-0005-0000-0000-00002300000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60 % - Markeringsfarve1" xfId="1916" xr:uid="{00000000-0005-0000-0000-000031000000}"/>
    <cellStyle name="60 % - Markeringsfarve2" xfId="1917" xr:uid="{00000000-0005-0000-0000-000032000000}"/>
    <cellStyle name="60 % - Markeringsfarve3" xfId="1918" xr:uid="{00000000-0005-0000-0000-000033000000}"/>
    <cellStyle name="60 % - Markeringsfarve4" xfId="1919" xr:uid="{00000000-0005-0000-0000-000034000000}"/>
    <cellStyle name="60 % - Markeringsfarve5" xfId="1920" xr:uid="{00000000-0005-0000-0000-000035000000}"/>
    <cellStyle name="60 % - Markeringsfarve6" xfId="1921" xr:uid="{00000000-0005-0000-0000-000036000000}"/>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ggOrange_CRFReport-template" xfId="32" xr:uid="{00000000-0005-0000-0000-00003D000000}"/>
    <cellStyle name="AggOrange9_CRFReport-template" xfId="33" xr:uid="{00000000-0005-0000-0000-00003E000000}"/>
    <cellStyle name="Bad 2" xfId="34" xr:uid="{00000000-0005-0000-0000-00003F000000}"/>
    <cellStyle name="Bad 3" xfId="35" xr:uid="{00000000-0005-0000-0000-000040000000}"/>
    <cellStyle name="Calcolo" xfId="36" xr:uid="{00000000-0005-0000-0000-000041000000}"/>
    <cellStyle name="Calcolo 2" xfId="37" xr:uid="{00000000-0005-0000-0000-000042000000}"/>
    <cellStyle name="Calcolo 2 2" xfId="1922" xr:uid="{00000000-0005-0000-0000-000043000000}"/>
    <cellStyle name="Calcolo 3" xfId="1923" xr:uid="{00000000-0005-0000-0000-000044000000}"/>
    <cellStyle name="Calculation 2" xfId="38" xr:uid="{00000000-0005-0000-0000-000045000000}"/>
    <cellStyle name="Cella collegata" xfId="39" xr:uid="{00000000-0005-0000-0000-000046000000}"/>
    <cellStyle name="Cella da controllare" xfId="40" xr:uid="{00000000-0005-0000-0000-000047000000}"/>
    <cellStyle name="Colore 1" xfId="41" xr:uid="{00000000-0005-0000-0000-000048000000}"/>
    <cellStyle name="Colore 2" xfId="42" xr:uid="{00000000-0005-0000-0000-000049000000}"/>
    <cellStyle name="Colore 3" xfId="43" xr:uid="{00000000-0005-0000-0000-00004A000000}"/>
    <cellStyle name="Colore 4" xfId="44" xr:uid="{00000000-0005-0000-0000-00004B000000}"/>
    <cellStyle name="Colore 5" xfId="45" xr:uid="{00000000-0005-0000-0000-00004C000000}"/>
    <cellStyle name="Colore 6" xfId="46" xr:uid="{00000000-0005-0000-0000-00004D000000}"/>
    <cellStyle name="Comma" xfId="47" builtinId="3"/>
    <cellStyle name="Comma 2" xfId="48" xr:uid="{00000000-0005-0000-0000-00004F000000}"/>
    <cellStyle name="Comma 2 2" xfId="49" xr:uid="{00000000-0005-0000-0000-000050000000}"/>
    <cellStyle name="Comma 2 2 2" xfId="2584" xr:uid="{00000000-0005-0000-0000-000051000000}"/>
    <cellStyle name="Comma 2 3" xfId="50" xr:uid="{00000000-0005-0000-0000-000052000000}"/>
    <cellStyle name="Comma 2 3 2" xfId="51" xr:uid="{00000000-0005-0000-0000-000053000000}"/>
    <cellStyle name="Comma 2 3 2 2" xfId="1924" xr:uid="{00000000-0005-0000-0000-000054000000}"/>
    <cellStyle name="Comma 2 3 2 2 2" xfId="2587" xr:uid="{00000000-0005-0000-0000-000055000000}"/>
    <cellStyle name="Comma 2 3 2 3" xfId="2586" xr:uid="{00000000-0005-0000-0000-000056000000}"/>
    <cellStyle name="Comma 2 3 3" xfId="2585" xr:uid="{00000000-0005-0000-0000-000057000000}"/>
    <cellStyle name="Comma 2 4" xfId="52" xr:uid="{00000000-0005-0000-0000-000058000000}"/>
    <cellStyle name="Comma 2 4 2" xfId="2588" xr:uid="{00000000-0005-0000-0000-000059000000}"/>
    <cellStyle name="Comma 2 5" xfId="2583" xr:uid="{00000000-0005-0000-0000-00005A000000}"/>
    <cellStyle name="Comma 3" xfId="53" xr:uid="{00000000-0005-0000-0000-00005B000000}"/>
    <cellStyle name="Comma 3 2" xfId="2589" xr:uid="{00000000-0005-0000-0000-00005C000000}"/>
    <cellStyle name="Comma 3 3" xfId="2833" xr:uid="{00000000-0005-0000-0000-00005D000000}"/>
    <cellStyle name="Comma 4" xfId="54" xr:uid="{00000000-0005-0000-0000-00005E000000}"/>
    <cellStyle name="Comma 4 2" xfId="55" xr:uid="{00000000-0005-0000-0000-00005F000000}"/>
    <cellStyle name="Comma 4 2 2" xfId="2591" xr:uid="{00000000-0005-0000-0000-000060000000}"/>
    <cellStyle name="Comma 4 3" xfId="2590" xr:uid="{00000000-0005-0000-0000-000061000000}"/>
    <cellStyle name="Comma 5" xfId="56" xr:uid="{00000000-0005-0000-0000-000062000000}"/>
    <cellStyle name="Comma 6" xfId="57" xr:uid="{00000000-0005-0000-0000-000063000000}"/>
    <cellStyle name="Comma 6 2" xfId="2592" xr:uid="{00000000-0005-0000-0000-000064000000}"/>
    <cellStyle name="Comma 7" xfId="2832" xr:uid="{00000000-0005-0000-0000-000065000000}"/>
    <cellStyle name="Comma0 - Type3" xfId="58" xr:uid="{00000000-0005-0000-0000-000066000000}"/>
    <cellStyle name="CustomizationCells" xfId="59" xr:uid="{00000000-0005-0000-0000-000067000000}"/>
    <cellStyle name="CustomizationCells 2" xfId="60" xr:uid="{00000000-0005-0000-0000-000068000000}"/>
    <cellStyle name="Euro" xfId="61" xr:uid="{00000000-0005-0000-0000-000069000000}"/>
    <cellStyle name="Euro 10" xfId="62" xr:uid="{00000000-0005-0000-0000-00006A000000}"/>
    <cellStyle name="Euro 10 2" xfId="63" xr:uid="{00000000-0005-0000-0000-00006B000000}"/>
    <cellStyle name="Euro 10 3" xfId="64" xr:uid="{00000000-0005-0000-0000-00006C000000}"/>
    <cellStyle name="Euro 10 3 2" xfId="65" xr:uid="{00000000-0005-0000-0000-00006D000000}"/>
    <cellStyle name="Euro 10 3 2 2" xfId="66" xr:uid="{00000000-0005-0000-0000-00006E000000}"/>
    <cellStyle name="Euro 10 4" xfId="67" xr:uid="{00000000-0005-0000-0000-00006F000000}"/>
    <cellStyle name="Euro 10 4 2" xfId="1925" xr:uid="{00000000-0005-0000-0000-000070000000}"/>
    <cellStyle name="Euro 10 5" xfId="68" xr:uid="{00000000-0005-0000-0000-000071000000}"/>
    <cellStyle name="Euro 11" xfId="69" xr:uid="{00000000-0005-0000-0000-000072000000}"/>
    <cellStyle name="Euro 11 2" xfId="70" xr:uid="{00000000-0005-0000-0000-000073000000}"/>
    <cellStyle name="Euro 11 3" xfId="71" xr:uid="{00000000-0005-0000-0000-000074000000}"/>
    <cellStyle name="Euro 11 3 2" xfId="72" xr:uid="{00000000-0005-0000-0000-000075000000}"/>
    <cellStyle name="Euro 11 3 2 2" xfId="73" xr:uid="{00000000-0005-0000-0000-000076000000}"/>
    <cellStyle name="Euro 11 4" xfId="74" xr:uid="{00000000-0005-0000-0000-000077000000}"/>
    <cellStyle name="Euro 11 4 2" xfId="1926" xr:uid="{00000000-0005-0000-0000-000078000000}"/>
    <cellStyle name="Euro 11 5" xfId="75" xr:uid="{00000000-0005-0000-0000-000079000000}"/>
    <cellStyle name="Euro 12" xfId="76" xr:uid="{00000000-0005-0000-0000-00007A000000}"/>
    <cellStyle name="Euro 12 2" xfId="77" xr:uid="{00000000-0005-0000-0000-00007B000000}"/>
    <cellStyle name="Euro 12 3" xfId="78" xr:uid="{00000000-0005-0000-0000-00007C000000}"/>
    <cellStyle name="Euro 12 3 2" xfId="79" xr:uid="{00000000-0005-0000-0000-00007D000000}"/>
    <cellStyle name="Euro 12 3 2 2" xfId="80" xr:uid="{00000000-0005-0000-0000-00007E000000}"/>
    <cellStyle name="Euro 12 4" xfId="81" xr:uid="{00000000-0005-0000-0000-00007F000000}"/>
    <cellStyle name="Euro 12 4 2" xfId="1927" xr:uid="{00000000-0005-0000-0000-000080000000}"/>
    <cellStyle name="Euro 12 5" xfId="82" xr:uid="{00000000-0005-0000-0000-000081000000}"/>
    <cellStyle name="Euro 13" xfId="83" xr:uid="{00000000-0005-0000-0000-000082000000}"/>
    <cellStyle name="Euro 13 2" xfId="84" xr:uid="{00000000-0005-0000-0000-000083000000}"/>
    <cellStyle name="Euro 13 3" xfId="85" xr:uid="{00000000-0005-0000-0000-000084000000}"/>
    <cellStyle name="Euro 13 3 2" xfId="86" xr:uid="{00000000-0005-0000-0000-000085000000}"/>
    <cellStyle name="Euro 13 3 2 2" xfId="87" xr:uid="{00000000-0005-0000-0000-000086000000}"/>
    <cellStyle name="Euro 13 4" xfId="88" xr:uid="{00000000-0005-0000-0000-000087000000}"/>
    <cellStyle name="Euro 13 4 2" xfId="1928" xr:uid="{00000000-0005-0000-0000-000088000000}"/>
    <cellStyle name="Euro 13 5" xfId="89" xr:uid="{00000000-0005-0000-0000-000089000000}"/>
    <cellStyle name="Euro 14" xfId="90" xr:uid="{00000000-0005-0000-0000-00008A000000}"/>
    <cellStyle name="Euro 14 2" xfId="91" xr:uid="{00000000-0005-0000-0000-00008B000000}"/>
    <cellStyle name="Euro 14 3" xfId="92" xr:uid="{00000000-0005-0000-0000-00008C000000}"/>
    <cellStyle name="Euro 14 3 2" xfId="93" xr:uid="{00000000-0005-0000-0000-00008D000000}"/>
    <cellStyle name="Euro 14 3 2 2" xfId="94" xr:uid="{00000000-0005-0000-0000-00008E000000}"/>
    <cellStyle name="Euro 14 4" xfId="95" xr:uid="{00000000-0005-0000-0000-00008F000000}"/>
    <cellStyle name="Euro 14 4 2" xfId="1929" xr:uid="{00000000-0005-0000-0000-000090000000}"/>
    <cellStyle name="Euro 14 5" xfId="96" xr:uid="{00000000-0005-0000-0000-000091000000}"/>
    <cellStyle name="Euro 15" xfId="97" xr:uid="{00000000-0005-0000-0000-000092000000}"/>
    <cellStyle name="Euro 15 2" xfId="98" xr:uid="{00000000-0005-0000-0000-000093000000}"/>
    <cellStyle name="Euro 15 3" xfId="99" xr:uid="{00000000-0005-0000-0000-000094000000}"/>
    <cellStyle name="Euro 15 3 2" xfId="100" xr:uid="{00000000-0005-0000-0000-000095000000}"/>
    <cellStyle name="Euro 15 3 2 2" xfId="101" xr:uid="{00000000-0005-0000-0000-000096000000}"/>
    <cellStyle name="Euro 15 4" xfId="102" xr:uid="{00000000-0005-0000-0000-000097000000}"/>
    <cellStyle name="Euro 15 4 2" xfId="1930" xr:uid="{00000000-0005-0000-0000-000098000000}"/>
    <cellStyle name="Euro 15 5" xfId="103" xr:uid="{00000000-0005-0000-0000-000099000000}"/>
    <cellStyle name="Euro 16" xfId="104" xr:uid="{00000000-0005-0000-0000-00009A000000}"/>
    <cellStyle name="Euro 16 2" xfId="105" xr:uid="{00000000-0005-0000-0000-00009B000000}"/>
    <cellStyle name="Euro 16 3" xfId="106" xr:uid="{00000000-0005-0000-0000-00009C000000}"/>
    <cellStyle name="Euro 16 3 2" xfId="107" xr:uid="{00000000-0005-0000-0000-00009D000000}"/>
    <cellStyle name="Euro 16 3 2 2" xfId="108" xr:uid="{00000000-0005-0000-0000-00009E000000}"/>
    <cellStyle name="Euro 16 4" xfId="109" xr:uid="{00000000-0005-0000-0000-00009F000000}"/>
    <cellStyle name="Euro 16 4 2" xfId="1931" xr:uid="{00000000-0005-0000-0000-0000A0000000}"/>
    <cellStyle name="Euro 16 5" xfId="110" xr:uid="{00000000-0005-0000-0000-0000A1000000}"/>
    <cellStyle name="Euro 17" xfId="111" xr:uid="{00000000-0005-0000-0000-0000A2000000}"/>
    <cellStyle name="Euro 17 2" xfId="112" xr:uid="{00000000-0005-0000-0000-0000A3000000}"/>
    <cellStyle name="Euro 17 3" xfId="113" xr:uid="{00000000-0005-0000-0000-0000A4000000}"/>
    <cellStyle name="Euro 17 3 2" xfId="114" xr:uid="{00000000-0005-0000-0000-0000A5000000}"/>
    <cellStyle name="Euro 17 3 2 2" xfId="115" xr:uid="{00000000-0005-0000-0000-0000A6000000}"/>
    <cellStyle name="Euro 17 4" xfId="116" xr:uid="{00000000-0005-0000-0000-0000A7000000}"/>
    <cellStyle name="Euro 17 4 2" xfId="1932" xr:uid="{00000000-0005-0000-0000-0000A8000000}"/>
    <cellStyle name="Euro 17 5" xfId="117" xr:uid="{00000000-0005-0000-0000-0000A9000000}"/>
    <cellStyle name="Euro 18" xfId="118" xr:uid="{00000000-0005-0000-0000-0000AA000000}"/>
    <cellStyle name="Euro 18 2" xfId="119" xr:uid="{00000000-0005-0000-0000-0000AB000000}"/>
    <cellStyle name="Euro 18 3" xfId="120" xr:uid="{00000000-0005-0000-0000-0000AC000000}"/>
    <cellStyle name="Euro 18 3 2" xfId="121" xr:uid="{00000000-0005-0000-0000-0000AD000000}"/>
    <cellStyle name="Euro 18 3 2 2" xfId="122" xr:uid="{00000000-0005-0000-0000-0000AE000000}"/>
    <cellStyle name="Euro 18 4" xfId="123" xr:uid="{00000000-0005-0000-0000-0000AF000000}"/>
    <cellStyle name="Euro 18 4 2" xfId="1933" xr:uid="{00000000-0005-0000-0000-0000B0000000}"/>
    <cellStyle name="Euro 18 5" xfId="124" xr:uid="{00000000-0005-0000-0000-0000B1000000}"/>
    <cellStyle name="Euro 19" xfId="125" xr:uid="{00000000-0005-0000-0000-0000B2000000}"/>
    <cellStyle name="Euro 19 2" xfId="126" xr:uid="{00000000-0005-0000-0000-0000B3000000}"/>
    <cellStyle name="Euro 19 3" xfId="127" xr:uid="{00000000-0005-0000-0000-0000B4000000}"/>
    <cellStyle name="Euro 19 3 2" xfId="128" xr:uid="{00000000-0005-0000-0000-0000B5000000}"/>
    <cellStyle name="Euro 19 3 2 2" xfId="129" xr:uid="{00000000-0005-0000-0000-0000B6000000}"/>
    <cellStyle name="Euro 19 4" xfId="130" xr:uid="{00000000-0005-0000-0000-0000B7000000}"/>
    <cellStyle name="Euro 19 4 2" xfId="1934" xr:uid="{00000000-0005-0000-0000-0000B8000000}"/>
    <cellStyle name="Euro 19 5" xfId="131" xr:uid="{00000000-0005-0000-0000-0000B9000000}"/>
    <cellStyle name="Euro 2" xfId="132" xr:uid="{00000000-0005-0000-0000-0000BA000000}"/>
    <cellStyle name="Euro 2 2" xfId="133" xr:uid="{00000000-0005-0000-0000-0000BB000000}"/>
    <cellStyle name="Euro 2 3" xfId="134" xr:uid="{00000000-0005-0000-0000-0000BC000000}"/>
    <cellStyle name="Euro 2 3 2" xfId="135" xr:uid="{00000000-0005-0000-0000-0000BD000000}"/>
    <cellStyle name="Euro 2 3 2 2" xfId="136" xr:uid="{00000000-0005-0000-0000-0000BE000000}"/>
    <cellStyle name="Euro 2 4" xfId="137" xr:uid="{00000000-0005-0000-0000-0000BF000000}"/>
    <cellStyle name="Euro 2 4 2" xfId="1935" xr:uid="{00000000-0005-0000-0000-0000C0000000}"/>
    <cellStyle name="Euro 2 5" xfId="138" xr:uid="{00000000-0005-0000-0000-0000C1000000}"/>
    <cellStyle name="Euro 20" xfId="139" xr:uid="{00000000-0005-0000-0000-0000C2000000}"/>
    <cellStyle name="Euro 20 2" xfId="140" xr:uid="{00000000-0005-0000-0000-0000C3000000}"/>
    <cellStyle name="Euro 20 3" xfId="141" xr:uid="{00000000-0005-0000-0000-0000C4000000}"/>
    <cellStyle name="Euro 20 3 2" xfId="142" xr:uid="{00000000-0005-0000-0000-0000C5000000}"/>
    <cellStyle name="Euro 20 3 2 2" xfId="143" xr:uid="{00000000-0005-0000-0000-0000C6000000}"/>
    <cellStyle name="Euro 20 4" xfId="144" xr:uid="{00000000-0005-0000-0000-0000C7000000}"/>
    <cellStyle name="Euro 20 4 2" xfId="1936" xr:uid="{00000000-0005-0000-0000-0000C8000000}"/>
    <cellStyle name="Euro 20 5" xfId="145" xr:uid="{00000000-0005-0000-0000-0000C9000000}"/>
    <cellStyle name="Euro 21" xfId="146" xr:uid="{00000000-0005-0000-0000-0000CA000000}"/>
    <cellStyle name="Euro 21 2" xfId="147" xr:uid="{00000000-0005-0000-0000-0000CB000000}"/>
    <cellStyle name="Euro 21 3" xfId="148" xr:uid="{00000000-0005-0000-0000-0000CC000000}"/>
    <cellStyle name="Euro 21 3 2" xfId="149" xr:uid="{00000000-0005-0000-0000-0000CD000000}"/>
    <cellStyle name="Euro 21 3 2 2" xfId="150" xr:uid="{00000000-0005-0000-0000-0000CE000000}"/>
    <cellStyle name="Euro 21 4" xfId="151" xr:uid="{00000000-0005-0000-0000-0000CF000000}"/>
    <cellStyle name="Euro 21 4 2" xfId="1937" xr:uid="{00000000-0005-0000-0000-0000D0000000}"/>
    <cellStyle name="Euro 21 5" xfId="152" xr:uid="{00000000-0005-0000-0000-0000D1000000}"/>
    <cellStyle name="Euro 22" xfId="153" xr:uid="{00000000-0005-0000-0000-0000D2000000}"/>
    <cellStyle name="Euro 22 2" xfId="154" xr:uid="{00000000-0005-0000-0000-0000D3000000}"/>
    <cellStyle name="Euro 22 3" xfId="155" xr:uid="{00000000-0005-0000-0000-0000D4000000}"/>
    <cellStyle name="Euro 22 3 2" xfId="156" xr:uid="{00000000-0005-0000-0000-0000D5000000}"/>
    <cellStyle name="Euro 22 3 2 2" xfId="157" xr:uid="{00000000-0005-0000-0000-0000D6000000}"/>
    <cellStyle name="Euro 22 4" xfId="158" xr:uid="{00000000-0005-0000-0000-0000D7000000}"/>
    <cellStyle name="Euro 22 4 2" xfId="1938" xr:uid="{00000000-0005-0000-0000-0000D8000000}"/>
    <cellStyle name="Euro 22 5" xfId="159" xr:uid="{00000000-0005-0000-0000-0000D9000000}"/>
    <cellStyle name="Euro 23" xfId="160" xr:uid="{00000000-0005-0000-0000-0000DA000000}"/>
    <cellStyle name="Euro 23 2" xfId="161" xr:uid="{00000000-0005-0000-0000-0000DB000000}"/>
    <cellStyle name="Euro 23 3" xfId="162" xr:uid="{00000000-0005-0000-0000-0000DC000000}"/>
    <cellStyle name="Euro 23 3 2" xfId="163" xr:uid="{00000000-0005-0000-0000-0000DD000000}"/>
    <cellStyle name="Euro 23 3 2 2" xfId="164" xr:uid="{00000000-0005-0000-0000-0000DE000000}"/>
    <cellStyle name="Euro 23 4" xfId="165" xr:uid="{00000000-0005-0000-0000-0000DF000000}"/>
    <cellStyle name="Euro 23 4 2" xfId="1939" xr:uid="{00000000-0005-0000-0000-0000E0000000}"/>
    <cellStyle name="Euro 23 5" xfId="166" xr:uid="{00000000-0005-0000-0000-0000E1000000}"/>
    <cellStyle name="Euro 24" xfId="167" xr:uid="{00000000-0005-0000-0000-0000E2000000}"/>
    <cellStyle name="Euro 24 2" xfId="168" xr:uid="{00000000-0005-0000-0000-0000E3000000}"/>
    <cellStyle name="Euro 24 3" xfId="169" xr:uid="{00000000-0005-0000-0000-0000E4000000}"/>
    <cellStyle name="Euro 24 3 2" xfId="170" xr:uid="{00000000-0005-0000-0000-0000E5000000}"/>
    <cellStyle name="Euro 24 3 2 2" xfId="171" xr:uid="{00000000-0005-0000-0000-0000E6000000}"/>
    <cellStyle name="Euro 24 4" xfId="172" xr:uid="{00000000-0005-0000-0000-0000E7000000}"/>
    <cellStyle name="Euro 24 4 2" xfId="1940" xr:uid="{00000000-0005-0000-0000-0000E8000000}"/>
    <cellStyle name="Euro 24 5" xfId="173" xr:uid="{00000000-0005-0000-0000-0000E9000000}"/>
    <cellStyle name="Euro 25" xfId="174" xr:uid="{00000000-0005-0000-0000-0000EA000000}"/>
    <cellStyle name="Euro 25 2" xfId="175" xr:uid="{00000000-0005-0000-0000-0000EB000000}"/>
    <cellStyle name="Euro 25 3" xfId="176" xr:uid="{00000000-0005-0000-0000-0000EC000000}"/>
    <cellStyle name="Euro 25 3 2" xfId="177" xr:uid="{00000000-0005-0000-0000-0000ED000000}"/>
    <cellStyle name="Euro 25 3 2 2" xfId="178" xr:uid="{00000000-0005-0000-0000-0000EE000000}"/>
    <cellStyle name="Euro 25 4" xfId="179" xr:uid="{00000000-0005-0000-0000-0000EF000000}"/>
    <cellStyle name="Euro 25 4 2" xfId="1941" xr:uid="{00000000-0005-0000-0000-0000F0000000}"/>
    <cellStyle name="Euro 25 5" xfId="180" xr:uid="{00000000-0005-0000-0000-0000F1000000}"/>
    <cellStyle name="Euro 26" xfId="181" xr:uid="{00000000-0005-0000-0000-0000F2000000}"/>
    <cellStyle name="Euro 26 2" xfId="182" xr:uid="{00000000-0005-0000-0000-0000F3000000}"/>
    <cellStyle name="Euro 26 3" xfId="183" xr:uid="{00000000-0005-0000-0000-0000F4000000}"/>
    <cellStyle name="Euro 26 3 2" xfId="184" xr:uid="{00000000-0005-0000-0000-0000F5000000}"/>
    <cellStyle name="Euro 26 3 2 2" xfId="185" xr:uid="{00000000-0005-0000-0000-0000F6000000}"/>
    <cellStyle name="Euro 26 4" xfId="186" xr:uid="{00000000-0005-0000-0000-0000F7000000}"/>
    <cellStyle name="Euro 26 4 2" xfId="1942" xr:uid="{00000000-0005-0000-0000-0000F8000000}"/>
    <cellStyle name="Euro 26 5" xfId="187" xr:uid="{00000000-0005-0000-0000-0000F9000000}"/>
    <cellStyle name="Euro 27" xfId="188" xr:uid="{00000000-0005-0000-0000-0000FA000000}"/>
    <cellStyle name="Euro 27 2" xfId="189" xr:uid="{00000000-0005-0000-0000-0000FB000000}"/>
    <cellStyle name="Euro 27 3" xfId="190" xr:uid="{00000000-0005-0000-0000-0000FC000000}"/>
    <cellStyle name="Euro 27 3 2" xfId="191" xr:uid="{00000000-0005-0000-0000-0000FD000000}"/>
    <cellStyle name="Euro 27 3 2 2" xfId="192" xr:uid="{00000000-0005-0000-0000-0000FE000000}"/>
    <cellStyle name="Euro 27 4" xfId="193" xr:uid="{00000000-0005-0000-0000-0000FF000000}"/>
    <cellStyle name="Euro 27 4 2" xfId="1943" xr:uid="{00000000-0005-0000-0000-000000010000}"/>
    <cellStyle name="Euro 27 5" xfId="194" xr:uid="{00000000-0005-0000-0000-000001010000}"/>
    <cellStyle name="Euro 28" xfId="195" xr:uid="{00000000-0005-0000-0000-000002010000}"/>
    <cellStyle name="Euro 28 2" xfId="196" xr:uid="{00000000-0005-0000-0000-000003010000}"/>
    <cellStyle name="Euro 28 3" xfId="197" xr:uid="{00000000-0005-0000-0000-000004010000}"/>
    <cellStyle name="Euro 28 3 2" xfId="198" xr:uid="{00000000-0005-0000-0000-000005010000}"/>
    <cellStyle name="Euro 28 3 2 2" xfId="199" xr:uid="{00000000-0005-0000-0000-000006010000}"/>
    <cellStyle name="Euro 28 4" xfId="200" xr:uid="{00000000-0005-0000-0000-000007010000}"/>
    <cellStyle name="Euro 28 4 2" xfId="1944" xr:uid="{00000000-0005-0000-0000-000008010000}"/>
    <cellStyle name="Euro 28 5" xfId="201" xr:uid="{00000000-0005-0000-0000-000009010000}"/>
    <cellStyle name="Euro 29" xfId="202" xr:uid="{00000000-0005-0000-0000-00000A010000}"/>
    <cellStyle name="Euro 29 2" xfId="203" xr:uid="{00000000-0005-0000-0000-00000B010000}"/>
    <cellStyle name="Euro 29 3" xfId="204" xr:uid="{00000000-0005-0000-0000-00000C010000}"/>
    <cellStyle name="Euro 29 3 2" xfId="205" xr:uid="{00000000-0005-0000-0000-00000D010000}"/>
    <cellStyle name="Euro 29 3 2 2" xfId="206" xr:uid="{00000000-0005-0000-0000-00000E010000}"/>
    <cellStyle name="Euro 29 4" xfId="207" xr:uid="{00000000-0005-0000-0000-00000F010000}"/>
    <cellStyle name="Euro 29 4 2" xfId="1945" xr:uid="{00000000-0005-0000-0000-000010010000}"/>
    <cellStyle name="Euro 29 5" xfId="208" xr:uid="{00000000-0005-0000-0000-000011010000}"/>
    <cellStyle name="Euro 3" xfId="209" xr:uid="{00000000-0005-0000-0000-000012010000}"/>
    <cellStyle name="Euro 3 2" xfId="210" xr:uid="{00000000-0005-0000-0000-000013010000}"/>
    <cellStyle name="Euro 3 3" xfId="211" xr:uid="{00000000-0005-0000-0000-000014010000}"/>
    <cellStyle name="Euro 3 3 2" xfId="212" xr:uid="{00000000-0005-0000-0000-000015010000}"/>
    <cellStyle name="Euro 3 3 2 2" xfId="213" xr:uid="{00000000-0005-0000-0000-000016010000}"/>
    <cellStyle name="Euro 3 4" xfId="214" xr:uid="{00000000-0005-0000-0000-000017010000}"/>
    <cellStyle name="Euro 3 4 2" xfId="1946" xr:uid="{00000000-0005-0000-0000-000018010000}"/>
    <cellStyle name="Euro 3 5" xfId="215" xr:uid="{00000000-0005-0000-0000-000019010000}"/>
    <cellStyle name="Euro 30" xfId="216" xr:uid="{00000000-0005-0000-0000-00001A010000}"/>
    <cellStyle name="Euro 30 2" xfId="217" xr:uid="{00000000-0005-0000-0000-00001B010000}"/>
    <cellStyle name="Euro 30 3" xfId="218" xr:uid="{00000000-0005-0000-0000-00001C010000}"/>
    <cellStyle name="Euro 30 3 2" xfId="219" xr:uid="{00000000-0005-0000-0000-00001D010000}"/>
    <cellStyle name="Euro 30 3 2 2" xfId="220" xr:uid="{00000000-0005-0000-0000-00001E010000}"/>
    <cellStyle name="Euro 30 4" xfId="221" xr:uid="{00000000-0005-0000-0000-00001F010000}"/>
    <cellStyle name="Euro 30 4 2" xfId="1947" xr:uid="{00000000-0005-0000-0000-000020010000}"/>
    <cellStyle name="Euro 30 5" xfId="222" xr:uid="{00000000-0005-0000-0000-000021010000}"/>
    <cellStyle name="Euro 31" xfId="223" xr:uid="{00000000-0005-0000-0000-000022010000}"/>
    <cellStyle name="Euro 31 2" xfId="224" xr:uid="{00000000-0005-0000-0000-000023010000}"/>
    <cellStyle name="Euro 31 3" xfId="225" xr:uid="{00000000-0005-0000-0000-000024010000}"/>
    <cellStyle name="Euro 31 3 2" xfId="226" xr:uid="{00000000-0005-0000-0000-000025010000}"/>
    <cellStyle name="Euro 31 3 2 2" xfId="227" xr:uid="{00000000-0005-0000-0000-000026010000}"/>
    <cellStyle name="Euro 31 4" xfId="228" xr:uid="{00000000-0005-0000-0000-000027010000}"/>
    <cellStyle name="Euro 31 4 2" xfId="1948" xr:uid="{00000000-0005-0000-0000-000028010000}"/>
    <cellStyle name="Euro 31 5" xfId="229" xr:uid="{00000000-0005-0000-0000-000029010000}"/>
    <cellStyle name="Euro 32" xfId="230" xr:uid="{00000000-0005-0000-0000-00002A010000}"/>
    <cellStyle name="Euro 32 2" xfId="231" xr:uid="{00000000-0005-0000-0000-00002B010000}"/>
    <cellStyle name="Euro 32 3" xfId="232" xr:uid="{00000000-0005-0000-0000-00002C010000}"/>
    <cellStyle name="Euro 32 3 2" xfId="233" xr:uid="{00000000-0005-0000-0000-00002D010000}"/>
    <cellStyle name="Euro 32 3 2 2" xfId="234" xr:uid="{00000000-0005-0000-0000-00002E010000}"/>
    <cellStyle name="Euro 32 4" xfId="235" xr:uid="{00000000-0005-0000-0000-00002F010000}"/>
    <cellStyle name="Euro 32 4 2" xfId="1949" xr:uid="{00000000-0005-0000-0000-000030010000}"/>
    <cellStyle name="Euro 32 5" xfId="236" xr:uid="{00000000-0005-0000-0000-000031010000}"/>
    <cellStyle name="Euro 33" xfId="237" xr:uid="{00000000-0005-0000-0000-000032010000}"/>
    <cellStyle name="Euro 33 2" xfId="238" xr:uid="{00000000-0005-0000-0000-000033010000}"/>
    <cellStyle name="Euro 33 3" xfId="239" xr:uid="{00000000-0005-0000-0000-000034010000}"/>
    <cellStyle name="Euro 33 3 2" xfId="240" xr:uid="{00000000-0005-0000-0000-000035010000}"/>
    <cellStyle name="Euro 33 3 2 2" xfId="241" xr:uid="{00000000-0005-0000-0000-000036010000}"/>
    <cellStyle name="Euro 33 4" xfId="242" xr:uid="{00000000-0005-0000-0000-000037010000}"/>
    <cellStyle name="Euro 33 4 2" xfId="1950" xr:uid="{00000000-0005-0000-0000-000038010000}"/>
    <cellStyle name="Euro 33 5" xfId="243" xr:uid="{00000000-0005-0000-0000-000039010000}"/>
    <cellStyle name="Euro 34" xfId="244" xr:uid="{00000000-0005-0000-0000-00003A010000}"/>
    <cellStyle name="Euro 34 2" xfId="245" xr:uid="{00000000-0005-0000-0000-00003B010000}"/>
    <cellStyle name="Euro 34 3" xfId="246" xr:uid="{00000000-0005-0000-0000-00003C010000}"/>
    <cellStyle name="Euro 34 3 2" xfId="247" xr:uid="{00000000-0005-0000-0000-00003D010000}"/>
    <cellStyle name="Euro 34 3 2 2" xfId="248" xr:uid="{00000000-0005-0000-0000-00003E010000}"/>
    <cellStyle name="Euro 34 4" xfId="249" xr:uid="{00000000-0005-0000-0000-00003F010000}"/>
    <cellStyle name="Euro 34 4 2" xfId="1951" xr:uid="{00000000-0005-0000-0000-000040010000}"/>
    <cellStyle name="Euro 34 5" xfId="250" xr:uid="{00000000-0005-0000-0000-000041010000}"/>
    <cellStyle name="Euro 35" xfId="251" xr:uid="{00000000-0005-0000-0000-000042010000}"/>
    <cellStyle name="Euro 35 2" xfId="252" xr:uid="{00000000-0005-0000-0000-000043010000}"/>
    <cellStyle name="Euro 35 3" xfId="253" xr:uid="{00000000-0005-0000-0000-000044010000}"/>
    <cellStyle name="Euro 35 3 2" xfId="254" xr:uid="{00000000-0005-0000-0000-000045010000}"/>
    <cellStyle name="Euro 35 3 2 2" xfId="255" xr:uid="{00000000-0005-0000-0000-000046010000}"/>
    <cellStyle name="Euro 35 4" xfId="256" xr:uid="{00000000-0005-0000-0000-000047010000}"/>
    <cellStyle name="Euro 35 4 2" xfId="1952" xr:uid="{00000000-0005-0000-0000-000048010000}"/>
    <cellStyle name="Euro 35 5" xfId="257" xr:uid="{00000000-0005-0000-0000-000049010000}"/>
    <cellStyle name="Euro 36" xfId="258" xr:uid="{00000000-0005-0000-0000-00004A010000}"/>
    <cellStyle name="Euro 36 2" xfId="259" xr:uid="{00000000-0005-0000-0000-00004B010000}"/>
    <cellStyle name="Euro 36 3" xfId="260" xr:uid="{00000000-0005-0000-0000-00004C010000}"/>
    <cellStyle name="Euro 36 3 2" xfId="261" xr:uid="{00000000-0005-0000-0000-00004D010000}"/>
    <cellStyle name="Euro 36 3 2 2" xfId="262" xr:uid="{00000000-0005-0000-0000-00004E010000}"/>
    <cellStyle name="Euro 36 4" xfId="263" xr:uid="{00000000-0005-0000-0000-00004F010000}"/>
    <cellStyle name="Euro 36 4 2" xfId="1953" xr:uid="{00000000-0005-0000-0000-000050010000}"/>
    <cellStyle name="Euro 36 5" xfId="264" xr:uid="{00000000-0005-0000-0000-000051010000}"/>
    <cellStyle name="Euro 37" xfId="265" xr:uid="{00000000-0005-0000-0000-000052010000}"/>
    <cellStyle name="Euro 37 2" xfId="266" xr:uid="{00000000-0005-0000-0000-000053010000}"/>
    <cellStyle name="Euro 37 3" xfId="267" xr:uid="{00000000-0005-0000-0000-000054010000}"/>
    <cellStyle name="Euro 37 3 2" xfId="268" xr:uid="{00000000-0005-0000-0000-000055010000}"/>
    <cellStyle name="Euro 37 3 2 2" xfId="269" xr:uid="{00000000-0005-0000-0000-000056010000}"/>
    <cellStyle name="Euro 37 4" xfId="270" xr:uid="{00000000-0005-0000-0000-000057010000}"/>
    <cellStyle name="Euro 37 4 2" xfId="1954" xr:uid="{00000000-0005-0000-0000-000058010000}"/>
    <cellStyle name="Euro 37 5" xfId="271" xr:uid="{00000000-0005-0000-0000-000059010000}"/>
    <cellStyle name="Euro 38" xfId="272" xr:uid="{00000000-0005-0000-0000-00005A010000}"/>
    <cellStyle name="Euro 38 2" xfId="273" xr:uid="{00000000-0005-0000-0000-00005B010000}"/>
    <cellStyle name="Euro 38 3" xfId="274" xr:uid="{00000000-0005-0000-0000-00005C010000}"/>
    <cellStyle name="Euro 38 3 2" xfId="275" xr:uid="{00000000-0005-0000-0000-00005D010000}"/>
    <cellStyle name="Euro 38 3 2 2" xfId="276" xr:uid="{00000000-0005-0000-0000-00005E010000}"/>
    <cellStyle name="Euro 38 4" xfId="277" xr:uid="{00000000-0005-0000-0000-00005F010000}"/>
    <cellStyle name="Euro 38 4 2" xfId="1955" xr:uid="{00000000-0005-0000-0000-000060010000}"/>
    <cellStyle name="Euro 38 5" xfId="278" xr:uid="{00000000-0005-0000-0000-000061010000}"/>
    <cellStyle name="Euro 39" xfId="279" xr:uid="{00000000-0005-0000-0000-000062010000}"/>
    <cellStyle name="Euro 39 2" xfId="280" xr:uid="{00000000-0005-0000-0000-000063010000}"/>
    <cellStyle name="Euro 39 3" xfId="281" xr:uid="{00000000-0005-0000-0000-000064010000}"/>
    <cellStyle name="Euro 39 3 2" xfId="282" xr:uid="{00000000-0005-0000-0000-000065010000}"/>
    <cellStyle name="Euro 39 3 2 2" xfId="283" xr:uid="{00000000-0005-0000-0000-000066010000}"/>
    <cellStyle name="Euro 39 4" xfId="284" xr:uid="{00000000-0005-0000-0000-000067010000}"/>
    <cellStyle name="Euro 39 4 2" xfId="1956" xr:uid="{00000000-0005-0000-0000-000068010000}"/>
    <cellStyle name="Euro 39 5" xfId="285" xr:uid="{00000000-0005-0000-0000-000069010000}"/>
    <cellStyle name="Euro 4" xfId="286" xr:uid="{00000000-0005-0000-0000-00006A010000}"/>
    <cellStyle name="Euro 4 2" xfId="287" xr:uid="{00000000-0005-0000-0000-00006B010000}"/>
    <cellStyle name="Euro 4 3" xfId="288" xr:uid="{00000000-0005-0000-0000-00006C010000}"/>
    <cellStyle name="Euro 4 3 2" xfId="289" xr:uid="{00000000-0005-0000-0000-00006D010000}"/>
    <cellStyle name="Euro 4 3 2 2" xfId="290" xr:uid="{00000000-0005-0000-0000-00006E010000}"/>
    <cellStyle name="Euro 4 4" xfId="291" xr:uid="{00000000-0005-0000-0000-00006F010000}"/>
    <cellStyle name="Euro 4 4 2" xfId="1957" xr:uid="{00000000-0005-0000-0000-000070010000}"/>
    <cellStyle name="Euro 4 5" xfId="292" xr:uid="{00000000-0005-0000-0000-000071010000}"/>
    <cellStyle name="Euro 40" xfId="293" xr:uid="{00000000-0005-0000-0000-000072010000}"/>
    <cellStyle name="Euro 40 2" xfId="294" xr:uid="{00000000-0005-0000-0000-000073010000}"/>
    <cellStyle name="Euro 40 3" xfId="295" xr:uid="{00000000-0005-0000-0000-000074010000}"/>
    <cellStyle name="Euro 40 3 2" xfId="296" xr:uid="{00000000-0005-0000-0000-000075010000}"/>
    <cellStyle name="Euro 40 3 2 2" xfId="297" xr:uid="{00000000-0005-0000-0000-000076010000}"/>
    <cellStyle name="Euro 40 4" xfId="298" xr:uid="{00000000-0005-0000-0000-000077010000}"/>
    <cellStyle name="Euro 40 4 2" xfId="1958" xr:uid="{00000000-0005-0000-0000-000078010000}"/>
    <cellStyle name="Euro 40 5" xfId="299" xr:uid="{00000000-0005-0000-0000-000079010000}"/>
    <cellStyle name="Euro 41" xfId="300" xr:uid="{00000000-0005-0000-0000-00007A010000}"/>
    <cellStyle name="Euro 41 2" xfId="301" xr:uid="{00000000-0005-0000-0000-00007B010000}"/>
    <cellStyle name="Euro 41 3" xfId="302" xr:uid="{00000000-0005-0000-0000-00007C010000}"/>
    <cellStyle name="Euro 41 3 2" xfId="303" xr:uid="{00000000-0005-0000-0000-00007D010000}"/>
    <cellStyle name="Euro 41 3 2 2" xfId="304" xr:uid="{00000000-0005-0000-0000-00007E010000}"/>
    <cellStyle name="Euro 41 4" xfId="305" xr:uid="{00000000-0005-0000-0000-00007F010000}"/>
    <cellStyle name="Euro 41 4 2" xfId="1959" xr:uid="{00000000-0005-0000-0000-000080010000}"/>
    <cellStyle name="Euro 41 5" xfId="306" xr:uid="{00000000-0005-0000-0000-000081010000}"/>
    <cellStyle name="Euro 42" xfId="307" xr:uid="{00000000-0005-0000-0000-000082010000}"/>
    <cellStyle name="Euro 42 2" xfId="308" xr:uid="{00000000-0005-0000-0000-000083010000}"/>
    <cellStyle name="Euro 42 3" xfId="309" xr:uid="{00000000-0005-0000-0000-000084010000}"/>
    <cellStyle name="Euro 42 3 2" xfId="310" xr:uid="{00000000-0005-0000-0000-000085010000}"/>
    <cellStyle name="Euro 42 3 2 2" xfId="311" xr:uid="{00000000-0005-0000-0000-000086010000}"/>
    <cellStyle name="Euro 42 4" xfId="312" xr:uid="{00000000-0005-0000-0000-000087010000}"/>
    <cellStyle name="Euro 42 4 2" xfId="1960" xr:uid="{00000000-0005-0000-0000-000088010000}"/>
    <cellStyle name="Euro 42 5" xfId="313" xr:uid="{00000000-0005-0000-0000-000089010000}"/>
    <cellStyle name="Euro 43" xfId="314" xr:uid="{00000000-0005-0000-0000-00008A010000}"/>
    <cellStyle name="Euro 43 2" xfId="315" xr:uid="{00000000-0005-0000-0000-00008B010000}"/>
    <cellStyle name="Euro 43 3" xfId="316" xr:uid="{00000000-0005-0000-0000-00008C010000}"/>
    <cellStyle name="Euro 43 3 2" xfId="317" xr:uid="{00000000-0005-0000-0000-00008D010000}"/>
    <cellStyle name="Euro 43 3 2 2" xfId="318" xr:uid="{00000000-0005-0000-0000-00008E010000}"/>
    <cellStyle name="Euro 43 4" xfId="319" xr:uid="{00000000-0005-0000-0000-00008F010000}"/>
    <cellStyle name="Euro 43 4 2" xfId="1961" xr:uid="{00000000-0005-0000-0000-000090010000}"/>
    <cellStyle name="Euro 43 5" xfId="320" xr:uid="{00000000-0005-0000-0000-000091010000}"/>
    <cellStyle name="Euro 44" xfId="321" xr:uid="{00000000-0005-0000-0000-000092010000}"/>
    <cellStyle name="Euro 44 2" xfId="322" xr:uid="{00000000-0005-0000-0000-000093010000}"/>
    <cellStyle name="Euro 44 3" xfId="323" xr:uid="{00000000-0005-0000-0000-000094010000}"/>
    <cellStyle name="Euro 44 3 2" xfId="324" xr:uid="{00000000-0005-0000-0000-000095010000}"/>
    <cellStyle name="Euro 44 3 2 2" xfId="325" xr:uid="{00000000-0005-0000-0000-000096010000}"/>
    <cellStyle name="Euro 44 4" xfId="326" xr:uid="{00000000-0005-0000-0000-000097010000}"/>
    <cellStyle name="Euro 44 4 2" xfId="1962" xr:uid="{00000000-0005-0000-0000-000098010000}"/>
    <cellStyle name="Euro 44 5" xfId="327" xr:uid="{00000000-0005-0000-0000-000099010000}"/>
    <cellStyle name="Euro 45" xfId="328" xr:uid="{00000000-0005-0000-0000-00009A010000}"/>
    <cellStyle name="Euro 45 2" xfId="329" xr:uid="{00000000-0005-0000-0000-00009B010000}"/>
    <cellStyle name="Euro 46" xfId="330" xr:uid="{00000000-0005-0000-0000-00009C010000}"/>
    <cellStyle name="Euro 46 2" xfId="331" xr:uid="{00000000-0005-0000-0000-00009D010000}"/>
    <cellStyle name="Euro 47" xfId="332" xr:uid="{00000000-0005-0000-0000-00009E010000}"/>
    <cellStyle name="Euro 47 2" xfId="333" xr:uid="{00000000-0005-0000-0000-00009F010000}"/>
    <cellStyle name="Euro 47 2 2" xfId="334" xr:uid="{00000000-0005-0000-0000-0000A0010000}"/>
    <cellStyle name="Euro 48" xfId="335" xr:uid="{00000000-0005-0000-0000-0000A1010000}"/>
    <cellStyle name="Euro 49" xfId="336" xr:uid="{00000000-0005-0000-0000-0000A2010000}"/>
    <cellStyle name="Euro 49 2" xfId="1963" xr:uid="{00000000-0005-0000-0000-0000A3010000}"/>
    <cellStyle name="Euro 5" xfId="337" xr:uid="{00000000-0005-0000-0000-0000A4010000}"/>
    <cellStyle name="Euro 5 2" xfId="338" xr:uid="{00000000-0005-0000-0000-0000A5010000}"/>
    <cellStyle name="Euro 5 3" xfId="339" xr:uid="{00000000-0005-0000-0000-0000A6010000}"/>
    <cellStyle name="Euro 5 3 2" xfId="340" xr:uid="{00000000-0005-0000-0000-0000A7010000}"/>
    <cellStyle name="Euro 5 3 2 2" xfId="341" xr:uid="{00000000-0005-0000-0000-0000A8010000}"/>
    <cellStyle name="Euro 5 4" xfId="342" xr:uid="{00000000-0005-0000-0000-0000A9010000}"/>
    <cellStyle name="Euro 5 4 2" xfId="1964" xr:uid="{00000000-0005-0000-0000-0000AA010000}"/>
    <cellStyle name="Euro 5 5" xfId="343" xr:uid="{00000000-0005-0000-0000-0000AB010000}"/>
    <cellStyle name="Euro 50" xfId="344" xr:uid="{00000000-0005-0000-0000-0000AC010000}"/>
    <cellStyle name="Euro 6" xfId="345" xr:uid="{00000000-0005-0000-0000-0000AD010000}"/>
    <cellStyle name="Euro 6 2" xfId="346" xr:uid="{00000000-0005-0000-0000-0000AE010000}"/>
    <cellStyle name="Euro 6 3" xfId="347" xr:uid="{00000000-0005-0000-0000-0000AF010000}"/>
    <cellStyle name="Euro 6 3 2" xfId="348" xr:uid="{00000000-0005-0000-0000-0000B0010000}"/>
    <cellStyle name="Euro 6 3 2 2" xfId="349" xr:uid="{00000000-0005-0000-0000-0000B1010000}"/>
    <cellStyle name="Euro 6 4" xfId="350" xr:uid="{00000000-0005-0000-0000-0000B2010000}"/>
    <cellStyle name="Euro 6 4 2" xfId="1965" xr:uid="{00000000-0005-0000-0000-0000B3010000}"/>
    <cellStyle name="Euro 6 5" xfId="351" xr:uid="{00000000-0005-0000-0000-0000B4010000}"/>
    <cellStyle name="Euro 7" xfId="352" xr:uid="{00000000-0005-0000-0000-0000B5010000}"/>
    <cellStyle name="Euro 7 2" xfId="353" xr:uid="{00000000-0005-0000-0000-0000B6010000}"/>
    <cellStyle name="Euro 7 3" xfId="354" xr:uid="{00000000-0005-0000-0000-0000B7010000}"/>
    <cellStyle name="Euro 7 3 2" xfId="355" xr:uid="{00000000-0005-0000-0000-0000B8010000}"/>
    <cellStyle name="Euro 7 3 2 2" xfId="356" xr:uid="{00000000-0005-0000-0000-0000B9010000}"/>
    <cellStyle name="Euro 7 4" xfId="357" xr:uid="{00000000-0005-0000-0000-0000BA010000}"/>
    <cellStyle name="Euro 7 4 2" xfId="1966" xr:uid="{00000000-0005-0000-0000-0000BB010000}"/>
    <cellStyle name="Euro 7 5" xfId="358" xr:uid="{00000000-0005-0000-0000-0000BC010000}"/>
    <cellStyle name="Euro 8" xfId="359" xr:uid="{00000000-0005-0000-0000-0000BD010000}"/>
    <cellStyle name="Euro 8 2" xfId="360" xr:uid="{00000000-0005-0000-0000-0000BE010000}"/>
    <cellStyle name="Euro 8 3" xfId="361" xr:uid="{00000000-0005-0000-0000-0000BF010000}"/>
    <cellStyle name="Euro 8 3 2" xfId="362" xr:uid="{00000000-0005-0000-0000-0000C0010000}"/>
    <cellStyle name="Euro 8 3 2 2" xfId="363" xr:uid="{00000000-0005-0000-0000-0000C1010000}"/>
    <cellStyle name="Euro 8 4" xfId="364" xr:uid="{00000000-0005-0000-0000-0000C2010000}"/>
    <cellStyle name="Euro 8 4 2" xfId="1967" xr:uid="{00000000-0005-0000-0000-0000C3010000}"/>
    <cellStyle name="Euro 8 5" xfId="365" xr:uid="{00000000-0005-0000-0000-0000C4010000}"/>
    <cellStyle name="Euro 9" xfId="366" xr:uid="{00000000-0005-0000-0000-0000C5010000}"/>
    <cellStyle name="Euro 9 2" xfId="367" xr:uid="{00000000-0005-0000-0000-0000C6010000}"/>
    <cellStyle name="Euro 9 3" xfId="368" xr:uid="{00000000-0005-0000-0000-0000C7010000}"/>
    <cellStyle name="Euro 9 3 2" xfId="369" xr:uid="{00000000-0005-0000-0000-0000C8010000}"/>
    <cellStyle name="Euro 9 3 2 2" xfId="370" xr:uid="{00000000-0005-0000-0000-0000C9010000}"/>
    <cellStyle name="Euro 9 4" xfId="371" xr:uid="{00000000-0005-0000-0000-0000CA010000}"/>
    <cellStyle name="Euro 9 4 2" xfId="1968" xr:uid="{00000000-0005-0000-0000-0000CB010000}"/>
    <cellStyle name="Euro 9 5" xfId="372" xr:uid="{00000000-0005-0000-0000-0000CC010000}"/>
    <cellStyle name="Fixed2 - Type2" xfId="373" xr:uid="{00000000-0005-0000-0000-0000CD010000}"/>
    <cellStyle name="Good 2" xfId="1969" xr:uid="{00000000-0005-0000-0000-0000CE010000}"/>
    <cellStyle name="Hyperlink" xfId="374" builtinId="8"/>
    <cellStyle name="Hyperlink 2" xfId="1970" xr:uid="{00000000-0005-0000-0000-0000D0010000}"/>
    <cellStyle name="Hyperlink 3" xfId="2580" xr:uid="{00000000-0005-0000-0000-0000D1010000}"/>
    <cellStyle name="Hyperlink 4" xfId="2581" xr:uid="{00000000-0005-0000-0000-0000D2010000}"/>
    <cellStyle name="Input 2" xfId="375" xr:uid="{00000000-0005-0000-0000-0000D3010000}"/>
    <cellStyle name="Input 2 2" xfId="376" xr:uid="{00000000-0005-0000-0000-0000D4010000}"/>
    <cellStyle name="Input 2 2 2" xfId="1971" xr:uid="{00000000-0005-0000-0000-0000D5010000}"/>
    <cellStyle name="Input 2 3" xfId="1972" xr:uid="{00000000-0005-0000-0000-0000D6010000}"/>
    <cellStyle name="Input 3" xfId="377" xr:uid="{00000000-0005-0000-0000-0000D7010000}"/>
    <cellStyle name="Input 3 2" xfId="1973" xr:uid="{00000000-0005-0000-0000-0000D8010000}"/>
    <cellStyle name="InputCells" xfId="378" xr:uid="{00000000-0005-0000-0000-0000D9010000}"/>
    <cellStyle name="Komma 2" xfId="1974" xr:uid="{00000000-0005-0000-0000-0000DA010000}"/>
    <cellStyle name="Kontroller celle" xfId="1975" xr:uid="{00000000-0005-0000-0000-0000DB010000}"/>
    <cellStyle name="Markeringsfarve1" xfId="1976" xr:uid="{00000000-0005-0000-0000-0000DC010000}"/>
    <cellStyle name="Markeringsfarve2" xfId="1977" xr:uid="{00000000-0005-0000-0000-0000DD010000}"/>
    <cellStyle name="Markeringsfarve3" xfId="1978" xr:uid="{00000000-0005-0000-0000-0000DE010000}"/>
    <cellStyle name="Markeringsfarve4" xfId="1979" xr:uid="{00000000-0005-0000-0000-0000DF010000}"/>
    <cellStyle name="Markeringsfarve5" xfId="1980" xr:uid="{00000000-0005-0000-0000-0000E0010000}"/>
    <cellStyle name="Markeringsfarve6" xfId="1981" xr:uid="{00000000-0005-0000-0000-0000E1010000}"/>
    <cellStyle name="Migliaia [0] 10" xfId="379" xr:uid="{00000000-0005-0000-0000-0000E2010000}"/>
    <cellStyle name="Migliaia [0] 10 2" xfId="1982" xr:uid="{00000000-0005-0000-0000-0000E3010000}"/>
    <cellStyle name="Migliaia [0] 10 2 2" xfId="1983" xr:uid="{00000000-0005-0000-0000-0000E4010000}"/>
    <cellStyle name="Migliaia [0] 10 2 2 2" xfId="2593" xr:uid="{00000000-0005-0000-0000-0000E5010000}"/>
    <cellStyle name="Migliaia [0] 10 3" xfId="1984" xr:uid="{00000000-0005-0000-0000-0000E6010000}"/>
    <cellStyle name="Migliaia [0] 10 3 2" xfId="2594" xr:uid="{00000000-0005-0000-0000-0000E7010000}"/>
    <cellStyle name="Migliaia [0] 11" xfId="380" xr:uid="{00000000-0005-0000-0000-0000E8010000}"/>
    <cellStyle name="Migliaia [0] 11 2" xfId="1985" xr:uid="{00000000-0005-0000-0000-0000E9010000}"/>
    <cellStyle name="Migliaia [0] 11 2 2" xfId="1986" xr:uid="{00000000-0005-0000-0000-0000EA010000}"/>
    <cellStyle name="Migliaia [0] 11 2 2 2" xfId="2595" xr:uid="{00000000-0005-0000-0000-0000EB010000}"/>
    <cellStyle name="Migliaia [0] 11 3" xfId="1987" xr:uid="{00000000-0005-0000-0000-0000EC010000}"/>
    <cellStyle name="Migliaia [0] 11 3 2" xfId="2596" xr:uid="{00000000-0005-0000-0000-0000ED010000}"/>
    <cellStyle name="Migliaia [0] 12" xfId="381" xr:uid="{00000000-0005-0000-0000-0000EE010000}"/>
    <cellStyle name="Migliaia [0] 12 2" xfId="1988" xr:uid="{00000000-0005-0000-0000-0000EF010000}"/>
    <cellStyle name="Migliaia [0] 12 2 2" xfId="1989" xr:uid="{00000000-0005-0000-0000-0000F0010000}"/>
    <cellStyle name="Migliaia [0] 12 2 2 2" xfId="2597" xr:uid="{00000000-0005-0000-0000-0000F1010000}"/>
    <cellStyle name="Migliaia [0] 12 3" xfId="1990" xr:uid="{00000000-0005-0000-0000-0000F2010000}"/>
    <cellStyle name="Migliaia [0] 12 3 2" xfId="2598" xr:uid="{00000000-0005-0000-0000-0000F3010000}"/>
    <cellStyle name="Migliaia [0] 13" xfId="382" xr:uid="{00000000-0005-0000-0000-0000F4010000}"/>
    <cellStyle name="Migliaia [0] 13 2" xfId="1991" xr:uid="{00000000-0005-0000-0000-0000F5010000}"/>
    <cellStyle name="Migliaia [0] 13 2 2" xfId="1992" xr:uid="{00000000-0005-0000-0000-0000F6010000}"/>
    <cellStyle name="Migliaia [0] 13 2 2 2" xfId="2599" xr:uid="{00000000-0005-0000-0000-0000F7010000}"/>
    <cellStyle name="Migliaia [0] 13 3" xfId="1993" xr:uid="{00000000-0005-0000-0000-0000F8010000}"/>
    <cellStyle name="Migliaia [0] 13 3 2" xfId="2600" xr:uid="{00000000-0005-0000-0000-0000F9010000}"/>
    <cellStyle name="Migliaia [0] 14" xfId="383" xr:uid="{00000000-0005-0000-0000-0000FA010000}"/>
    <cellStyle name="Migliaia [0] 14 2" xfId="1994" xr:uid="{00000000-0005-0000-0000-0000FB010000}"/>
    <cellStyle name="Migliaia [0] 14 2 2" xfId="1995" xr:uid="{00000000-0005-0000-0000-0000FC010000}"/>
    <cellStyle name="Migliaia [0] 14 2 2 2" xfId="2601" xr:uid="{00000000-0005-0000-0000-0000FD010000}"/>
    <cellStyle name="Migliaia [0] 14 3" xfId="1996" xr:uid="{00000000-0005-0000-0000-0000FE010000}"/>
    <cellStyle name="Migliaia [0] 14 3 2" xfId="2602" xr:uid="{00000000-0005-0000-0000-0000FF010000}"/>
    <cellStyle name="Migliaia [0] 15" xfId="384" xr:uid="{00000000-0005-0000-0000-000000020000}"/>
    <cellStyle name="Migliaia [0] 15 2" xfId="1997" xr:uid="{00000000-0005-0000-0000-000001020000}"/>
    <cellStyle name="Migliaia [0] 15 2 2" xfId="1998" xr:uid="{00000000-0005-0000-0000-000002020000}"/>
    <cellStyle name="Migliaia [0] 15 2 2 2" xfId="2603" xr:uid="{00000000-0005-0000-0000-000003020000}"/>
    <cellStyle name="Migliaia [0] 15 3" xfId="1999" xr:uid="{00000000-0005-0000-0000-000004020000}"/>
    <cellStyle name="Migliaia [0] 15 3 2" xfId="2604" xr:uid="{00000000-0005-0000-0000-000005020000}"/>
    <cellStyle name="Migliaia [0] 16" xfId="385" xr:uid="{00000000-0005-0000-0000-000006020000}"/>
    <cellStyle name="Migliaia [0] 16 2" xfId="2000" xr:uid="{00000000-0005-0000-0000-000007020000}"/>
    <cellStyle name="Migliaia [0] 16 2 2" xfId="2001" xr:uid="{00000000-0005-0000-0000-000008020000}"/>
    <cellStyle name="Migliaia [0] 16 2 2 2" xfId="2605" xr:uid="{00000000-0005-0000-0000-000009020000}"/>
    <cellStyle name="Migliaia [0] 16 3" xfId="2002" xr:uid="{00000000-0005-0000-0000-00000A020000}"/>
    <cellStyle name="Migliaia [0] 16 3 2" xfId="2606" xr:uid="{00000000-0005-0000-0000-00000B020000}"/>
    <cellStyle name="Migliaia [0] 17" xfId="386" xr:uid="{00000000-0005-0000-0000-00000C020000}"/>
    <cellStyle name="Migliaia [0] 17 2" xfId="2003" xr:uid="{00000000-0005-0000-0000-00000D020000}"/>
    <cellStyle name="Migliaia [0] 17 2 2" xfId="2004" xr:uid="{00000000-0005-0000-0000-00000E020000}"/>
    <cellStyle name="Migliaia [0] 17 2 2 2" xfId="2607" xr:uid="{00000000-0005-0000-0000-00000F020000}"/>
    <cellStyle name="Migliaia [0] 17 3" xfId="2005" xr:uid="{00000000-0005-0000-0000-000010020000}"/>
    <cellStyle name="Migliaia [0] 17 3 2" xfId="2608" xr:uid="{00000000-0005-0000-0000-000011020000}"/>
    <cellStyle name="Migliaia [0] 18" xfId="387" xr:uid="{00000000-0005-0000-0000-000012020000}"/>
    <cellStyle name="Migliaia [0] 18 2" xfId="2006" xr:uid="{00000000-0005-0000-0000-000013020000}"/>
    <cellStyle name="Migliaia [0] 18 2 2" xfId="2007" xr:uid="{00000000-0005-0000-0000-000014020000}"/>
    <cellStyle name="Migliaia [0] 18 2 2 2" xfId="2609" xr:uid="{00000000-0005-0000-0000-000015020000}"/>
    <cellStyle name="Migliaia [0] 18 3" xfId="2008" xr:uid="{00000000-0005-0000-0000-000016020000}"/>
    <cellStyle name="Migliaia [0] 18 3 2" xfId="2610" xr:uid="{00000000-0005-0000-0000-000017020000}"/>
    <cellStyle name="Migliaia [0] 19" xfId="388" xr:uid="{00000000-0005-0000-0000-000018020000}"/>
    <cellStyle name="Migliaia [0] 19 2" xfId="2009" xr:uid="{00000000-0005-0000-0000-000019020000}"/>
    <cellStyle name="Migliaia [0] 19 2 2" xfId="2010" xr:uid="{00000000-0005-0000-0000-00001A020000}"/>
    <cellStyle name="Migliaia [0] 19 2 2 2" xfId="2611" xr:uid="{00000000-0005-0000-0000-00001B020000}"/>
    <cellStyle name="Migliaia [0] 19 3" xfId="2011" xr:uid="{00000000-0005-0000-0000-00001C020000}"/>
    <cellStyle name="Migliaia [0] 19 3 2" xfId="2612" xr:uid="{00000000-0005-0000-0000-00001D020000}"/>
    <cellStyle name="Migliaia [0] 2" xfId="389" xr:uid="{00000000-0005-0000-0000-00001E020000}"/>
    <cellStyle name="Migliaia [0] 2 2" xfId="2012" xr:uid="{00000000-0005-0000-0000-00001F020000}"/>
    <cellStyle name="Migliaia [0] 2 2 2" xfId="2013" xr:uid="{00000000-0005-0000-0000-000020020000}"/>
    <cellStyle name="Migliaia [0] 2 2 2 2" xfId="2613" xr:uid="{00000000-0005-0000-0000-000021020000}"/>
    <cellStyle name="Migliaia [0] 2 3" xfId="2014" xr:uid="{00000000-0005-0000-0000-000022020000}"/>
    <cellStyle name="Migliaia [0] 2 3 2" xfId="2614" xr:uid="{00000000-0005-0000-0000-000023020000}"/>
    <cellStyle name="Migliaia [0] 20" xfId="390" xr:uid="{00000000-0005-0000-0000-000024020000}"/>
    <cellStyle name="Migliaia [0] 20 2" xfId="2015" xr:uid="{00000000-0005-0000-0000-000025020000}"/>
    <cellStyle name="Migliaia [0] 20 2 2" xfId="2016" xr:uid="{00000000-0005-0000-0000-000026020000}"/>
    <cellStyle name="Migliaia [0] 20 2 2 2" xfId="2615" xr:uid="{00000000-0005-0000-0000-000027020000}"/>
    <cellStyle name="Migliaia [0] 20 3" xfId="2017" xr:uid="{00000000-0005-0000-0000-000028020000}"/>
    <cellStyle name="Migliaia [0] 20 3 2" xfId="2616" xr:uid="{00000000-0005-0000-0000-000029020000}"/>
    <cellStyle name="Migliaia [0] 21" xfId="391" xr:uid="{00000000-0005-0000-0000-00002A020000}"/>
    <cellStyle name="Migliaia [0] 21 2" xfId="2018" xr:uid="{00000000-0005-0000-0000-00002B020000}"/>
    <cellStyle name="Migliaia [0] 21 2 2" xfId="2019" xr:uid="{00000000-0005-0000-0000-00002C020000}"/>
    <cellStyle name="Migliaia [0] 21 2 2 2" xfId="2617" xr:uid="{00000000-0005-0000-0000-00002D020000}"/>
    <cellStyle name="Migliaia [0] 21 3" xfId="2020" xr:uid="{00000000-0005-0000-0000-00002E020000}"/>
    <cellStyle name="Migliaia [0] 21 3 2" xfId="2618" xr:uid="{00000000-0005-0000-0000-00002F020000}"/>
    <cellStyle name="Migliaia [0] 22" xfId="392" xr:uid="{00000000-0005-0000-0000-000030020000}"/>
    <cellStyle name="Migliaia [0] 22 2" xfId="2021" xr:uid="{00000000-0005-0000-0000-000031020000}"/>
    <cellStyle name="Migliaia [0] 22 2 2" xfId="2022" xr:uid="{00000000-0005-0000-0000-000032020000}"/>
    <cellStyle name="Migliaia [0] 22 2 2 2" xfId="2619" xr:uid="{00000000-0005-0000-0000-000033020000}"/>
    <cellStyle name="Migliaia [0] 22 3" xfId="2023" xr:uid="{00000000-0005-0000-0000-000034020000}"/>
    <cellStyle name="Migliaia [0] 22 3 2" xfId="2620" xr:uid="{00000000-0005-0000-0000-000035020000}"/>
    <cellStyle name="Migliaia [0] 23" xfId="393" xr:uid="{00000000-0005-0000-0000-000036020000}"/>
    <cellStyle name="Migliaia [0] 23 2" xfId="2024" xr:uid="{00000000-0005-0000-0000-000037020000}"/>
    <cellStyle name="Migliaia [0] 23 2 2" xfId="2025" xr:uid="{00000000-0005-0000-0000-000038020000}"/>
    <cellStyle name="Migliaia [0] 23 2 2 2" xfId="2621" xr:uid="{00000000-0005-0000-0000-000039020000}"/>
    <cellStyle name="Migliaia [0] 23 3" xfId="2026" xr:uid="{00000000-0005-0000-0000-00003A020000}"/>
    <cellStyle name="Migliaia [0] 23 3 2" xfId="2622" xr:uid="{00000000-0005-0000-0000-00003B020000}"/>
    <cellStyle name="Migliaia [0] 24" xfId="394" xr:uid="{00000000-0005-0000-0000-00003C020000}"/>
    <cellStyle name="Migliaia [0] 24 2" xfId="2027" xr:uid="{00000000-0005-0000-0000-00003D020000}"/>
    <cellStyle name="Migliaia [0] 24 2 2" xfId="2028" xr:uid="{00000000-0005-0000-0000-00003E020000}"/>
    <cellStyle name="Migliaia [0] 24 2 2 2" xfId="2623" xr:uid="{00000000-0005-0000-0000-00003F020000}"/>
    <cellStyle name="Migliaia [0] 24 3" xfId="2029" xr:uid="{00000000-0005-0000-0000-000040020000}"/>
    <cellStyle name="Migliaia [0] 24 3 2" xfId="2624" xr:uid="{00000000-0005-0000-0000-000041020000}"/>
    <cellStyle name="Migliaia [0] 25" xfId="395" xr:uid="{00000000-0005-0000-0000-000042020000}"/>
    <cellStyle name="Migliaia [0] 25 2" xfId="2030" xr:uid="{00000000-0005-0000-0000-000043020000}"/>
    <cellStyle name="Migliaia [0] 25 2 2" xfId="2031" xr:uid="{00000000-0005-0000-0000-000044020000}"/>
    <cellStyle name="Migliaia [0] 25 2 2 2" xfId="2625" xr:uid="{00000000-0005-0000-0000-000045020000}"/>
    <cellStyle name="Migliaia [0] 25 3" xfId="2032" xr:uid="{00000000-0005-0000-0000-000046020000}"/>
    <cellStyle name="Migliaia [0] 25 3 2" xfId="2626" xr:uid="{00000000-0005-0000-0000-000047020000}"/>
    <cellStyle name="Migliaia [0] 26" xfId="396" xr:uid="{00000000-0005-0000-0000-000048020000}"/>
    <cellStyle name="Migliaia [0] 26 2" xfId="2033" xr:uid="{00000000-0005-0000-0000-000049020000}"/>
    <cellStyle name="Migliaia [0] 26 2 2" xfId="2034" xr:uid="{00000000-0005-0000-0000-00004A020000}"/>
    <cellStyle name="Migliaia [0] 26 2 2 2" xfId="2627" xr:uid="{00000000-0005-0000-0000-00004B020000}"/>
    <cellStyle name="Migliaia [0] 26 3" xfId="2035" xr:uid="{00000000-0005-0000-0000-00004C020000}"/>
    <cellStyle name="Migliaia [0] 26 3 2" xfId="2628" xr:uid="{00000000-0005-0000-0000-00004D020000}"/>
    <cellStyle name="Migliaia [0] 27" xfId="397" xr:uid="{00000000-0005-0000-0000-00004E020000}"/>
    <cellStyle name="Migliaia [0] 27 2" xfId="2036" xr:uid="{00000000-0005-0000-0000-00004F020000}"/>
    <cellStyle name="Migliaia [0] 27 2 2" xfId="2037" xr:uid="{00000000-0005-0000-0000-000050020000}"/>
    <cellStyle name="Migliaia [0] 27 2 2 2" xfId="2629" xr:uid="{00000000-0005-0000-0000-000051020000}"/>
    <cellStyle name="Migliaia [0] 27 3" xfId="2038" xr:uid="{00000000-0005-0000-0000-000052020000}"/>
    <cellStyle name="Migliaia [0] 27 3 2" xfId="2630" xr:uid="{00000000-0005-0000-0000-000053020000}"/>
    <cellStyle name="Migliaia [0] 28" xfId="398" xr:uid="{00000000-0005-0000-0000-000054020000}"/>
    <cellStyle name="Migliaia [0] 28 2" xfId="2039" xr:uid="{00000000-0005-0000-0000-000055020000}"/>
    <cellStyle name="Migliaia [0] 28 2 2" xfId="2040" xr:uid="{00000000-0005-0000-0000-000056020000}"/>
    <cellStyle name="Migliaia [0] 28 2 2 2" xfId="2631" xr:uid="{00000000-0005-0000-0000-000057020000}"/>
    <cellStyle name="Migliaia [0] 28 3" xfId="2041" xr:uid="{00000000-0005-0000-0000-000058020000}"/>
    <cellStyle name="Migliaia [0] 28 3 2" xfId="2632" xr:uid="{00000000-0005-0000-0000-000059020000}"/>
    <cellStyle name="Migliaia [0] 29" xfId="399" xr:uid="{00000000-0005-0000-0000-00005A020000}"/>
    <cellStyle name="Migliaia [0] 29 2" xfId="2042" xr:uid="{00000000-0005-0000-0000-00005B020000}"/>
    <cellStyle name="Migliaia [0] 29 2 2" xfId="2043" xr:uid="{00000000-0005-0000-0000-00005C020000}"/>
    <cellStyle name="Migliaia [0] 29 2 2 2" xfId="2633" xr:uid="{00000000-0005-0000-0000-00005D020000}"/>
    <cellStyle name="Migliaia [0] 29 3" xfId="2044" xr:uid="{00000000-0005-0000-0000-00005E020000}"/>
    <cellStyle name="Migliaia [0] 29 3 2" xfId="2634" xr:uid="{00000000-0005-0000-0000-00005F020000}"/>
    <cellStyle name="Migliaia [0] 3" xfId="400" xr:uid="{00000000-0005-0000-0000-000060020000}"/>
    <cellStyle name="Migliaia [0] 3 2" xfId="2045" xr:uid="{00000000-0005-0000-0000-000061020000}"/>
    <cellStyle name="Migliaia [0] 3 2 2" xfId="2046" xr:uid="{00000000-0005-0000-0000-000062020000}"/>
    <cellStyle name="Migliaia [0] 3 2 2 2" xfId="2635" xr:uid="{00000000-0005-0000-0000-000063020000}"/>
    <cellStyle name="Migliaia [0] 3 3" xfId="2047" xr:uid="{00000000-0005-0000-0000-000064020000}"/>
    <cellStyle name="Migliaia [0] 3 3 2" xfId="2636" xr:uid="{00000000-0005-0000-0000-000065020000}"/>
    <cellStyle name="Migliaia [0] 30" xfId="401" xr:uid="{00000000-0005-0000-0000-000066020000}"/>
    <cellStyle name="Migliaia [0] 30 2" xfId="2048" xr:uid="{00000000-0005-0000-0000-000067020000}"/>
    <cellStyle name="Migliaia [0] 30 2 2" xfId="2049" xr:uid="{00000000-0005-0000-0000-000068020000}"/>
    <cellStyle name="Migliaia [0] 30 2 2 2" xfId="2637" xr:uid="{00000000-0005-0000-0000-000069020000}"/>
    <cellStyle name="Migliaia [0] 30 3" xfId="2050" xr:uid="{00000000-0005-0000-0000-00006A020000}"/>
    <cellStyle name="Migliaia [0] 30 3 2" xfId="2638" xr:uid="{00000000-0005-0000-0000-00006B020000}"/>
    <cellStyle name="Migliaia [0] 31" xfId="402" xr:uid="{00000000-0005-0000-0000-00006C020000}"/>
    <cellStyle name="Migliaia [0] 31 2" xfId="2051" xr:uid="{00000000-0005-0000-0000-00006D020000}"/>
    <cellStyle name="Migliaia [0] 31 2 2" xfId="2052" xr:uid="{00000000-0005-0000-0000-00006E020000}"/>
    <cellStyle name="Migliaia [0] 31 2 2 2" xfId="2639" xr:uid="{00000000-0005-0000-0000-00006F020000}"/>
    <cellStyle name="Migliaia [0] 31 3" xfId="2053" xr:uid="{00000000-0005-0000-0000-000070020000}"/>
    <cellStyle name="Migliaia [0] 31 3 2" xfId="2640" xr:uid="{00000000-0005-0000-0000-000071020000}"/>
    <cellStyle name="Migliaia [0] 32" xfId="403" xr:uid="{00000000-0005-0000-0000-000072020000}"/>
    <cellStyle name="Migliaia [0] 32 2" xfId="2054" xr:uid="{00000000-0005-0000-0000-000073020000}"/>
    <cellStyle name="Migliaia [0] 32 2 2" xfId="2055" xr:uid="{00000000-0005-0000-0000-000074020000}"/>
    <cellStyle name="Migliaia [0] 32 2 2 2" xfId="2641" xr:uid="{00000000-0005-0000-0000-000075020000}"/>
    <cellStyle name="Migliaia [0] 32 3" xfId="2056" xr:uid="{00000000-0005-0000-0000-000076020000}"/>
    <cellStyle name="Migliaia [0] 32 3 2" xfId="2642" xr:uid="{00000000-0005-0000-0000-000077020000}"/>
    <cellStyle name="Migliaia [0] 33" xfId="404" xr:uid="{00000000-0005-0000-0000-000078020000}"/>
    <cellStyle name="Migliaia [0] 33 2" xfId="2057" xr:uid="{00000000-0005-0000-0000-000079020000}"/>
    <cellStyle name="Migliaia [0] 33 2 2" xfId="2058" xr:uid="{00000000-0005-0000-0000-00007A020000}"/>
    <cellStyle name="Migliaia [0] 33 2 2 2" xfId="2643" xr:uid="{00000000-0005-0000-0000-00007B020000}"/>
    <cellStyle name="Migliaia [0] 33 3" xfId="2059" xr:uid="{00000000-0005-0000-0000-00007C020000}"/>
    <cellStyle name="Migliaia [0] 33 3 2" xfId="2644" xr:uid="{00000000-0005-0000-0000-00007D020000}"/>
    <cellStyle name="Migliaia [0] 34" xfId="405" xr:uid="{00000000-0005-0000-0000-00007E020000}"/>
    <cellStyle name="Migliaia [0] 34 2" xfId="2060" xr:uid="{00000000-0005-0000-0000-00007F020000}"/>
    <cellStyle name="Migliaia [0] 34 2 2" xfId="2061" xr:uid="{00000000-0005-0000-0000-000080020000}"/>
    <cellStyle name="Migliaia [0] 34 2 2 2" xfId="2645" xr:uid="{00000000-0005-0000-0000-000081020000}"/>
    <cellStyle name="Migliaia [0] 34 3" xfId="2062" xr:uid="{00000000-0005-0000-0000-000082020000}"/>
    <cellStyle name="Migliaia [0] 34 3 2" xfId="2646" xr:uid="{00000000-0005-0000-0000-000083020000}"/>
    <cellStyle name="Migliaia [0] 35" xfId="406" xr:uid="{00000000-0005-0000-0000-000084020000}"/>
    <cellStyle name="Migliaia [0] 35 2" xfId="2063" xr:uid="{00000000-0005-0000-0000-000085020000}"/>
    <cellStyle name="Migliaia [0] 35 2 2" xfId="2064" xr:uid="{00000000-0005-0000-0000-000086020000}"/>
    <cellStyle name="Migliaia [0] 35 2 2 2" xfId="2647" xr:uid="{00000000-0005-0000-0000-000087020000}"/>
    <cellStyle name="Migliaia [0] 35 3" xfId="2065" xr:uid="{00000000-0005-0000-0000-000088020000}"/>
    <cellStyle name="Migliaia [0] 35 3 2" xfId="2648" xr:uid="{00000000-0005-0000-0000-000089020000}"/>
    <cellStyle name="Migliaia [0] 36" xfId="407" xr:uid="{00000000-0005-0000-0000-00008A020000}"/>
    <cellStyle name="Migliaia [0] 36 2" xfId="2066" xr:uid="{00000000-0005-0000-0000-00008B020000}"/>
    <cellStyle name="Migliaia [0] 36 2 2" xfId="2067" xr:uid="{00000000-0005-0000-0000-00008C020000}"/>
    <cellStyle name="Migliaia [0] 36 2 2 2" xfId="2649" xr:uid="{00000000-0005-0000-0000-00008D020000}"/>
    <cellStyle name="Migliaia [0] 36 3" xfId="2068" xr:uid="{00000000-0005-0000-0000-00008E020000}"/>
    <cellStyle name="Migliaia [0] 36 3 2" xfId="2650" xr:uid="{00000000-0005-0000-0000-00008F020000}"/>
    <cellStyle name="Migliaia [0] 37" xfId="408" xr:uid="{00000000-0005-0000-0000-000090020000}"/>
    <cellStyle name="Migliaia [0] 37 2" xfId="2069" xr:uid="{00000000-0005-0000-0000-000091020000}"/>
    <cellStyle name="Migliaia [0] 37 2 2" xfId="2070" xr:uid="{00000000-0005-0000-0000-000092020000}"/>
    <cellStyle name="Migliaia [0] 37 2 2 2" xfId="2651" xr:uid="{00000000-0005-0000-0000-000093020000}"/>
    <cellStyle name="Migliaia [0] 37 3" xfId="2071" xr:uid="{00000000-0005-0000-0000-000094020000}"/>
    <cellStyle name="Migliaia [0] 37 3 2" xfId="2652" xr:uid="{00000000-0005-0000-0000-000095020000}"/>
    <cellStyle name="Migliaia [0] 38" xfId="409" xr:uid="{00000000-0005-0000-0000-000096020000}"/>
    <cellStyle name="Migliaia [0] 38 2" xfId="2072" xr:uid="{00000000-0005-0000-0000-000097020000}"/>
    <cellStyle name="Migliaia [0] 38 2 2" xfId="2073" xr:uid="{00000000-0005-0000-0000-000098020000}"/>
    <cellStyle name="Migliaia [0] 38 2 2 2" xfId="2653" xr:uid="{00000000-0005-0000-0000-000099020000}"/>
    <cellStyle name="Migliaia [0] 38 3" xfId="2074" xr:uid="{00000000-0005-0000-0000-00009A020000}"/>
    <cellStyle name="Migliaia [0] 38 3 2" xfId="2654" xr:uid="{00000000-0005-0000-0000-00009B020000}"/>
    <cellStyle name="Migliaia [0] 39" xfId="410" xr:uid="{00000000-0005-0000-0000-00009C020000}"/>
    <cellStyle name="Migliaia [0] 39 2" xfId="2075" xr:uid="{00000000-0005-0000-0000-00009D020000}"/>
    <cellStyle name="Migliaia [0] 39 2 2" xfId="2076" xr:uid="{00000000-0005-0000-0000-00009E020000}"/>
    <cellStyle name="Migliaia [0] 39 2 2 2" xfId="2655" xr:uid="{00000000-0005-0000-0000-00009F020000}"/>
    <cellStyle name="Migliaia [0] 39 3" xfId="2077" xr:uid="{00000000-0005-0000-0000-0000A0020000}"/>
    <cellStyle name="Migliaia [0] 39 3 2" xfId="2656" xr:uid="{00000000-0005-0000-0000-0000A1020000}"/>
    <cellStyle name="Migliaia [0] 4" xfId="411" xr:uid="{00000000-0005-0000-0000-0000A2020000}"/>
    <cellStyle name="Migliaia [0] 4 2" xfId="2078" xr:uid="{00000000-0005-0000-0000-0000A3020000}"/>
    <cellStyle name="Migliaia [0] 4 2 2" xfId="2079" xr:uid="{00000000-0005-0000-0000-0000A4020000}"/>
    <cellStyle name="Migliaia [0] 4 2 2 2" xfId="2657" xr:uid="{00000000-0005-0000-0000-0000A5020000}"/>
    <cellStyle name="Migliaia [0] 4 3" xfId="2080" xr:uid="{00000000-0005-0000-0000-0000A6020000}"/>
    <cellStyle name="Migliaia [0] 4 3 2" xfId="2658" xr:uid="{00000000-0005-0000-0000-0000A7020000}"/>
    <cellStyle name="Migliaia [0] 40" xfId="412" xr:uid="{00000000-0005-0000-0000-0000A8020000}"/>
    <cellStyle name="Migliaia [0] 40 2" xfId="2081" xr:uid="{00000000-0005-0000-0000-0000A9020000}"/>
    <cellStyle name="Migliaia [0] 40 2 2" xfId="2082" xr:uid="{00000000-0005-0000-0000-0000AA020000}"/>
    <cellStyle name="Migliaia [0] 40 2 2 2" xfId="2659" xr:uid="{00000000-0005-0000-0000-0000AB020000}"/>
    <cellStyle name="Migliaia [0] 40 3" xfId="2083" xr:uid="{00000000-0005-0000-0000-0000AC020000}"/>
    <cellStyle name="Migliaia [0] 40 3 2" xfId="2660" xr:uid="{00000000-0005-0000-0000-0000AD020000}"/>
    <cellStyle name="Migliaia [0] 41" xfId="413" xr:uid="{00000000-0005-0000-0000-0000AE020000}"/>
    <cellStyle name="Migliaia [0] 41 2" xfId="2084" xr:uid="{00000000-0005-0000-0000-0000AF020000}"/>
    <cellStyle name="Migliaia [0] 41 2 2" xfId="2085" xr:uid="{00000000-0005-0000-0000-0000B0020000}"/>
    <cellStyle name="Migliaia [0] 41 2 2 2" xfId="2661" xr:uid="{00000000-0005-0000-0000-0000B1020000}"/>
    <cellStyle name="Migliaia [0] 41 3" xfId="2086" xr:uid="{00000000-0005-0000-0000-0000B2020000}"/>
    <cellStyle name="Migliaia [0] 41 3 2" xfId="2662" xr:uid="{00000000-0005-0000-0000-0000B3020000}"/>
    <cellStyle name="Migliaia [0] 42" xfId="414" xr:uid="{00000000-0005-0000-0000-0000B4020000}"/>
    <cellStyle name="Migliaia [0] 42 2" xfId="2087" xr:uid="{00000000-0005-0000-0000-0000B5020000}"/>
    <cellStyle name="Migliaia [0] 42 2 2" xfId="2088" xr:uid="{00000000-0005-0000-0000-0000B6020000}"/>
    <cellStyle name="Migliaia [0] 42 2 2 2" xfId="2663" xr:uid="{00000000-0005-0000-0000-0000B7020000}"/>
    <cellStyle name="Migliaia [0] 42 3" xfId="2089" xr:uid="{00000000-0005-0000-0000-0000B8020000}"/>
    <cellStyle name="Migliaia [0] 42 3 2" xfId="2664" xr:uid="{00000000-0005-0000-0000-0000B9020000}"/>
    <cellStyle name="Migliaia [0] 43" xfId="415" xr:uid="{00000000-0005-0000-0000-0000BA020000}"/>
    <cellStyle name="Migliaia [0] 43 2" xfId="2090" xr:uid="{00000000-0005-0000-0000-0000BB020000}"/>
    <cellStyle name="Migliaia [0] 43 2 2" xfId="2091" xr:uid="{00000000-0005-0000-0000-0000BC020000}"/>
    <cellStyle name="Migliaia [0] 43 2 2 2" xfId="2665" xr:uid="{00000000-0005-0000-0000-0000BD020000}"/>
    <cellStyle name="Migliaia [0] 43 3" xfId="2092" xr:uid="{00000000-0005-0000-0000-0000BE020000}"/>
    <cellStyle name="Migliaia [0] 43 3 2" xfId="2666" xr:uid="{00000000-0005-0000-0000-0000BF020000}"/>
    <cellStyle name="Migliaia [0] 44" xfId="416" xr:uid="{00000000-0005-0000-0000-0000C0020000}"/>
    <cellStyle name="Migliaia [0] 44 2" xfId="2093" xr:uid="{00000000-0005-0000-0000-0000C1020000}"/>
    <cellStyle name="Migliaia [0] 44 2 2" xfId="2094" xr:uid="{00000000-0005-0000-0000-0000C2020000}"/>
    <cellStyle name="Migliaia [0] 44 2 2 2" xfId="2667" xr:uid="{00000000-0005-0000-0000-0000C3020000}"/>
    <cellStyle name="Migliaia [0] 44 3" xfId="2095" xr:uid="{00000000-0005-0000-0000-0000C4020000}"/>
    <cellStyle name="Migliaia [0] 44 3 2" xfId="2668" xr:uid="{00000000-0005-0000-0000-0000C5020000}"/>
    <cellStyle name="Migliaia [0] 45" xfId="417" xr:uid="{00000000-0005-0000-0000-0000C6020000}"/>
    <cellStyle name="Migliaia [0] 45 2" xfId="2096" xr:uid="{00000000-0005-0000-0000-0000C7020000}"/>
    <cellStyle name="Migliaia [0] 45 2 2" xfId="2097" xr:uid="{00000000-0005-0000-0000-0000C8020000}"/>
    <cellStyle name="Migliaia [0] 45 2 2 2" xfId="2669" xr:uid="{00000000-0005-0000-0000-0000C9020000}"/>
    <cellStyle name="Migliaia [0] 45 3" xfId="2098" xr:uid="{00000000-0005-0000-0000-0000CA020000}"/>
    <cellStyle name="Migliaia [0] 45 3 2" xfId="2670" xr:uid="{00000000-0005-0000-0000-0000CB020000}"/>
    <cellStyle name="Migliaia [0] 46" xfId="418" xr:uid="{00000000-0005-0000-0000-0000CC020000}"/>
    <cellStyle name="Migliaia [0] 46 2" xfId="2099" xr:uid="{00000000-0005-0000-0000-0000CD020000}"/>
    <cellStyle name="Migliaia [0] 46 2 2" xfId="2100" xr:uid="{00000000-0005-0000-0000-0000CE020000}"/>
    <cellStyle name="Migliaia [0] 46 2 2 2" xfId="2671" xr:uid="{00000000-0005-0000-0000-0000CF020000}"/>
    <cellStyle name="Migliaia [0] 46 3" xfId="2101" xr:uid="{00000000-0005-0000-0000-0000D0020000}"/>
    <cellStyle name="Migliaia [0] 46 3 2" xfId="2672" xr:uid="{00000000-0005-0000-0000-0000D1020000}"/>
    <cellStyle name="Migliaia [0] 47" xfId="419" xr:uid="{00000000-0005-0000-0000-0000D2020000}"/>
    <cellStyle name="Migliaia [0] 47 2" xfId="2102" xr:uid="{00000000-0005-0000-0000-0000D3020000}"/>
    <cellStyle name="Migliaia [0] 47 2 2" xfId="2103" xr:uid="{00000000-0005-0000-0000-0000D4020000}"/>
    <cellStyle name="Migliaia [0] 47 2 2 2" xfId="2673" xr:uid="{00000000-0005-0000-0000-0000D5020000}"/>
    <cellStyle name="Migliaia [0] 47 3" xfId="2104" xr:uid="{00000000-0005-0000-0000-0000D6020000}"/>
    <cellStyle name="Migliaia [0] 47 3 2" xfId="2674" xr:uid="{00000000-0005-0000-0000-0000D7020000}"/>
    <cellStyle name="Migliaia [0] 48" xfId="420" xr:uid="{00000000-0005-0000-0000-0000D8020000}"/>
    <cellStyle name="Migliaia [0] 48 2" xfId="2105" xr:uid="{00000000-0005-0000-0000-0000D9020000}"/>
    <cellStyle name="Migliaia [0] 48 2 2" xfId="2106" xr:uid="{00000000-0005-0000-0000-0000DA020000}"/>
    <cellStyle name="Migliaia [0] 48 2 2 2" xfId="2675" xr:uid="{00000000-0005-0000-0000-0000DB020000}"/>
    <cellStyle name="Migliaia [0] 48 3" xfId="2107" xr:uid="{00000000-0005-0000-0000-0000DC020000}"/>
    <cellStyle name="Migliaia [0] 48 3 2" xfId="2676" xr:uid="{00000000-0005-0000-0000-0000DD020000}"/>
    <cellStyle name="Migliaia [0] 49" xfId="421" xr:uid="{00000000-0005-0000-0000-0000DE020000}"/>
    <cellStyle name="Migliaia [0] 49 2" xfId="2108" xr:uid="{00000000-0005-0000-0000-0000DF020000}"/>
    <cellStyle name="Migliaia [0] 49 2 2" xfId="2109" xr:uid="{00000000-0005-0000-0000-0000E0020000}"/>
    <cellStyle name="Migliaia [0] 49 2 2 2" xfId="2677" xr:uid="{00000000-0005-0000-0000-0000E1020000}"/>
    <cellStyle name="Migliaia [0] 49 3" xfId="2110" xr:uid="{00000000-0005-0000-0000-0000E2020000}"/>
    <cellStyle name="Migliaia [0] 49 3 2" xfId="2678" xr:uid="{00000000-0005-0000-0000-0000E3020000}"/>
    <cellStyle name="Migliaia [0] 5" xfId="422" xr:uid="{00000000-0005-0000-0000-0000E4020000}"/>
    <cellStyle name="Migliaia [0] 5 2" xfId="2111" xr:uid="{00000000-0005-0000-0000-0000E5020000}"/>
    <cellStyle name="Migliaia [0] 5 2 2" xfId="2112" xr:uid="{00000000-0005-0000-0000-0000E6020000}"/>
    <cellStyle name="Migliaia [0] 5 2 2 2" xfId="2679" xr:uid="{00000000-0005-0000-0000-0000E7020000}"/>
    <cellStyle name="Migliaia [0] 5 3" xfId="2113" xr:uid="{00000000-0005-0000-0000-0000E8020000}"/>
    <cellStyle name="Migliaia [0] 5 3 2" xfId="2680" xr:uid="{00000000-0005-0000-0000-0000E9020000}"/>
    <cellStyle name="Migliaia [0] 50" xfId="423" xr:uid="{00000000-0005-0000-0000-0000EA020000}"/>
    <cellStyle name="Migliaia [0] 50 2" xfId="2114" xr:uid="{00000000-0005-0000-0000-0000EB020000}"/>
    <cellStyle name="Migliaia [0] 50 2 2" xfId="2115" xr:uid="{00000000-0005-0000-0000-0000EC020000}"/>
    <cellStyle name="Migliaia [0] 50 2 2 2" xfId="2681" xr:uid="{00000000-0005-0000-0000-0000ED020000}"/>
    <cellStyle name="Migliaia [0] 50 3" xfId="2116" xr:uid="{00000000-0005-0000-0000-0000EE020000}"/>
    <cellStyle name="Migliaia [0] 50 3 2" xfId="2682" xr:uid="{00000000-0005-0000-0000-0000EF020000}"/>
    <cellStyle name="Migliaia [0] 51" xfId="424" xr:uid="{00000000-0005-0000-0000-0000F0020000}"/>
    <cellStyle name="Migliaia [0] 51 2" xfId="2117" xr:uid="{00000000-0005-0000-0000-0000F1020000}"/>
    <cellStyle name="Migliaia [0] 51 2 2" xfId="2118" xr:uid="{00000000-0005-0000-0000-0000F2020000}"/>
    <cellStyle name="Migliaia [0] 51 2 2 2" xfId="2683" xr:uid="{00000000-0005-0000-0000-0000F3020000}"/>
    <cellStyle name="Migliaia [0] 51 3" xfId="2119" xr:uid="{00000000-0005-0000-0000-0000F4020000}"/>
    <cellStyle name="Migliaia [0] 51 3 2" xfId="2684" xr:uid="{00000000-0005-0000-0000-0000F5020000}"/>
    <cellStyle name="Migliaia [0] 52" xfId="425" xr:uid="{00000000-0005-0000-0000-0000F6020000}"/>
    <cellStyle name="Migliaia [0] 52 2" xfId="2120" xr:uid="{00000000-0005-0000-0000-0000F7020000}"/>
    <cellStyle name="Migliaia [0] 52 2 2" xfId="2121" xr:uid="{00000000-0005-0000-0000-0000F8020000}"/>
    <cellStyle name="Migliaia [0] 52 2 2 2" xfId="2685" xr:uid="{00000000-0005-0000-0000-0000F9020000}"/>
    <cellStyle name="Migliaia [0] 52 3" xfId="2122" xr:uid="{00000000-0005-0000-0000-0000FA020000}"/>
    <cellStyle name="Migliaia [0] 52 3 2" xfId="2686" xr:uid="{00000000-0005-0000-0000-0000FB020000}"/>
    <cellStyle name="Migliaia [0] 53" xfId="426" xr:uid="{00000000-0005-0000-0000-0000FC020000}"/>
    <cellStyle name="Migliaia [0] 53 2" xfId="2123" xr:uid="{00000000-0005-0000-0000-0000FD020000}"/>
    <cellStyle name="Migliaia [0] 53 2 2" xfId="2124" xr:uid="{00000000-0005-0000-0000-0000FE020000}"/>
    <cellStyle name="Migliaia [0] 53 2 2 2" xfId="2687" xr:uid="{00000000-0005-0000-0000-0000FF020000}"/>
    <cellStyle name="Migliaia [0] 53 3" xfId="2125" xr:uid="{00000000-0005-0000-0000-000000030000}"/>
    <cellStyle name="Migliaia [0] 53 3 2" xfId="2688" xr:uid="{00000000-0005-0000-0000-000001030000}"/>
    <cellStyle name="Migliaia [0] 54" xfId="427" xr:uid="{00000000-0005-0000-0000-000002030000}"/>
    <cellStyle name="Migliaia [0] 54 2" xfId="2126" xr:uid="{00000000-0005-0000-0000-000003030000}"/>
    <cellStyle name="Migliaia [0] 54 2 2" xfId="2127" xr:uid="{00000000-0005-0000-0000-000004030000}"/>
    <cellStyle name="Migliaia [0] 54 2 2 2" xfId="2689" xr:uid="{00000000-0005-0000-0000-000005030000}"/>
    <cellStyle name="Migliaia [0] 54 3" xfId="2128" xr:uid="{00000000-0005-0000-0000-000006030000}"/>
    <cellStyle name="Migliaia [0] 54 3 2" xfId="2690" xr:uid="{00000000-0005-0000-0000-000007030000}"/>
    <cellStyle name="Migliaia [0] 55" xfId="428" xr:uid="{00000000-0005-0000-0000-000008030000}"/>
    <cellStyle name="Migliaia [0] 55 2" xfId="2129" xr:uid="{00000000-0005-0000-0000-000009030000}"/>
    <cellStyle name="Migliaia [0] 55 2 2" xfId="2130" xr:uid="{00000000-0005-0000-0000-00000A030000}"/>
    <cellStyle name="Migliaia [0] 55 2 2 2" xfId="2691" xr:uid="{00000000-0005-0000-0000-00000B030000}"/>
    <cellStyle name="Migliaia [0] 55 3" xfId="2131" xr:uid="{00000000-0005-0000-0000-00000C030000}"/>
    <cellStyle name="Migliaia [0] 55 3 2" xfId="2692" xr:uid="{00000000-0005-0000-0000-00000D030000}"/>
    <cellStyle name="Migliaia [0] 56" xfId="429" xr:uid="{00000000-0005-0000-0000-00000E030000}"/>
    <cellStyle name="Migliaia [0] 56 2" xfId="2132" xr:uid="{00000000-0005-0000-0000-00000F030000}"/>
    <cellStyle name="Migliaia [0] 56 2 2" xfId="2133" xr:uid="{00000000-0005-0000-0000-000010030000}"/>
    <cellStyle name="Migliaia [0] 56 2 2 2" xfId="2693" xr:uid="{00000000-0005-0000-0000-000011030000}"/>
    <cellStyle name="Migliaia [0] 56 3" xfId="2134" xr:uid="{00000000-0005-0000-0000-000012030000}"/>
    <cellStyle name="Migliaia [0] 56 3 2" xfId="2694" xr:uid="{00000000-0005-0000-0000-000013030000}"/>
    <cellStyle name="Migliaia [0] 57" xfId="430" xr:uid="{00000000-0005-0000-0000-000014030000}"/>
    <cellStyle name="Migliaia [0] 57 2" xfId="2135" xr:uid="{00000000-0005-0000-0000-000015030000}"/>
    <cellStyle name="Migliaia [0] 57 2 2" xfId="2136" xr:uid="{00000000-0005-0000-0000-000016030000}"/>
    <cellStyle name="Migliaia [0] 57 2 2 2" xfId="2695" xr:uid="{00000000-0005-0000-0000-000017030000}"/>
    <cellStyle name="Migliaia [0] 57 3" xfId="2137" xr:uid="{00000000-0005-0000-0000-000018030000}"/>
    <cellStyle name="Migliaia [0] 57 3 2" xfId="2696" xr:uid="{00000000-0005-0000-0000-000019030000}"/>
    <cellStyle name="Migliaia [0] 58" xfId="431" xr:uid="{00000000-0005-0000-0000-00001A030000}"/>
    <cellStyle name="Migliaia [0] 58 2" xfId="2138" xr:uid="{00000000-0005-0000-0000-00001B030000}"/>
    <cellStyle name="Migliaia [0] 58 2 2" xfId="2139" xr:uid="{00000000-0005-0000-0000-00001C030000}"/>
    <cellStyle name="Migliaia [0] 58 2 2 2" xfId="2697" xr:uid="{00000000-0005-0000-0000-00001D030000}"/>
    <cellStyle name="Migliaia [0] 58 3" xfId="2140" xr:uid="{00000000-0005-0000-0000-00001E030000}"/>
    <cellStyle name="Migliaia [0] 58 3 2" xfId="2698" xr:uid="{00000000-0005-0000-0000-00001F030000}"/>
    <cellStyle name="Migliaia [0] 59" xfId="432" xr:uid="{00000000-0005-0000-0000-000020030000}"/>
    <cellStyle name="Migliaia [0] 59 2" xfId="2141" xr:uid="{00000000-0005-0000-0000-000021030000}"/>
    <cellStyle name="Migliaia [0] 59 2 2" xfId="2142" xr:uid="{00000000-0005-0000-0000-000022030000}"/>
    <cellStyle name="Migliaia [0] 59 2 2 2" xfId="2699" xr:uid="{00000000-0005-0000-0000-000023030000}"/>
    <cellStyle name="Migliaia [0] 59 3" xfId="2143" xr:uid="{00000000-0005-0000-0000-000024030000}"/>
    <cellStyle name="Migliaia [0] 59 3 2" xfId="2700" xr:uid="{00000000-0005-0000-0000-000025030000}"/>
    <cellStyle name="Migliaia [0] 6" xfId="433" xr:uid="{00000000-0005-0000-0000-000026030000}"/>
    <cellStyle name="Migliaia [0] 6 2" xfId="2144" xr:uid="{00000000-0005-0000-0000-000027030000}"/>
    <cellStyle name="Migliaia [0] 6 2 2" xfId="2145" xr:uid="{00000000-0005-0000-0000-000028030000}"/>
    <cellStyle name="Migliaia [0] 6 2 2 2" xfId="2701" xr:uid="{00000000-0005-0000-0000-000029030000}"/>
    <cellStyle name="Migliaia [0] 6 3" xfId="2146" xr:uid="{00000000-0005-0000-0000-00002A030000}"/>
    <cellStyle name="Migliaia [0] 6 3 2" xfId="2702" xr:uid="{00000000-0005-0000-0000-00002B030000}"/>
    <cellStyle name="Migliaia [0] 7" xfId="434" xr:uid="{00000000-0005-0000-0000-00002C030000}"/>
    <cellStyle name="Migliaia [0] 7 2" xfId="2147" xr:uid="{00000000-0005-0000-0000-00002D030000}"/>
    <cellStyle name="Migliaia [0] 7 2 2" xfId="2148" xr:uid="{00000000-0005-0000-0000-00002E030000}"/>
    <cellStyle name="Migliaia [0] 7 2 2 2" xfId="2703" xr:uid="{00000000-0005-0000-0000-00002F030000}"/>
    <cellStyle name="Migliaia [0] 7 3" xfId="2149" xr:uid="{00000000-0005-0000-0000-000030030000}"/>
    <cellStyle name="Migliaia [0] 7 3 2" xfId="2704" xr:uid="{00000000-0005-0000-0000-000031030000}"/>
    <cellStyle name="Migliaia [0] 8" xfId="435" xr:uid="{00000000-0005-0000-0000-000032030000}"/>
    <cellStyle name="Migliaia [0] 8 2" xfId="2150" xr:uid="{00000000-0005-0000-0000-000033030000}"/>
    <cellStyle name="Migliaia [0] 8 2 2" xfId="2151" xr:uid="{00000000-0005-0000-0000-000034030000}"/>
    <cellStyle name="Migliaia [0] 8 2 2 2" xfId="2705" xr:uid="{00000000-0005-0000-0000-000035030000}"/>
    <cellStyle name="Migliaia [0] 8 3" xfId="2152" xr:uid="{00000000-0005-0000-0000-000036030000}"/>
    <cellStyle name="Migliaia [0] 8 3 2" xfId="2706" xr:uid="{00000000-0005-0000-0000-000037030000}"/>
    <cellStyle name="Migliaia [0] 9" xfId="436" xr:uid="{00000000-0005-0000-0000-000038030000}"/>
    <cellStyle name="Migliaia [0] 9 2" xfId="2153" xr:uid="{00000000-0005-0000-0000-000039030000}"/>
    <cellStyle name="Migliaia [0] 9 2 2" xfId="2154" xr:uid="{00000000-0005-0000-0000-00003A030000}"/>
    <cellStyle name="Migliaia [0] 9 2 2 2" xfId="2707" xr:uid="{00000000-0005-0000-0000-00003B030000}"/>
    <cellStyle name="Migliaia [0] 9 3" xfId="2155" xr:uid="{00000000-0005-0000-0000-00003C030000}"/>
    <cellStyle name="Migliaia [0] 9 3 2" xfId="2708" xr:uid="{00000000-0005-0000-0000-00003D030000}"/>
    <cellStyle name="Migliaia 10" xfId="437" xr:uid="{00000000-0005-0000-0000-00003E030000}"/>
    <cellStyle name="Migliaia 10 2" xfId="438" xr:uid="{00000000-0005-0000-0000-00003F030000}"/>
    <cellStyle name="Migliaia 10 2 2" xfId="2156" xr:uid="{00000000-0005-0000-0000-000040030000}"/>
    <cellStyle name="Migliaia 10 2 2 2" xfId="2709" xr:uid="{00000000-0005-0000-0000-000041030000}"/>
    <cellStyle name="Migliaia 10 3" xfId="439" xr:uid="{00000000-0005-0000-0000-000042030000}"/>
    <cellStyle name="Migliaia 10 3 2" xfId="440" xr:uid="{00000000-0005-0000-0000-000043030000}"/>
    <cellStyle name="Migliaia 10 3 2 2" xfId="441" xr:uid="{00000000-0005-0000-0000-000044030000}"/>
    <cellStyle name="Migliaia 10 4" xfId="442" xr:uid="{00000000-0005-0000-0000-000045030000}"/>
    <cellStyle name="Migliaia 10 4 2" xfId="2157" xr:uid="{00000000-0005-0000-0000-000046030000}"/>
    <cellStyle name="Migliaia 10 4 2 2" xfId="2710" xr:uid="{00000000-0005-0000-0000-000047030000}"/>
    <cellStyle name="Migliaia 10 5" xfId="443" xr:uid="{00000000-0005-0000-0000-000048030000}"/>
    <cellStyle name="Migliaia 11" xfId="444" xr:uid="{00000000-0005-0000-0000-000049030000}"/>
    <cellStyle name="Migliaia 11 2" xfId="445" xr:uid="{00000000-0005-0000-0000-00004A030000}"/>
    <cellStyle name="Migliaia 11 2 2" xfId="2158" xr:uid="{00000000-0005-0000-0000-00004B030000}"/>
    <cellStyle name="Migliaia 11 2 2 2" xfId="2711" xr:uid="{00000000-0005-0000-0000-00004C030000}"/>
    <cellStyle name="Migliaia 11 3" xfId="446" xr:uid="{00000000-0005-0000-0000-00004D030000}"/>
    <cellStyle name="Migliaia 11 3 2" xfId="447" xr:uid="{00000000-0005-0000-0000-00004E030000}"/>
    <cellStyle name="Migliaia 11 3 2 2" xfId="448" xr:uid="{00000000-0005-0000-0000-00004F030000}"/>
    <cellStyle name="Migliaia 11 4" xfId="449" xr:uid="{00000000-0005-0000-0000-000050030000}"/>
    <cellStyle name="Migliaia 11 4 2" xfId="2159" xr:uid="{00000000-0005-0000-0000-000051030000}"/>
    <cellStyle name="Migliaia 11 4 2 2" xfId="2712" xr:uid="{00000000-0005-0000-0000-000052030000}"/>
    <cellStyle name="Migliaia 11 5" xfId="450" xr:uid="{00000000-0005-0000-0000-000053030000}"/>
    <cellStyle name="Migliaia 12" xfId="451" xr:uid="{00000000-0005-0000-0000-000054030000}"/>
    <cellStyle name="Migliaia 12 2" xfId="452" xr:uid="{00000000-0005-0000-0000-000055030000}"/>
    <cellStyle name="Migliaia 12 2 2" xfId="2160" xr:uid="{00000000-0005-0000-0000-000056030000}"/>
    <cellStyle name="Migliaia 12 2 2 2" xfId="2713" xr:uid="{00000000-0005-0000-0000-000057030000}"/>
    <cellStyle name="Migliaia 12 3" xfId="453" xr:uid="{00000000-0005-0000-0000-000058030000}"/>
    <cellStyle name="Migliaia 12 3 2" xfId="454" xr:uid="{00000000-0005-0000-0000-000059030000}"/>
    <cellStyle name="Migliaia 12 3 2 2" xfId="455" xr:uid="{00000000-0005-0000-0000-00005A030000}"/>
    <cellStyle name="Migliaia 12 4" xfId="456" xr:uid="{00000000-0005-0000-0000-00005B030000}"/>
    <cellStyle name="Migliaia 12 4 2" xfId="2161" xr:uid="{00000000-0005-0000-0000-00005C030000}"/>
    <cellStyle name="Migliaia 12 4 2 2" xfId="2714" xr:uid="{00000000-0005-0000-0000-00005D030000}"/>
    <cellStyle name="Migliaia 12 5" xfId="457" xr:uid="{00000000-0005-0000-0000-00005E030000}"/>
    <cellStyle name="Migliaia 13" xfId="458" xr:uid="{00000000-0005-0000-0000-00005F030000}"/>
    <cellStyle name="Migliaia 13 2" xfId="459" xr:uid="{00000000-0005-0000-0000-000060030000}"/>
    <cellStyle name="Migliaia 13 2 2" xfId="2162" xr:uid="{00000000-0005-0000-0000-000061030000}"/>
    <cellStyle name="Migliaia 13 2 2 2" xfId="2715" xr:uid="{00000000-0005-0000-0000-000062030000}"/>
    <cellStyle name="Migliaia 13 3" xfId="460" xr:uid="{00000000-0005-0000-0000-000063030000}"/>
    <cellStyle name="Migliaia 13 3 2" xfId="461" xr:uid="{00000000-0005-0000-0000-000064030000}"/>
    <cellStyle name="Migliaia 13 3 2 2" xfId="462" xr:uid="{00000000-0005-0000-0000-000065030000}"/>
    <cellStyle name="Migliaia 13 4" xfId="463" xr:uid="{00000000-0005-0000-0000-000066030000}"/>
    <cellStyle name="Migliaia 13 4 2" xfId="2163" xr:uid="{00000000-0005-0000-0000-000067030000}"/>
    <cellStyle name="Migliaia 13 4 2 2" xfId="2716" xr:uid="{00000000-0005-0000-0000-000068030000}"/>
    <cellStyle name="Migliaia 13 5" xfId="464" xr:uid="{00000000-0005-0000-0000-000069030000}"/>
    <cellStyle name="Migliaia 14" xfId="465" xr:uid="{00000000-0005-0000-0000-00006A030000}"/>
    <cellStyle name="Migliaia 14 2" xfId="466" xr:uid="{00000000-0005-0000-0000-00006B030000}"/>
    <cellStyle name="Migliaia 14 2 2" xfId="2164" xr:uid="{00000000-0005-0000-0000-00006C030000}"/>
    <cellStyle name="Migliaia 14 2 2 2" xfId="2717" xr:uid="{00000000-0005-0000-0000-00006D030000}"/>
    <cellStyle name="Migliaia 14 3" xfId="467" xr:uid="{00000000-0005-0000-0000-00006E030000}"/>
    <cellStyle name="Migliaia 14 3 2" xfId="468" xr:uid="{00000000-0005-0000-0000-00006F030000}"/>
    <cellStyle name="Migliaia 14 3 2 2" xfId="469" xr:uid="{00000000-0005-0000-0000-000070030000}"/>
    <cellStyle name="Migliaia 14 4" xfId="470" xr:uid="{00000000-0005-0000-0000-000071030000}"/>
    <cellStyle name="Migliaia 14 4 2" xfId="2165" xr:uid="{00000000-0005-0000-0000-000072030000}"/>
    <cellStyle name="Migliaia 14 4 2 2" xfId="2718" xr:uid="{00000000-0005-0000-0000-000073030000}"/>
    <cellStyle name="Migliaia 14 5" xfId="471" xr:uid="{00000000-0005-0000-0000-000074030000}"/>
    <cellStyle name="Migliaia 15" xfId="472" xr:uid="{00000000-0005-0000-0000-000075030000}"/>
    <cellStyle name="Migliaia 15 2" xfId="473" xr:uid="{00000000-0005-0000-0000-000076030000}"/>
    <cellStyle name="Migliaia 15 2 2" xfId="2166" xr:uid="{00000000-0005-0000-0000-000077030000}"/>
    <cellStyle name="Migliaia 15 2 2 2" xfId="2719" xr:uid="{00000000-0005-0000-0000-000078030000}"/>
    <cellStyle name="Migliaia 15 3" xfId="474" xr:uid="{00000000-0005-0000-0000-000079030000}"/>
    <cellStyle name="Migliaia 15 3 2" xfId="475" xr:uid="{00000000-0005-0000-0000-00007A030000}"/>
    <cellStyle name="Migliaia 15 3 2 2" xfId="476" xr:uid="{00000000-0005-0000-0000-00007B030000}"/>
    <cellStyle name="Migliaia 15 4" xfId="477" xr:uid="{00000000-0005-0000-0000-00007C030000}"/>
    <cellStyle name="Migliaia 15 4 2" xfId="2167" xr:uid="{00000000-0005-0000-0000-00007D030000}"/>
    <cellStyle name="Migliaia 15 4 2 2" xfId="2720" xr:uid="{00000000-0005-0000-0000-00007E030000}"/>
    <cellStyle name="Migliaia 15 5" xfId="478" xr:uid="{00000000-0005-0000-0000-00007F030000}"/>
    <cellStyle name="Migliaia 16" xfId="479" xr:uid="{00000000-0005-0000-0000-000080030000}"/>
    <cellStyle name="Migliaia 16 2" xfId="480" xr:uid="{00000000-0005-0000-0000-000081030000}"/>
    <cellStyle name="Migliaia 16 2 2" xfId="2168" xr:uid="{00000000-0005-0000-0000-000082030000}"/>
    <cellStyle name="Migliaia 16 2 2 2" xfId="2721" xr:uid="{00000000-0005-0000-0000-000083030000}"/>
    <cellStyle name="Migliaia 16 3" xfId="481" xr:uid="{00000000-0005-0000-0000-000084030000}"/>
    <cellStyle name="Migliaia 16 3 2" xfId="482" xr:uid="{00000000-0005-0000-0000-000085030000}"/>
    <cellStyle name="Migliaia 16 3 2 2" xfId="483" xr:uid="{00000000-0005-0000-0000-000086030000}"/>
    <cellStyle name="Migliaia 16 4" xfId="484" xr:uid="{00000000-0005-0000-0000-000087030000}"/>
    <cellStyle name="Migliaia 16 4 2" xfId="2169" xr:uid="{00000000-0005-0000-0000-000088030000}"/>
    <cellStyle name="Migliaia 16 4 2 2" xfId="2722" xr:uid="{00000000-0005-0000-0000-000089030000}"/>
    <cellStyle name="Migliaia 16 5" xfId="485" xr:uid="{00000000-0005-0000-0000-00008A030000}"/>
    <cellStyle name="Migliaia 17" xfId="486" xr:uid="{00000000-0005-0000-0000-00008B030000}"/>
    <cellStyle name="Migliaia 17 2" xfId="487" xr:uid="{00000000-0005-0000-0000-00008C030000}"/>
    <cellStyle name="Migliaia 17 2 2" xfId="2170" xr:uid="{00000000-0005-0000-0000-00008D030000}"/>
    <cellStyle name="Migliaia 17 2 2 2" xfId="2723" xr:uid="{00000000-0005-0000-0000-00008E030000}"/>
    <cellStyle name="Migliaia 17 3" xfId="488" xr:uid="{00000000-0005-0000-0000-00008F030000}"/>
    <cellStyle name="Migliaia 17 3 2" xfId="489" xr:uid="{00000000-0005-0000-0000-000090030000}"/>
    <cellStyle name="Migliaia 17 3 2 2" xfId="490" xr:uid="{00000000-0005-0000-0000-000091030000}"/>
    <cellStyle name="Migliaia 17 4" xfId="491" xr:uid="{00000000-0005-0000-0000-000092030000}"/>
    <cellStyle name="Migliaia 17 4 2" xfId="2171" xr:uid="{00000000-0005-0000-0000-000093030000}"/>
    <cellStyle name="Migliaia 17 4 2 2" xfId="2724" xr:uid="{00000000-0005-0000-0000-000094030000}"/>
    <cellStyle name="Migliaia 17 5" xfId="492" xr:uid="{00000000-0005-0000-0000-000095030000}"/>
    <cellStyle name="Migliaia 18" xfId="493" xr:uid="{00000000-0005-0000-0000-000096030000}"/>
    <cellStyle name="Migliaia 18 2" xfId="494" xr:uid="{00000000-0005-0000-0000-000097030000}"/>
    <cellStyle name="Migliaia 18 2 2" xfId="2172" xr:uid="{00000000-0005-0000-0000-000098030000}"/>
    <cellStyle name="Migliaia 18 2 2 2" xfId="2725" xr:uid="{00000000-0005-0000-0000-000099030000}"/>
    <cellStyle name="Migliaia 18 3" xfId="495" xr:uid="{00000000-0005-0000-0000-00009A030000}"/>
    <cellStyle name="Migliaia 18 3 2" xfId="496" xr:uid="{00000000-0005-0000-0000-00009B030000}"/>
    <cellStyle name="Migliaia 18 3 2 2" xfId="497" xr:uid="{00000000-0005-0000-0000-00009C030000}"/>
    <cellStyle name="Migliaia 18 4" xfId="498" xr:uid="{00000000-0005-0000-0000-00009D030000}"/>
    <cellStyle name="Migliaia 18 4 2" xfId="2173" xr:uid="{00000000-0005-0000-0000-00009E030000}"/>
    <cellStyle name="Migliaia 18 4 2 2" xfId="2726" xr:uid="{00000000-0005-0000-0000-00009F030000}"/>
    <cellStyle name="Migliaia 18 5" xfId="499" xr:uid="{00000000-0005-0000-0000-0000A0030000}"/>
    <cellStyle name="Migliaia 19" xfId="500" xr:uid="{00000000-0005-0000-0000-0000A1030000}"/>
    <cellStyle name="Migliaia 19 2" xfId="501" xr:uid="{00000000-0005-0000-0000-0000A2030000}"/>
    <cellStyle name="Migliaia 19 2 2" xfId="2174" xr:uid="{00000000-0005-0000-0000-0000A3030000}"/>
    <cellStyle name="Migliaia 19 2 2 2" xfId="2727" xr:uid="{00000000-0005-0000-0000-0000A4030000}"/>
    <cellStyle name="Migliaia 19 3" xfId="502" xr:uid="{00000000-0005-0000-0000-0000A5030000}"/>
    <cellStyle name="Migliaia 19 3 2" xfId="503" xr:uid="{00000000-0005-0000-0000-0000A6030000}"/>
    <cellStyle name="Migliaia 19 3 2 2" xfId="504" xr:uid="{00000000-0005-0000-0000-0000A7030000}"/>
    <cellStyle name="Migliaia 19 4" xfId="505" xr:uid="{00000000-0005-0000-0000-0000A8030000}"/>
    <cellStyle name="Migliaia 19 4 2" xfId="2175" xr:uid="{00000000-0005-0000-0000-0000A9030000}"/>
    <cellStyle name="Migliaia 19 4 2 2" xfId="2728" xr:uid="{00000000-0005-0000-0000-0000AA030000}"/>
    <cellStyle name="Migliaia 19 5" xfId="506" xr:uid="{00000000-0005-0000-0000-0000AB030000}"/>
    <cellStyle name="Migliaia 2" xfId="507" xr:uid="{00000000-0005-0000-0000-0000AC030000}"/>
    <cellStyle name="Migliaia 2 2" xfId="508" xr:uid="{00000000-0005-0000-0000-0000AD030000}"/>
    <cellStyle name="Migliaia 2 2 2" xfId="509" xr:uid="{00000000-0005-0000-0000-0000AE030000}"/>
    <cellStyle name="Migliaia 2 2 2 2" xfId="2176" xr:uid="{00000000-0005-0000-0000-0000AF030000}"/>
    <cellStyle name="Migliaia 2 2 2 2 2" xfId="2729" xr:uid="{00000000-0005-0000-0000-0000B0030000}"/>
    <cellStyle name="Migliaia 2 2 3" xfId="2177" xr:uid="{00000000-0005-0000-0000-0000B1030000}"/>
    <cellStyle name="Migliaia 2 2 3 2" xfId="2730" xr:uid="{00000000-0005-0000-0000-0000B2030000}"/>
    <cellStyle name="Migliaia 2 3" xfId="510" xr:uid="{00000000-0005-0000-0000-0000B3030000}"/>
    <cellStyle name="Migliaia 2 3 2" xfId="511" xr:uid="{00000000-0005-0000-0000-0000B4030000}"/>
    <cellStyle name="Migliaia 2 3 2 2" xfId="2178" xr:uid="{00000000-0005-0000-0000-0000B5030000}"/>
    <cellStyle name="Migliaia 2 3 2 2 2" xfId="2731" xr:uid="{00000000-0005-0000-0000-0000B6030000}"/>
    <cellStyle name="Migliaia 2 3 3" xfId="2179" xr:uid="{00000000-0005-0000-0000-0000B7030000}"/>
    <cellStyle name="Migliaia 2 3 3 2" xfId="2732" xr:uid="{00000000-0005-0000-0000-0000B8030000}"/>
    <cellStyle name="Migliaia 2 4" xfId="512" xr:uid="{00000000-0005-0000-0000-0000B9030000}"/>
    <cellStyle name="Migliaia 2 4 2" xfId="513" xr:uid="{00000000-0005-0000-0000-0000BA030000}"/>
    <cellStyle name="Migliaia 2 4 2 2" xfId="514" xr:uid="{00000000-0005-0000-0000-0000BB030000}"/>
    <cellStyle name="Migliaia 2 5" xfId="515" xr:uid="{00000000-0005-0000-0000-0000BC030000}"/>
    <cellStyle name="Migliaia 2 5 2" xfId="2180" xr:uid="{00000000-0005-0000-0000-0000BD030000}"/>
    <cellStyle name="Migliaia 2 5 2 2" xfId="2733" xr:uid="{00000000-0005-0000-0000-0000BE030000}"/>
    <cellStyle name="Migliaia 2 6" xfId="516" xr:uid="{00000000-0005-0000-0000-0000BF030000}"/>
    <cellStyle name="Migliaia 2_Domestico_reg&amp;naz" xfId="517" xr:uid="{00000000-0005-0000-0000-0000C0030000}"/>
    <cellStyle name="Migliaia 20" xfId="518" xr:uid="{00000000-0005-0000-0000-0000C1030000}"/>
    <cellStyle name="Migliaia 20 2" xfId="519" xr:uid="{00000000-0005-0000-0000-0000C2030000}"/>
    <cellStyle name="Migliaia 20 2 2" xfId="2181" xr:uid="{00000000-0005-0000-0000-0000C3030000}"/>
    <cellStyle name="Migliaia 20 2 2 2" xfId="2734" xr:uid="{00000000-0005-0000-0000-0000C4030000}"/>
    <cellStyle name="Migliaia 20 3" xfId="520" xr:uid="{00000000-0005-0000-0000-0000C5030000}"/>
    <cellStyle name="Migliaia 20 3 2" xfId="521" xr:uid="{00000000-0005-0000-0000-0000C6030000}"/>
    <cellStyle name="Migliaia 20 3 2 2" xfId="522" xr:uid="{00000000-0005-0000-0000-0000C7030000}"/>
    <cellStyle name="Migliaia 20 4" xfId="523" xr:uid="{00000000-0005-0000-0000-0000C8030000}"/>
    <cellStyle name="Migliaia 20 4 2" xfId="2182" xr:uid="{00000000-0005-0000-0000-0000C9030000}"/>
    <cellStyle name="Migliaia 20 4 2 2" xfId="2735" xr:uid="{00000000-0005-0000-0000-0000CA030000}"/>
    <cellStyle name="Migliaia 20 5" xfId="524" xr:uid="{00000000-0005-0000-0000-0000CB030000}"/>
    <cellStyle name="Migliaia 21" xfId="525" xr:uid="{00000000-0005-0000-0000-0000CC030000}"/>
    <cellStyle name="Migliaia 21 2" xfId="526" xr:uid="{00000000-0005-0000-0000-0000CD030000}"/>
    <cellStyle name="Migliaia 21 2 2" xfId="2183" xr:uid="{00000000-0005-0000-0000-0000CE030000}"/>
    <cellStyle name="Migliaia 21 2 2 2" xfId="2736" xr:uid="{00000000-0005-0000-0000-0000CF030000}"/>
    <cellStyle name="Migliaia 21 3" xfId="527" xr:uid="{00000000-0005-0000-0000-0000D0030000}"/>
    <cellStyle name="Migliaia 21 3 2" xfId="528" xr:uid="{00000000-0005-0000-0000-0000D1030000}"/>
    <cellStyle name="Migliaia 21 3 2 2" xfId="529" xr:uid="{00000000-0005-0000-0000-0000D2030000}"/>
    <cellStyle name="Migliaia 21 4" xfId="530" xr:uid="{00000000-0005-0000-0000-0000D3030000}"/>
    <cellStyle name="Migliaia 21 4 2" xfId="2184" xr:uid="{00000000-0005-0000-0000-0000D4030000}"/>
    <cellStyle name="Migliaia 21 4 2 2" xfId="2737" xr:uid="{00000000-0005-0000-0000-0000D5030000}"/>
    <cellStyle name="Migliaia 21 5" xfId="531" xr:uid="{00000000-0005-0000-0000-0000D6030000}"/>
    <cellStyle name="Migliaia 22" xfId="532" xr:uid="{00000000-0005-0000-0000-0000D7030000}"/>
    <cellStyle name="Migliaia 22 2" xfId="533" xr:uid="{00000000-0005-0000-0000-0000D8030000}"/>
    <cellStyle name="Migliaia 22 2 2" xfId="2185" xr:uid="{00000000-0005-0000-0000-0000D9030000}"/>
    <cellStyle name="Migliaia 22 2 2 2" xfId="2738" xr:uid="{00000000-0005-0000-0000-0000DA030000}"/>
    <cellStyle name="Migliaia 22 3" xfId="534" xr:uid="{00000000-0005-0000-0000-0000DB030000}"/>
    <cellStyle name="Migliaia 22 3 2" xfId="535" xr:uid="{00000000-0005-0000-0000-0000DC030000}"/>
    <cellStyle name="Migliaia 22 3 2 2" xfId="536" xr:uid="{00000000-0005-0000-0000-0000DD030000}"/>
    <cellStyle name="Migliaia 22 4" xfId="537" xr:uid="{00000000-0005-0000-0000-0000DE030000}"/>
    <cellStyle name="Migliaia 22 4 2" xfId="2186" xr:uid="{00000000-0005-0000-0000-0000DF030000}"/>
    <cellStyle name="Migliaia 22 4 2 2" xfId="2739" xr:uid="{00000000-0005-0000-0000-0000E0030000}"/>
    <cellStyle name="Migliaia 22 5" xfId="538" xr:uid="{00000000-0005-0000-0000-0000E1030000}"/>
    <cellStyle name="Migliaia 23" xfId="539" xr:uid="{00000000-0005-0000-0000-0000E2030000}"/>
    <cellStyle name="Migliaia 23 2" xfId="540" xr:uid="{00000000-0005-0000-0000-0000E3030000}"/>
    <cellStyle name="Migliaia 23 2 2" xfId="2187" xr:uid="{00000000-0005-0000-0000-0000E4030000}"/>
    <cellStyle name="Migliaia 23 2 2 2" xfId="2740" xr:uid="{00000000-0005-0000-0000-0000E5030000}"/>
    <cellStyle name="Migliaia 23 3" xfId="541" xr:uid="{00000000-0005-0000-0000-0000E6030000}"/>
    <cellStyle name="Migliaia 23 3 2" xfId="542" xr:uid="{00000000-0005-0000-0000-0000E7030000}"/>
    <cellStyle name="Migliaia 23 3 2 2" xfId="543" xr:uid="{00000000-0005-0000-0000-0000E8030000}"/>
    <cellStyle name="Migliaia 23 4" xfId="544" xr:uid="{00000000-0005-0000-0000-0000E9030000}"/>
    <cellStyle name="Migliaia 23 4 2" xfId="2188" xr:uid="{00000000-0005-0000-0000-0000EA030000}"/>
    <cellStyle name="Migliaia 23 4 2 2" xfId="2741" xr:uid="{00000000-0005-0000-0000-0000EB030000}"/>
    <cellStyle name="Migliaia 23 5" xfId="545" xr:uid="{00000000-0005-0000-0000-0000EC030000}"/>
    <cellStyle name="Migliaia 24" xfId="546" xr:uid="{00000000-0005-0000-0000-0000ED030000}"/>
    <cellStyle name="Migliaia 24 2" xfId="547" xr:uid="{00000000-0005-0000-0000-0000EE030000}"/>
    <cellStyle name="Migliaia 24 2 2" xfId="2189" xr:uid="{00000000-0005-0000-0000-0000EF030000}"/>
    <cellStyle name="Migliaia 24 2 2 2" xfId="2742" xr:uid="{00000000-0005-0000-0000-0000F0030000}"/>
    <cellStyle name="Migliaia 24 3" xfId="548" xr:uid="{00000000-0005-0000-0000-0000F1030000}"/>
    <cellStyle name="Migliaia 24 3 2" xfId="549" xr:uid="{00000000-0005-0000-0000-0000F2030000}"/>
    <cellStyle name="Migliaia 24 3 2 2" xfId="550" xr:uid="{00000000-0005-0000-0000-0000F3030000}"/>
    <cellStyle name="Migliaia 24 4" xfId="551" xr:uid="{00000000-0005-0000-0000-0000F4030000}"/>
    <cellStyle name="Migliaia 24 4 2" xfId="2190" xr:uid="{00000000-0005-0000-0000-0000F5030000}"/>
    <cellStyle name="Migliaia 24 4 2 2" xfId="2743" xr:uid="{00000000-0005-0000-0000-0000F6030000}"/>
    <cellStyle name="Migliaia 24 5" xfId="552" xr:uid="{00000000-0005-0000-0000-0000F7030000}"/>
    <cellStyle name="Migliaia 25" xfId="553" xr:uid="{00000000-0005-0000-0000-0000F8030000}"/>
    <cellStyle name="Migliaia 25 2" xfId="554" xr:uid="{00000000-0005-0000-0000-0000F9030000}"/>
    <cellStyle name="Migliaia 25 2 2" xfId="2191" xr:uid="{00000000-0005-0000-0000-0000FA030000}"/>
    <cellStyle name="Migliaia 25 2 2 2" xfId="2744" xr:uid="{00000000-0005-0000-0000-0000FB030000}"/>
    <cellStyle name="Migliaia 25 3" xfId="555" xr:uid="{00000000-0005-0000-0000-0000FC030000}"/>
    <cellStyle name="Migliaia 25 3 2" xfId="556" xr:uid="{00000000-0005-0000-0000-0000FD030000}"/>
    <cellStyle name="Migliaia 25 3 2 2" xfId="557" xr:uid="{00000000-0005-0000-0000-0000FE030000}"/>
    <cellStyle name="Migliaia 25 4" xfId="558" xr:uid="{00000000-0005-0000-0000-0000FF030000}"/>
    <cellStyle name="Migliaia 25 4 2" xfId="2192" xr:uid="{00000000-0005-0000-0000-000000040000}"/>
    <cellStyle name="Migliaia 25 4 2 2" xfId="2745" xr:uid="{00000000-0005-0000-0000-000001040000}"/>
    <cellStyle name="Migliaia 25 5" xfId="559" xr:uid="{00000000-0005-0000-0000-000002040000}"/>
    <cellStyle name="Migliaia 26" xfId="560" xr:uid="{00000000-0005-0000-0000-000003040000}"/>
    <cellStyle name="Migliaia 26 2" xfId="561" xr:uid="{00000000-0005-0000-0000-000004040000}"/>
    <cellStyle name="Migliaia 26 2 2" xfId="2193" xr:uid="{00000000-0005-0000-0000-000005040000}"/>
    <cellStyle name="Migliaia 26 2 2 2" xfId="2746" xr:uid="{00000000-0005-0000-0000-000006040000}"/>
    <cellStyle name="Migliaia 26 3" xfId="562" xr:uid="{00000000-0005-0000-0000-000007040000}"/>
    <cellStyle name="Migliaia 26 3 2" xfId="563" xr:uid="{00000000-0005-0000-0000-000008040000}"/>
    <cellStyle name="Migliaia 26 3 2 2" xfId="564" xr:uid="{00000000-0005-0000-0000-000009040000}"/>
    <cellStyle name="Migliaia 26 4" xfId="565" xr:uid="{00000000-0005-0000-0000-00000A040000}"/>
    <cellStyle name="Migliaia 26 4 2" xfId="2194" xr:uid="{00000000-0005-0000-0000-00000B040000}"/>
    <cellStyle name="Migliaia 26 4 2 2" xfId="2747" xr:uid="{00000000-0005-0000-0000-00000C040000}"/>
    <cellStyle name="Migliaia 26 5" xfId="566" xr:uid="{00000000-0005-0000-0000-00000D040000}"/>
    <cellStyle name="Migliaia 27" xfId="567" xr:uid="{00000000-0005-0000-0000-00000E040000}"/>
    <cellStyle name="Migliaia 27 2" xfId="568" xr:uid="{00000000-0005-0000-0000-00000F040000}"/>
    <cellStyle name="Migliaia 27 2 2" xfId="2195" xr:uid="{00000000-0005-0000-0000-000010040000}"/>
    <cellStyle name="Migliaia 27 2 2 2" xfId="2748" xr:uid="{00000000-0005-0000-0000-000011040000}"/>
    <cellStyle name="Migliaia 27 3" xfId="569" xr:uid="{00000000-0005-0000-0000-000012040000}"/>
    <cellStyle name="Migliaia 27 3 2" xfId="570" xr:uid="{00000000-0005-0000-0000-000013040000}"/>
    <cellStyle name="Migliaia 27 3 2 2" xfId="571" xr:uid="{00000000-0005-0000-0000-000014040000}"/>
    <cellStyle name="Migliaia 27 4" xfId="572" xr:uid="{00000000-0005-0000-0000-000015040000}"/>
    <cellStyle name="Migliaia 27 4 2" xfId="2196" xr:uid="{00000000-0005-0000-0000-000016040000}"/>
    <cellStyle name="Migliaia 27 4 2 2" xfId="2749" xr:uid="{00000000-0005-0000-0000-000017040000}"/>
    <cellStyle name="Migliaia 27 5" xfId="573" xr:uid="{00000000-0005-0000-0000-000018040000}"/>
    <cellStyle name="Migliaia 28" xfId="574" xr:uid="{00000000-0005-0000-0000-000019040000}"/>
    <cellStyle name="Migliaia 28 2" xfId="575" xr:uid="{00000000-0005-0000-0000-00001A040000}"/>
    <cellStyle name="Migliaia 28 2 2" xfId="2197" xr:uid="{00000000-0005-0000-0000-00001B040000}"/>
    <cellStyle name="Migliaia 28 2 2 2" xfId="2750" xr:uid="{00000000-0005-0000-0000-00001C040000}"/>
    <cellStyle name="Migliaia 28 3" xfId="576" xr:uid="{00000000-0005-0000-0000-00001D040000}"/>
    <cellStyle name="Migliaia 28 3 2" xfId="577" xr:uid="{00000000-0005-0000-0000-00001E040000}"/>
    <cellStyle name="Migliaia 28 3 2 2" xfId="578" xr:uid="{00000000-0005-0000-0000-00001F040000}"/>
    <cellStyle name="Migliaia 28 4" xfId="579" xr:uid="{00000000-0005-0000-0000-000020040000}"/>
    <cellStyle name="Migliaia 28 4 2" xfId="2198" xr:uid="{00000000-0005-0000-0000-000021040000}"/>
    <cellStyle name="Migliaia 28 4 2 2" xfId="2751" xr:uid="{00000000-0005-0000-0000-000022040000}"/>
    <cellStyle name="Migliaia 28 5" xfId="580" xr:uid="{00000000-0005-0000-0000-000023040000}"/>
    <cellStyle name="Migliaia 29" xfId="581" xr:uid="{00000000-0005-0000-0000-000024040000}"/>
    <cellStyle name="Migliaia 29 2" xfId="582" xr:uid="{00000000-0005-0000-0000-000025040000}"/>
    <cellStyle name="Migliaia 29 2 2" xfId="2199" xr:uid="{00000000-0005-0000-0000-000026040000}"/>
    <cellStyle name="Migliaia 29 2 2 2" xfId="2752" xr:uid="{00000000-0005-0000-0000-000027040000}"/>
    <cellStyle name="Migliaia 29 3" xfId="583" xr:uid="{00000000-0005-0000-0000-000028040000}"/>
    <cellStyle name="Migliaia 29 3 2" xfId="584" xr:uid="{00000000-0005-0000-0000-000029040000}"/>
    <cellStyle name="Migliaia 29 3 2 2" xfId="585" xr:uid="{00000000-0005-0000-0000-00002A040000}"/>
    <cellStyle name="Migliaia 29 4" xfId="586" xr:uid="{00000000-0005-0000-0000-00002B040000}"/>
    <cellStyle name="Migliaia 29 4 2" xfId="2200" xr:uid="{00000000-0005-0000-0000-00002C040000}"/>
    <cellStyle name="Migliaia 29 4 2 2" xfId="2753" xr:uid="{00000000-0005-0000-0000-00002D040000}"/>
    <cellStyle name="Migliaia 29 5" xfId="587" xr:uid="{00000000-0005-0000-0000-00002E040000}"/>
    <cellStyle name="Migliaia 3" xfId="588" xr:uid="{00000000-0005-0000-0000-00002F040000}"/>
    <cellStyle name="Migliaia 3 2" xfId="589" xr:uid="{00000000-0005-0000-0000-000030040000}"/>
    <cellStyle name="Migliaia 3 2 2" xfId="2201" xr:uid="{00000000-0005-0000-0000-000031040000}"/>
    <cellStyle name="Migliaia 3 2 2 2" xfId="2754" xr:uid="{00000000-0005-0000-0000-000032040000}"/>
    <cellStyle name="Migliaia 3 3" xfId="590" xr:uid="{00000000-0005-0000-0000-000033040000}"/>
    <cellStyle name="Migliaia 3 3 2" xfId="591" xr:uid="{00000000-0005-0000-0000-000034040000}"/>
    <cellStyle name="Migliaia 3 3 2 2" xfId="592" xr:uid="{00000000-0005-0000-0000-000035040000}"/>
    <cellStyle name="Migliaia 3 4" xfId="593" xr:uid="{00000000-0005-0000-0000-000036040000}"/>
    <cellStyle name="Migliaia 3 4 2" xfId="2202" xr:uid="{00000000-0005-0000-0000-000037040000}"/>
    <cellStyle name="Migliaia 3 4 2 2" xfId="2755" xr:uid="{00000000-0005-0000-0000-000038040000}"/>
    <cellStyle name="Migliaia 3 5" xfId="594" xr:uid="{00000000-0005-0000-0000-000039040000}"/>
    <cellStyle name="Migliaia 30" xfId="595" xr:uid="{00000000-0005-0000-0000-00003A040000}"/>
    <cellStyle name="Migliaia 30 2" xfId="596" xr:uid="{00000000-0005-0000-0000-00003B040000}"/>
    <cellStyle name="Migliaia 30 2 2" xfId="2203" xr:uid="{00000000-0005-0000-0000-00003C040000}"/>
    <cellStyle name="Migliaia 30 2 2 2" xfId="2756" xr:uid="{00000000-0005-0000-0000-00003D040000}"/>
    <cellStyle name="Migliaia 30 3" xfId="597" xr:uid="{00000000-0005-0000-0000-00003E040000}"/>
    <cellStyle name="Migliaia 30 3 2" xfId="598" xr:uid="{00000000-0005-0000-0000-00003F040000}"/>
    <cellStyle name="Migliaia 30 3 2 2" xfId="599" xr:uid="{00000000-0005-0000-0000-000040040000}"/>
    <cellStyle name="Migliaia 30 4" xfId="600" xr:uid="{00000000-0005-0000-0000-000041040000}"/>
    <cellStyle name="Migliaia 30 4 2" xfId="2204" xr:uid="{00000000-0005-0000-0000-000042040000}"/>
    <cellStyle name="Migliaia 30 4 2 2" xfId="2757" xr:uid="{00000000-0005-0000-0000-000043040000}"/>
    <cellStyle name="Migliaia 30 5" xfId="601" xr:uid="{00000000-0005-0000-0000-000044040000}"/>
    <cellStyle name="Migliaia 31" xfId="602" xr:uid="{00000000-0005-0000-0000-000045040000}"/>
    <cellStyle name="Migliaia 31 2" xfId="603" xr:uid="{00000000-0005-0000-0000-000046040000}"/>
    <cellStyle name="Migliaia 31 2 2" xfId="2205" xr:uid="{00000000-0005-0000-0000-000047040000}"/>
    <cellStyle name="Migliaia 31 2 2 2" xfId="2758" xr:uid="{00000000-0005-0000-0000-000048040000}"/>
    <cellStyle name="Migliaia 31 3" xfId="604" xr:uid="{00000000-0005-0000-0000-000049040000}"/>
    <cellStyle name="Migliaia 31 3 2" xfId="605" xr:uid="{00000000-0005-0000-0000-00004A040000}"/>
    <cellStyle name="Migliaia 31 3 2 2" xfId="606" xr:uid="{00000000-0005-0000-0000-00004B040000}"/>
    <cellStyle name="Migliaia 31 4" xfId="607" xr:uid="{00000000-0005-0000-0000-00004C040000}"/>
    <cellStyle name="Migliaia 31 4 2" xfId="2206" xr:uid="{00000000-0005-0000-0000-00004D040000}"/>
    <cellStyle name="Migliaia 31 4 2 2" xfId="2759" xr:uid="{00000000-0005-0000-0000-00004E040000}"/>
    <cellStyle name="Migliaia 31 5" xfId="608" xr:uid="{00000000-0005-0000-0000-00004F040000}"/>
    <cellStyle name="Migliaia 32" xfId="609" xr:uid="{00000000-0005-0000-0000-000050040000}"/>
    <cellStyle name="Migliaia 32 2" xfId="610" xr:uid="{00000000-0005-0000-0000-000051040000}"/>
    <cellStyle name="Migliaia 32 2 2" xfId="2207" xr:uid="{00000000-0005-0000-0000-000052040000}"/>
    <cellStyle name="Migliaia 32 2 2 2" xfId="2760" xr:uid="{00000000-0005-0000-0000-000053040000}"/>
    <cellStyle name="Migliaia 32 3" xfId="611" xr:uid="{00000000-0005-0000-0000-000054040000}"/>
    <cellStyle name="Migliaia 32 3 2" xfId="612" xr:uid="{00000000-0005-0000-0000-000055040000}"/>
    <cellStyle name="Migliaia 32 3 2 2" xfId="613" xr:uid="{00000000-0005-0000-0000-000056040000}"/>
    <cellStyle name="Migliaia 32 4" xfId="614" xr:uid="{00000000-0005-0000-0000-000057040000}"/>
    <cellStyle name="Migliaia 32 4 2" xfId="2208" xr:uid="{00000000-0005-0000-0000-000058040000}"/>
    <cellStyle name="Migliaia 32 4 2 2" xfId="2761" xr:uid="{00000000-0005-0000-0000-000059040000}"/>
    <cellStyle name="Migliaia 32 5" xfId="615" xr:uid="{00000000-0005-0000-0000-00005A040000}"/>
    <cellStyle name="Migliaia 33" xfId="616" xr:uid="{00000000-0005-0000-0000-00005B040000}"/>
    <cellStyle name="Migliaia 33 2" xfId="617" xr:uid="{00000000-0005-0000-0000-00005C040000}"/>
    <cellStyle name="Migliaia 33 2 2" xfId="2209" xr:uid="{00000000-0005-0000-0000-00005D040000}"/>
    <cellStyle name="Migliaia 33 2 2 2" xfId="2762" xr:uid="{00000000-0005-0000-0000-00005E040000}"/>
    <cellStyle name="Migliaia 33 3" xfId="618" xr:uid="{00000000-0005-0000-0000-00005F040000}"/>
    <cellStyle name="Migliaia 33 3 2" xfId="619" xr:uid="{00000000-0005-0000-0000-000060040000}"/>
    <cellStyle name="Migliaia 33 3 2 2" xfId="620" xr:uid="{00000000-0005-0000-0000-000061040000}"/>
    <cellStyle name="Migliaia 33 4" xfId="621" xr:uid="{00000000-0005-0000-0000-000062040000}"/>
    <cellStyle name="Migliaia 33 4 2" xfId="2210" xr:uid="{00000000-0005-0000-0000-000063040000}"/>
    <cellStyle name="Migliaia 33 4 2 2" xfId="2763" xr:uid="{00000000-0005-0000-0000-000064040000}"/>
    <cellStyle name="Migliaia 33 5" xfId="622" xr:uid="{00000000-0005-0000-0000-000065040000}"/>
    <cellStyle name="Migliaia 34" xfId="623" xr:uid="{00000000-0005-0000-0000-000066040000}"/>
    <cellStyle name="Migliaia 34 2" xfId="624" xr:uid="{00000000-0005-0000-0000-000067040000}"/>
    <cellStyle name="Migliaia 34 2 2" xfId="2211" xr:uid="{00000000-0005-0000-0000-000068040000}"/>
    <cellStyle name="Migliaia 34 2 2 2" xfId="2764" xr:uid="{00000000-0005-0000-0000-000069040000}"/>
    <cellStyle name="Migliaia 34 3" xfId="625" xr:uid="{00000000-0005-0000-0000-00006A040000}"/>
    <cellStyle name="Migliaia 34 3 2" xfId="626" xr:uid="{00000000-0005-0000-0000-00006B040000}"/>
    <cellStyle name="Migliaia 34 3 2 2" xfId="627" xr:uid="{00000000-0005-0000-0000-00006C040000}"/>
    <cellStyle name="Migliaia 34 4" xfId="628" xr:uid="{00000000-0005-0000-0000-00006D040000}"/>
    <cellStyle name="Migliaia 34 4 2" xfId="2212" xr:uid="{00000000-0005-0000-0000-00006E040000}"/>
    <cellStyle name="Migliaia 34 4 2 2" xfId="2765" xr:uid="{00000000-0005-0000-0000-00006F040000}"/>
    <cellStyle name="Migliaia 34 5" xfId="629" xr:uid="{00000000-0005-0000-0000-000070040000}"/>
    <cellStyle name="Migliaia 35" xfId="630" xr:uid="{00000000-0005-0000-0000-000071040000}"/>
    <cellStyle name="Migliaia 35 2" xfId="631" xr:uid="{00000000-0005-0000-0000-000072040000}"/>
    <cellStyle name="Migliaia 35 2 2" xfId="2213" xr:uid="{00000000-0005-0000-0000-000073040000}"/>
    <cellStyle name="Migliaia 35 2 2 2" xfId="2766" xr:uid="{00000000-0005-0000-0000-000074040000}"/>
    <cellStyle name="Migliaia 35 3" xfId="632" xr:uid="{00000000-0005-0000-0000-000075040000}"/>
    <cellStyle name="Migliaia 35 3 2" xfId="633" xr:uid="{00000000-0005-0000-0000-000076040000}"/>
    <cellStyle name="Migliaia 35 3 2 2" xfId="634" xr:uid="{00000000-0005-0000-0000-000077040000}"/>
    <cellStyle name="Migliaia 35 4" xfId="635" xr:uid="{00000000-0005-0000-0000-000078040000}"/>
    <cellStyle name="Migliaia 35 4 2" xfId="2214" xr:uid="{00000000-0005-0000-0000-000079040000}"/>
    <cellStyle name="Migliaia 35 4 2 2" xfId="2767" xr:uid="{00000000-0005-0000-0000-00007A040000}"/>
    <cellStyle name="Migliaia 35 5" xfId="636" xr:uid="{00000000-0005-0000-0000-00007B040000}"/>
    <cellStyle name="Migliaia 36" xfId="637" xr:uid="{00000000-0005-0000-0000-00007C040000}"/>
    <cellStyle name="Migliaia 36 2" xfId="638" xr:uid="{00000000-0005-0000-0000-00007D040000}"/>
    <cellStyle name="Migliaia 36 2 2" xfId="2215" xr:uid="{00000000-0005-0000-0000-00007E040000}"/>
    <cellStyle name="Migliaia 36 2 2 2" xfId="2768" xr:uid="{00000000-0005-0000-0000-00007F040000}"/>
    <cellStyle name="Migliaia 36 3" xfId="639" xr:uid="{00000000-0005-0000-0000-000080040000}"/>
    <cellStyle name="Migliaia 36 3 2" xfId="640" xr:uid="{00000000-0005-0000-0000-000081040000}"/>
    <cellStyle name="Migliaia 36 3 2 2" xfId="641" xr:uid="{00000000-0005-0000-0000-000082040000}"/>
    <cellStyle name="Migliaia 36 4" xfId="642" xr:uid="{00000000-0005-0000-0000-000083040000}"/>
    <cellStyle name="Migliaia 36 4 2" xfId="2216" xr:uid="{00000000-0005-0000-0000-000084040000}"/>
    <cellStyle name="Migliaia 36 4 2 2" xfId="2769" xr:uid="{00000000-0005-0000-0000-000085040000}"/>
    <cellStyle name="Migliaia 36 5" xfId="643" xr:uid="{00000000-0005-0000-0000-000086040000}"/>
    <cellStyle name="Migliaia 37" xfId="644" xr:uid="{00000000-0005-0000-0000-000087040000}"/>
    <cellStyle name="Migliaia 37 2" xfId="645" xr:uid="{00000000-0005-0000-0000-000088040000}"/>
    <cellStyle name="Migliaia 37 2 2" xfId="2217" xr:uid="{00000000-0005-0000-0000-000089040000}"/>
    <cellStyle name="Migliaia 37 2 2 2" xfId="2770" xr:uid="{00000000-0005-0000-0000-00008A040000}"/>
    <cellStyle name="Migliaia 37 3" xfId="646" xr:uid="{00000000-0005-0000-0000-00008B040000}"/>
    <cellStyle name="Migliaia 37 3 2" xfId="647" xr:uid="{00000000-0005-0000-0000-00008C040000}"/>
    <cellStyle name="Migliaia 37 3 2 2" xfId="648" xr:uid="{00000000-0005-0000-0000-00008D040000}"/>
    <cellStyle name="Migliaia 37 4" xfId="649" xr:uid="{00000000-0005-0000-0000-00008E040000}"/>
    <cellStyle name="Migliaia 37 4 2" xfId="2218" xr:uid="{00000000-0005-0000-0000-00008F040000}"/>
    <cellStyle name="Migliaia 37 4 2 2" xfId="2771" xr:uid="{00000000-0005-0000-0000-000090040000}"/>
    <cellStyle name="Migliaia 37 5" xfId="650" xr:uid="{00000000-0005-0000-0000-000091040000}"/>
    <cellStyle name="Migliaia 38" xfId="651" xr:uid="{00000000-0005-0000-0000-000092040000}"/>
    <cellStyle name="Migliaia 38 2" xfId="652" xr:uid="{00000000-0005-0000-0000-000093040000}"/>
    <cellStyle name="Migliaia 38 2 2" xfId="2219" xr:uid="{00000000-0005-0000-0000-000094040000}"/>
    <cellStyle name="Migliaia 38 2 2 2" xfId="2772" xr:uid="{00000000-0005-0000-0000-000095040000}"/>
    <cellStyle name="Migliaia 38 3" xfId="653" xr:uid="{00000000-0005-0000-0000-000096040000}"/>
    <cellStyle name="Migliaia 38 3 2" xfId="654" xr:uid="{00000000-0005-0000-0000-000097040000}"/>
    <cellStyle name="Migliaia 38 3 2 2" xfId="655" xr:uid="{00000000-0005-0000-0000-000098040000}"/>
    <cellStyle name="Migliaia 38 4" xfId="656" xr:uid="{00000000-0005-0000-0000-000099040000}"/>
    <cellStyle name="Migliaia 38 4 2" xfId="2220" xr:uid="{00000000-0005-0000-0000-00009A040000}"/>
    <cellStyle name="Migliaia 38 4 2 2" xfId="2773" xr:uid="{00000000-0005-0000-0000-00009B040000}"/>
    <cellStyle name="Migliaia 38 5" xfId="657" xr:uid="{00000000-0005-0000-0000-00009C040000}"/>
    <cellStyle name="Migliaia 39" xfId="658" xr:uid="{00000000-0005-0000-0000-00009D040000}"/>
    <cellStyle name="Migliaia 39 2" xfId="659" xr:uid="{00000000-0005-0000-0000-00009E040000}"/>
    <cellStyle name="Migliaia 39 2 2" xfId="2221" xr:uid="{00000000-0005-0000-0000-00009F040000}"/>
    <cellStyle name="Migliaia 39 2 2 2" xfId="2774" xr:uid="{00000000-0005-0000-0000-0000A0040000}"/>
    <cellStyle name="Migliaia 39 3" xfId="660" xr:uid="{00000000-0005-0000-0000-0000A1040000}"/>
    <cellStyle name="Migliaia 39 3 2" xfId="661" xr:uid="{00000000-0005-0000-0000-0000A2040000}"/>
    <cellStyle name="Migliaia 39 3 2 2" xfId="662" xr:uid="{00000000-0005-0000-0000-0000A3040000}"/>
    <cellStyle name="Migliaia 39 4" xfId="663" xr:uid="{00000000-0005-0000-0000-0000A4040000}"/>
    <cellStyle name="Migliaia 39 4 2" xfId="2222" xr:uid="{00000000-0005-0000-0000-0000A5040000}"/>
    <cellStyle name="Migliaia 39 4 2 2" xfId="2775" xr:uid="{00000000-0005-0000-0000-0000A6040000}"/>
    <cellStyle name="Migliaia 39 5" xfId="664" xr:uid="{00000000-0005-0000-0000-0000A7040000}"/>
    <cellStyle name="Migliaia 4" xfId="665" xr:uid="{00000000-0005-0000-0000-0000A8040000}"/>
    <cellStyle name="Migliaia 4 2" xfId="666" xr:uid="{00000000-0005-0000-0000-0000A9040000}"/>
    <cellStyle name="Migliaia 4 2 2" xfId="2223" xr:uid="{00000000-0005-0000-0000-0000AA040000}"/>
    <cellStyle name="Migliaia 4 2 2 2" xfId="2776" xr:uid="{00000000-0005-0000-0000-0000AB040000}"/>
    <cellStyle name="Migliaia 4 3" xfId="667" xr:uid="{00000000-0005-0000-0000-0000AC040000}"/>
    <cellStyle name="Migliaia 4 3 2" xfId="668" xr:uid="{00000000-0005-0000-0000-0000AD040000}"/>
    <cellStyle name="Migliaia 4 3 2 2" xfId="669" xr:uid="{00000000-0005-0000-0000-0000AE040000}"/>
    <cellStyle name="Migliaia 4 4" xfId="670" xr:uid="{00000000-0005-0000-0000-0000AF040000}"/>
    <cellStyle name="Migliaia 4 4 2" xfId="2224" xr:uid="{00000000-0005-0000-0000-0000B0040000}"/>
    <cellStyle name="Migliaia 4 4 2 2" xfId="2777" xr:uid="{00000000-0005-0000-0000-0000B1040000}"/>
    <cellStyle name="Migliaia 4 5" xfId="671" xr:uid="{00000000-0005-0000-0000-0000B2040000}"/>
    <cellStyle name="Migliaia 40" xfId="672" xr:uid="{00000000-0005-0000-0000-0000B3040000}"/>
    <cellStyle name="Migliaia 40 2" xfId="673" xr:uid="{00000000-0005-0000-0000-0000B4040000}"/>
    <cellStyle name="Migliaia 40 2 2" xfId="2225" xr:uid="{00000000-0005-0000-0000-0000B5040000}"/>
    <cellStyle name="Migliaia 40 2 2 2" xfId="2778" xr:uid="{00000000-0005-0000-0000-0000B6040000}"/>
    <cellStyle name="Migliaia 40 3" xfId="674" xr:uid="{00000000-0005-0000-0000-0000B7040000}"/>
    <cellStyle name="Migliaia 40 3 2" xfId="675" xr:uid="{00000000-0005-0000-0000-0000B8040000}"/>
    <cellStyle name="Migliaia 40 3 2 2" xfId="676" xr:uid="{00000000-0005-0000-0000-0000B9040000}"/>
    <cellStyle name="Migliaia 40 4" xfId="677" xr:uid="{00000000-0005-0000-0000-0000BA040000}"/>
    <cellStyle name="Migliaia 40 4 2" xfId="2226" xr:uid="{00000000-0005-0000-0000-0000BB040000}"/>
    <cellStyle name="Migliaia 40 4 2 2" xfId="2779" xr:uid="{00000000-0005-0000-0000-0000BC040000}"/>
    <cellStyle name="Migliaia 40 5" xfId="678" xr:uid="{00000000-0005-0000-0000-0000BD040000}"/>
    <cellStyle name="Migliaia 41" xfId="679" xr:uid="{00000000-0005-0000-0000-0000BE040000}"/>
    <cellStyle name="Migliaia 41 2" xfId="680" xr:uid="{00000000-0005-0000-0000-0000BF040000}"/>
    <cellStyle name="Migliaia 41 2 2" xfId="2227" xr:uid="{00000000-0005-0000-0000-0000C0040000}"/>
    <cellStyle name="Migliaia 41 2 2 2" xfId="2780" xr:uid="{00000000-0005-0000-0000-0000C1040000}"/>
    <cellStyle name="Migliaia 41 3" xfId="681" xr:uid="{00000000-0005-0000-0000-0000C2040000}"/>
    <cellStyle name="Migliaia 41 3 2" xfId="682" xr:uid="{00000000-0005-0000-0000-0000C3040000}"/>
    <cellStyle name="Migliaia 41 3 2 2" xfId="683" xr:uid="{00000000-0005-0000-0000-0000C4040000}"/>
    <cellStyle name="Migliaia 41 4" xfId="684" xr:uid="{00000000-0005-0000-0000-0000C5040000}"/>
    <cellStyle name="Migliaia 41 4 2" xfId="2228" xr:uid="{00000000-0005-0000-0000-0000C6040000}"/>
    <cellStyle name="Migliaia 41 4 2 2" xfId="2781" xr:uid="{00000000-0005-0000-0000-0000C7040000}"/>
    <cellStyle name="Migliaia 41 5" xfId="685" xr:uid="{00000000-0005-0000-0000-0000C8040000}"/>
    <cellStyle name="Migliaia 42" xfId="686" xr:uid="{00000000-0005-0000-0000-0000C9040000}"/>
    <cellStyle name="Migliaia 42 2" xfId="687" xr:uid="{00000000-0005-0000-0000-0000CA040000}"/>
    <cellStyle name="Migliaia 42 2 2" xfId="2229" xr:uid="{00000000-0005-0000-0000-0000CB040000}"/>
    <cellStyle name="Migliaia 42 2 2 2" xfId="2782" xr:uid="{00000000-0005-0000-0000-0000CC040000}"/>
    <cellStyle name="Migliaia 42 3" xfId="688" xr:uid="{00000000-0005-0000-0000-0000CD040000}"/>
    <cellStyle name="Migliaia 42 3 2" xfId="689" xr:uid="{00000000-0005-0000-0000-0000CE040000}"/>
    <cellStyle name="Migliaia 42 3 2 2" xfId="690" xr:uid="{00000000-0005-0000-0000-0000CF040000}"/>
    <cellStyle name="Migliaia 42 4" xfId="691" xr:uid="{00000000-0005-0000-0000-0000D0040000}"/>
    <cellStyle name="Migliaia 42 4 2" xfId="2230" xr:uid="{00000000-0005-0000-0000-0000D1040000}"/>
    <cellStyle name="Migliaia 42 4 2 2" xfId="2783" xr:uid="{00000000-0005-0000-0000-0000D2040000}"/>
    <cellStyle name="Migliaia 42 5" xfId="692" xr:uid="{00000000-0005-0000-0000-0000D3040000}"/>
    <cellStyle name="Migliaia 43" xfId="693" xr:uid="{00000000-0005-0000-0000-0000D4040000}"/>
    <cellStyle name="Migliaia 43 2" xfId="694" xr:uid="{00000000-0005-0000-0000-0000D5040000}"/>
    <cellStyle name="Migliaia 43 2 2" xfId="2231" xr:uid="{00000000-0005-0000-0000-0000D6040000}"/>
    <cellStyle name="Migliaia 43 2 2 2" xfId="2784" xr:uid="{00000000-0005-0000-0000-0000D7040000}"/>
    <cellStyle name="Migliaia 43 3" xfId="695" xr:uid="{00000000-0005-0000-0000-0000D8040000}"/>
    <cellStyle name="Migliaia 43 3 2" xfId="696" xr:uid="{00000000-0005-0000-0000-0000D9040000}"/>
    <cellStyle name="Migliaia 43 3 2 2" xfId="697" xr:uid="{00000000-0005-0000-0000-0000DA040000}"/>
    <cellStyle name="Migliaia 43 4" xfId="698" xr:uid="{00000000-0005-0000-0000-0000DB040000}"/>
    <cellStyle name="Migliaia 43 4 2" xfId="2232" xr:uid="{00000000-0005-0000-0000-0000DC040000}"/>
    <cellStyle name="Migliaia 43 4 2 2" xfId="2785" xr:uid="{00000000-0005-0000-0000-0000DD040000}"/>
    <cellStyle name="Migliaia 43 5" xfId="699" xr:uid="{00000000-0005-0000-0000-0000DE040000}"/>
    <cellStyle name="Migliaia 44" xfId="700" xr:uid="{00000000-0005-0000-0000-0000DF040000}"/>
    <cellStyle name="Migliaia 44 2" xfId="701" xr:uid="{00000000-0005-0000-0000-0000E0040000}"/>
    <cellStyle name="Migliaia 44 2 2" xfId="2233" xr:uid="{00000000-0005-0000-0000-0000E1040000}"/>
    <cellStyle name="Migliaia 44 2 2 2" xfId="2786" xr:uid="{00000000-0005-0000-0000-0000E2040000}"/>
    <cellStyle name="Migliaia 44 3" xfId="702" xr:uid="{00000000-0005-0000-0000-0000E3040000}"/>
    <cellStyle name="Migliaia 44 3 2" xfId="703" xr:uid="{00000000-0005-0000-0000-0000E4040000}"/>
    <cellStyle name="Migliaia 44 3 2 2" xfId="704" xr:uid="{00000000-0005-0000-0000-0000E5040000}"/>
    <cellStyle name="Migliaia 44 4" xfId="705" xr:uid="{00000000-0005-0000-0000-0000E6040000}"/>
    <cellStyle name="Migliaia 44 4 2" xfId="2234" xr:uid="{00000000-0005-0000-0000-0000E7040000}"/>
    <cellStyle name="Migliaia 44 4 2 2" xfId="2787" xr:uid="{00000000-0005-0000-0000-0000E8040000}"/>
    <cellStyle name="Migliaia 44 5" xfId="706" xr:uid="{00000000-0005-0000-0000-0000E9040000}"/>
    <cellStyle name="Migliaia 45" xfId="707" xr:uid="{00000000-0005-0000-0000-0000EA040000}"/>
    <cellStyle name="Migliaia 45 2" xfId="708" xr:uid="{00000000-0005-0000-0000-0000EB040000}"/>
    <cellStyle name="Migliaia 45 2 2" xfId="2235" xr:uid="{00000000-0005-0000-0000-0000EC040000}"/>
    <cellStyle name="Migliaia 45 2 2 2" xfId="2788" xr:uid="{00000000-0005-0000-0000-0000ED040000}"/>
    <cellStyle name="Migliaia 45 3" xfId="709" xr:uid="{00000000-0005-0000-0000-0000EE040000}"/>
    <cellStyle name="Migliaia 45 3 2" xfId="710" xr:uid="{00000000-0005-0000-0000-0000EF040000}"/>
    <cellStyle name="Migliaia 45 3 2 2" xfId="711" xr:uid="{00000000-0005-0000-0000-0000F0040000}"/>
    <cellStyle name="Migliaia 45 4" xfId="712" xr:uid="{00000000-0005-0000-0000-0000F1040000}"/>
    <cellStyle name="Migliaia 45 4 2" xfId="2236" xr:uid="{00000000-0005-0000-0000-0000F2040000}"/>
    <cellStyle name="Migliaia 45 4 2 2" xfId="2789" xr:uid="{00000000-0005-0000-0000-0000F3040000}"/>
    <cellStyle name="Migliaia 45 5" xfId="713" xr:uid="{00000000-0005-0000-0000-0000F4040000}"/>
    <cellStyle name="Migliaia 46" xfId="714" xr:uid="{00000000-0005-0000-0000-0000F5040000}"/>
    <cellStyle name="Migliaia 46 2" xfId="715" xr:uid="{00000000-0005-0000-0000-0000F6040000}"/>
    <cellStyle name="Migliaia 46 2 2" xfId="2237" xr:uid="{00000000-0005-0000-0000-0000F7040000}"/>
    <cellStyle name="Migliaia 46 2 2 2" xfId="2790" xr:uid="{00000000-0005-0000-0000-0000F8040000}"/>
    <cellStyle name="Migliaia 46 3" xfId="716" xr:uid="{00000000-0005-0000-0000-0000F9040000}"/>
    <cellStyle name="Migliaia 46 3 2" xfId="717" xr:uid="{00000000-0005-0000-0000-0000FA040000}"/>
    <cellStyle name="Migliaia 46 3 2 2" xfId="718" xr:uid="{00000000-0005-0000-0000-0000FB040000}"/>
    <cellStyle name="Migliaia 46 4" xfId="719" xr:uid="{00000000-0005-0000-0000-0000FC040000}"/>
    <cellStyle name="Migliaia 46 4 2" xfId="2238" xr:uid="{00000000-0005-0000-0000-0000FD040000}"/>
    <cellStyle name="Migliaia 46 4 2 2" xfId="2791" xr:uid="{00000000-0005-0000-0000-0000FE040000}"/>
    <cellStyle name="Migliaia 46 5" xfId="720" xr:uid="{00000000-0005-0000-0000-0000FF040000}"/>
    <cellStyle name="Migliaia 47" xfId="721" xr:uid="{00000000-0005-0000-0000-000000050000}"/>
    <cellStyle name="Migliaia 47 2" xfId="722" xr:uid="{00000000-0005-0000-0000-000001050000}"/>
    <cellStyle name="Migliaia 47 2 2" xfId="2239" xr:uid="{00000000-0005-0000-0000-000002050000}"/>
    <cellStyle name="Migliaia 47 2 2 2" xfId="2792" xr:uid="{00000000-0005-0000-0000-000003050000}"/>
    <cellStyle name="Migliaia 47 3" xfId="723" xr:uid="{00000000-0005-0000-0000-000004050000}"/>
    <cellStyle name="Migliaia 47 3 2" xfId="724" xr:uid="{00000000-0005-0000-0000-000005050000}"/>
    <cellStyle name="Migliaia 47 3 2 2" xfId="725" xr:uid="{00000000-0005-0000-0000-000006050000}"/>
    <cellStyle name="Migliaia 47 4" xfId="726" xr:uid="{00000000-0005-0000-0000-000007050000}"/>
    <cellStyle name="Migliaia 47 4 2" xfId="2240" xr:uid="{00000000-0005-0000-0000-000008050000}"/>
    <cellStyle name="Migliaia 47 4 2 2" xfId="2793" xr:uid="{00000000-0005-0000-0000-000009050000}"/>
    <cellStyle name="Migliaia 47 5" xfId="727" xr:uid="{00000000-0005-0000-0000-00000A050000}"/>
    <cellStyle name="Migliaia 48" xfId="728" xr:uid="{00000000-0005-0000-0000-00000B050000}"/>
    <cellStyle name="Migliaia 48 2" xfId="729" xr:uid="{00000000-0005-0000-0000-00000C050000}"/>
    <cellStyle name="Migliaia 48 2 2" xfId="2241" xr:uid="{00000000-0005-0000-0000-00000D050000}"/>
    <cellStyle name="Migliaia 48 2 2 2" xfId="2794" xr:uid="{00000000-0005-0000-0000-00000E050000}"/>
    <cellStyle name="Migliaia 48 3" xfId="730" xr:uid="{00000000-0005-0000-0000-00000F050000}"/>
    <cellStyle name="Migliaia 48 3 2" xfId="731" xr:uid="{00000000-0005-0000-0000-000010050000}"/>
    <cellStyle name="Migliaia 48 3 2 2" xfId="732" xr:uid="{00000000-0005-0000-0000-000011050000}"/>
    <cellStyle name="Migliaia 48 4" xfId="733" xr:uid="{00000000-0005-0000-0000-000012050000}"/>
    <cellStyle name="Migliaia 48 4 2" xfId="2242" xr:uid="{00000000-0005-0000-0000-000013050000}"/>
    <cellStyle name="Migliaia 48 4 2 2" xfId="2795" xr:uid="{00000000-0005-0000-0000-000014050000}"/>
    <cellStyle name="Migliaia 48 5" xfId="734" xr:uid="{00000000-0005-0000-0000-000015050000}"/>
    <cellStyle name="Migliaia 49" xfId="735" xr:uid="{00000000-0005-0000-0000-000016050000}"/>
    <cellStyle name="Migliaia 49 2" xfId="736" xr:uid="{00000000-0005-0000-0000-000017050000}"/>
    <cellStyle name="Migliaia 49 2 2" xfId="2243" xr:uid="{00000000-0005-0000-0000-000018050000}"/>
    <cellStyle name="Migliaia 49 2 2 2" xfId="2796" xr:uid="{00000000-0005-0000-0000-000019050000}"/>
    <cellStyle name="Migliaia 49 3" xfId="737" xr:uid="{00000000-0005-0000-0000-00001A050000}"/>
    <cellStyle name="Migliaia 49 3 2" xfId="738" xr:uid="{00000000-0005-0000-0000-00001B050000}"/>
    <cellStyle name="Migliaia 49 3 2 2" xfId="739" xr:uid="{00000000-0005-0000-0000-00001C050000}"/>
    <cellStyle name="Migliaia 49 4" xfId="740" xr:uid="{00000000-0005-0000-0000-00001D050000}"/>
    <cellStyle name="Migliaia 49 4 2" xfId="2244" xr:uid="{00000000-0005-0000-0000-00001E050000}"/>
    <cellStyle name="Migliaia 49 4 2 2" xfId="2797" xr:uid="{00000000-0005-0000-0000-00001F050000}"/>
    <cellStyle name="Migliaia 49 5" xfId="741" xr:uid="{00000000-0005-0000-0000-000020050000}"/>
    <cellStyle name="Migliaia 5" xfId="742" xr:uid="{00000000-0005-0000-0000-000021050000}"/>
    <cellStyle name="Migliaia 5 2" xfId="743" xr:uid="{00000000-0005-0000-0000-000022050000}"/>
    <cellStyle name="Migliaia 5 2 2" xfId="2245" xr:uid="{00000000-0005-0000-0000-000023050000}"/>
    <cellStyle name="Migliaia 5 2 2 2" xfId="2798" xr:uid="{00000000-0005-0000-0000-000024050000}"/>
    <cellStyle name="Migliaia 5 3" xfId="744" xr:uid="{00000000-0005-0000-0000-000025050000}"/>
    <cellStyle name="Migliaia 5 3 2" xfId="745" xr:uid="{00000000-0005-0000-0000-000026050000}"/>
    <cellStyle name="Migliaia 5 3 2 2" xfId="746" xr:uid="{00000000-0005-0000-0000-000027050000}"/>
    <cellStyle name="Migliaia 5 4" xfId="747" xr:uid="{00000000-0005-0000-0000-000028050000}"/>
    <cellStyle name="Migliaia 5 4 2" xfId="2246" xr:uid="{00000000-0005-0000-0000-000029050000}"/>
    <cellStyle name="Migliaia 5 4 2 2" xfId="2799" xr:uid="{00000000-0005-0000-0000-00002A050000}"/>
    <cellStyle name="Migliaia 5 5" xfId="748" xr:uid="{00000000-0005-0000-0000-00002B050000}"/>
    <cellStyle name="Migliaia 50" xfId="749" xr:uid="{00000000-0005-0000-0000-00002C050000}"/>
    <cellStyle name="Migliaia 50 2" xfId="750" xr:uid="{00000000-0005-0000-0000-00002D050000}"/>
    <cellStyle name="Migliaia 50 2 2" xfId="2247" xr:uid="{00000000-0005-0000-0000-00002E050000}"/>
    <cellStyle name="Migliaia 50 2 2 2" xfId="2800" xr:uid="{00000000-0005-0000-0000-00002F050000}"/>
    <cellStyle name="Migliaia 50 3" xfId="751" xr:uid="{00000000-0005-0000-0000-000030050000}"/>
    <cellStyle name="Migliaia 50 3 2" xfId="752" xr:uid="{00000000-0005-0000-0000-000031050000}"/>
    <cellStyle name="Migliaia 50 3 2 2" xfId="753" xr:uid="{00000000-0005-0000-0000-000032050000}"/>
    <cellStyle name="Migliaia 50 4" xfId="754" xr:uid="{00000000-0005-0000-0000-000033050000}"/>
    <cellStyle name="Migliaia 50 4 2" xfId="2248" xr:uid="{00000000-0005-0000-0000-000034050000}"/>
    <cellStyle name="Migliaia 50 4 2 2" xfId="2801" xr:uid="{00000000-0005-0000-0000-000035050000}"/>
    <cellStyle name="Migliaia 50 5" xfId="755" xr:uid="{00000000-0005-0000-0000-000036050000}"/>
    <cellStyle name="Migliaia 51" xfId="756" xr:uid="{00000000-0005-0000-0000-000037050000}"/>
    <cellStyle name="Migliaia 51 2" xfId="757" xr:uid="{00000000-0005-0000-0000-000038050000}"/>
    <cellStyle name="Migliaia 51 2 2" xfId="2249" xr:uid="{00000000-0005-0000-0000-000039050000}"/>
    <cellStyle name="Migliaia 51 2 2 2" xfId="2802" xr:uid="{00000000-0005-0000-0000-00003A050000}"/>
    <cellStyle name="Migliaia 51 3" xfId="758" xr:uid="{00000000-0005-0000-0000-00003B050000}"/>
    <cellStyle name="Migliaia 51 3 2" xfId="759" xr:uid="{00000000-0005-0000-0000-00003C050000}"/>
    <cellStyle name="Migliaia 51 3 2 2" xfId="760" xr:uid="{00000000-0005-0000-0000-00003D050000}"/>
    <cellStyle name="Migliaia 51 4" xfId="761" xr:uid="{00000000-0005-0000-0000-00003E050000}"/>
    <cellStyle name="Migliaia 51 4 2" xfId="2250" xr:uid="{00000000-0005-0000-0000-00003F050000}"/>
    <cellStyle name="Migliaia 51 4 2 2" xfId="2803" xr:uid="{00000000-0005-0000-0000-000040050000}"/>
    <cellStyle name="Migliaia 51 5" xfId="762" xr:uid="{00000000-0005-0000-0000-000041050000}"/>
    <cellStyle name="Migliaia 52" xfId="763" xr:uid="{00000000-0005-0000-0000-000042050000}"/>
    <cellStyle name="Migliaia 52 2" xfId="764" xr:uid="{00000000-0005-0000-0000-000043050000}"/>
    <cellStyle name="Migliaia 52 2 2" xfId="2251" xr:uid="{00000000-0005-0000-0000-000044050000}"/>
    <cellStyle name="Migliaia 52 2 2 2" xfId="2804" xr:uid="{00000000-0005-0000-0000-000045050000}"/>
    <cellStyle name="Migliaia 52 3" xfId="765" xr:uid="{00000000-0005-0000-0000-000046050000}"/>
    <cellStyle name="Migliaia 52 3 2" xfId="766" xr:uid="{00000000-0005-0000-0000-000047050000}"/>
    <cellStyle name="Migliaia 52 3 2 2" xfId="767" xr:uid="{00000000-0005-0000-0000-000048050000}"/>
    <cellStyle name="Migliaia 52 4" xfId="768" xr:uid="{00000000-0005-0000-0000-000049050000}"/>
    <cellStyle name="Migliaia 52 4 2" xfId="2252" xr:uid="{00000000-0005-0000-0000-00004A050000}"/>
    <cellStyle name="Migliaia 52 4 2 2" xfId="2805" xr:uid="{00000000-0005-0000-0000-00004B050000}"/>
    <cellStyle name="Migliaia 52 5" xfId="769" xr:uid="{00000000-0005-0000-0000-00004C050000}"/>
    <cellStyle name="Migliaia 53" xfId="770" xr:uid="{00000000-0005-0000-0000-00004D050000}"/>
    <cellStyle name="Migliaia 53 2" xfId="771" xr:uid="{00000000-0005-0000-0000-00004E050000}"/>
    <cellStyle name="Migliaia 53 2 2" xfId="2253" xr:uid="{00000000-0005-0000-0000-00004F050000}"/>
    <cellStyle name="Migliaia 53 2 2 2" xfId="2806" xr:uid="{00000000-0005-0000-0000-000050050000}"/>
    <cellStyle name="Migliaia 53 3" xfId="772" xr:uid="{00000000-0005-0000-0000-000051050000}"/>
    <cellStyle name="Migliaia 53 3 2" xfId="773" xr:uid="{00000000-0005-0000-0000-000052050000}"/>
    <cellStyle name="Migliaia 53 3 2 2" xfId="774" xr:uid="{00000000-0005-0000-0000-000053050000}"/>
    <cellStyle name="Migliaia 53 4" xfId="775" xr:uid="{00000000-0005-0000-0000-000054050000}"/>
    <cellStyle name="Migliaia 53 4 2" xfId="2254" xr:uid="{00000000-0005-0000-0000-000055050000}"/>
    <cellStyle name="Migliaia 53 4 2 2" xfId="2807" xr:uid="{00000000-0005-0000-0000-000056050000}"/>
    <cellStyle name="Migliaia 53 5" xfId="776" xr:uid="{00000000-0005-0000-0000-000057050000}"/>
    <cellStyle name="Migliaia 54" xfId="777" xr:uid="{00000000-0005-0000-0000-000058050000}"/>
    <cellStyle name="Migliaia 54 2" xfId="778" xr:uid="{00000000-0005-0000-0000-000059050000}"/>
    <cellStyle name="Migliaia 54 2 2" xfId="2255" xr:uid="{00000000-0005-0000-0000-00005A050000}"/>
    <cellStyle name="Migliaia 54 2 2 2" xfId="2808" xr:uid="{00000000-0005-0000-0000-00005B050000}"/>
    <cellStyle name="Migliaia 54 3" xfId="779" xr:uid="{00000000-0005-0000-0000-00005C050000}"/>
    <cellStyle name="Migliaia 54 3 2" xfId="780" xr:uid="{00000000-0005-0000-0000-00005D050000}"/>
    <cellStyle name="Migliaia 54 3 2 2" xfId="781" xr:uid="{00000000-0005-0000-0000-00005E050000}"/>
    <cellStyle name="Migliaia 54 4" xfId="782" xr:uid="{00000000-0005-0000-0000-00005F050000}"/>
    <cellStyle name="Migliaia 54 4 2" xfId="2256" xr:uid="{00000000-0005-0000-0000-000060050000}"/>
    <cellStyle name="Migliaia 54 4 2 2" xfId="2809" xr:uid="{00000000-0005-0000-0000-000061050000}"/>
    <cellStyle name="Migliaia 54 5" xfId="783" xr:uid="{00000000-0005-0000-0000-000062050000}"/>
    <cellStyle name="Migliaia 55" xfId="784" xr:uid="{00000000-0005-0000-0000-000063050000}"/>
    <cellStyle name="Migliaia 55 2" xfId="785" xr:uid="{00000000-0005-0000-0000-000064050000}"/>
    <cellStyle name="Migliaia 55 2 2" xfId="2257" xr:uid="{00000000-0005-0000-0000-000065050000}"/>
    <cellStyle name="Migliaia 55 2 2 2" xfId="2810" xr:uid="{00000000-0005-0000-0000-000066050000}"/>
    <cellStyle name="Migliaia 55 3" xfId="786" xr:uid="{00000000-0005-0000-0000-000067050000}"/>
    <cellStyle name="Migliaia 55 3 2" xfId="787" xr:uid="{00000000-0005-0000-0000-000068050000}"/>
    <cellStyle name="Migliaia 55 3 2 2" xfId="788" xr:uid="{00000000-0005-0000-0000-000069050000}"/>
    <cellStyle name="Migliaia 55 4" xfId="789" xr:uid="{00000000-0005-0000-0000-00006A050000}"/>
    <cellStyle name="Migliaia 55 4 2" xfId="2258" xr:uid="{00000000-0005-0000-0000-00006B050000}"/>
    <cellStyle name="Migliaia 55 4 2 2" xfId="2811" xr:uid="{00000000-0005-0000-0000-00006C050000}"/>
    <cellStyle name="Migliaia 55 5" xfId="790" xr:uid="{00000000-0005-0000-0000-00006D050000}"/>
    <cellStyle name="Migliaia 56" xfId="791" xr:uid="{00000000-0005-0000-0000-00006E050000}"/>
    <cellStyle name="Migliaia 56 2" xfId="792" xr:uid="{00000000-0005-0000-0000-00006F050000}"/>
    <cellStyle name="Migliaia 56 2 2" xfId="2259" xr:uid="{00000000-0005-0000-0000-000070050000}"/>
    <cellStyle name="Migliaia 56 2 2 2" xfId="2812" xr:uid="{00000000-0005-0000-0000-000071050000}"/>
    <cellStyle name="Migliaia 56 3" xfId="793" xr:uid="{00000000-0005-0000-0000-000072050000}"/>
    <cellStyle name="Migliaia 56 3 2" xfId="794" xr:uid="{00000000-0005-0000-0000-000073050000}"/>
    <cellStyle name="Migliaia 56 3 2 2" xfId="795" xr:uid="{00000000-0005-0000-0000-000074050000}"/>
    <cellStyle name="Migliaia 56 4" xfId="796" xr:uid="{00000000-0005-0000-0000-000075050000}"/>
    <cellStyle name="Migliaia 56 4 2" xfId="2260" xr:uid="{00000000-0005-0000-0000-000076050000}"/>
    <cellStyle name="Migliaia 56 4 2 2" xfId="2813" xr:uid="{00000000-0005-0000-0000-000077050000}"/>
    <cellStyle name="Migliaia 56 5" xfId="797" xr:uid="{00000000-0005-0000-0000-000078050000}"/>
    <cellStyle name="Migliaia 57" xfId="798" xr:uid="{00000000-0005-0000-0000-000079050000}"/>
    <cellStyle name="Migliaia 57 2" xfId="799" xr:uid="{00000000-0005-0000-0000-00007A050000}"/>
    <cellStyle name="Migliaia 57 2 2" xfId="2261" xr:uid="{00000000-0005-0000-0000-00007B050000}"/>
    <cellStyle name="Migliaia 57 2 2 2" xfId="2814" xr:uid="{00000000-0005-0000-0000-00007C050000}"/>
    <cellStyle name="Migliaia 57 3" xfId="800" xr:uid="{00000000-0005-0000-0000-00007D050000}"/>
    <cellStyle name="Migliaia 57 3 2" xfId="801" xr:uid="{00000000-0005-0000-0000-00007E050000}"/>
    <cellStyle name="Migliaia 57 3 2 2" xfId="802" xr:uid="{00000000-0005-0000-0000-00007F050000}"/>
    <cellStyle name="Migliaia 57 4" xfId="803" xr:uid="{00000000-0005-0000-0000-000080050000}"/>
    <cellStyle name="Migliaia 57 4 2" xfId="2262" xr:uid="{00000000-0005-0000-0000-000081050000}"/>
    <cellStyle name="Migliaia 57 4 2 2" xfId="2815" xr:uid="{00000000-0005-0000-0000-000082050000}"/>
    <cellStyle name="Migliaia 57 5" xfId="804" xr:uid="{00000000-0005-0000-0000-000083050000}"/>
    <cellStyle name="Migliaia 58" xfId="805" xr:uid="{00000000-0005-0000-0000-000084050000}"/>
    <cellStyle name="Migliaia 58 2" xfId="806" xr:uid="{00000000-0005-0000-0000-000085050000}"/>
    <cellStyle name="Migliaia 58 2 2" xfId="2263" xr:uid="{00000000-0005-0000-0000-000086050000}"/>
    <cellStyle name="Migliaia 58 2 2 2" xfId="2816" xr:uid="{00000000-0005-0000-0000-000087050000}"/>
    <cellStyle name="Migliaia 58 3" xfId="807" xr:uid="{00000000-0005-0000-0000-000088050000}"/>
    <cellStyle name="Migliaia 58 3 2" xfId="808" xr:uid="{00000000-0005-0000-0000-000089050000}"/>
    <cellStyle name="Migliaia 58 3 2 2" xfId="809" xr:uid="{00000000-0005-0000-0000-00008A050000}"/>
    <cellStyle name="Migliaia 58 4" xfId="810" xr:uid="{00000000-0005-0000-0000-00008B050000}"/>
    <cellStyle name="Migliaia 58 4 2" xfId="2264" xr:uid="{00000000-0005-0000-0000-00008C050000}"/>
    <cellStyle name="Migliaia 58 4 2 2" xfId="2817" xr:uid="{00000000-0005-0000-0000-00008D050000}"/>
    <cellStyle name="Migliaia 58 5" xfId="811" xr:uid="{00000000-0005-0000-0000-00008E050000}"/>
    <cellStyle name="Migliaia 59" xfId="812" xr:uid="{00000000-0005-0000-0000-00008F050000}"/>
    <cellStyle name="Migliaia 59 2" xfId="813" xr:uid="{00000000-0005-0000-0000-000090050000}"/>
    <cellStyle name="Migliaia 59 2 2" xfId="2265" xr:uid="{00000000-0005-0000-0000-000091050000}"/>
    <cellStyle name="Migliaia 59 2 2 2" xfId="2818" xr:uid="{00000000-0005-0000-0000-000092050000}"/>
    <cellStyle name="Migliaia 59 3" xfId="814" xr:uid="{00000000-0005-0000-0000-000093050000}"/>
    <cellStyle name="Migliaia 59 3 2" xfId="815" xr:uid="{00000000-0005-0000-0000-000094050000}"/>
    <cellStyle name="Migliaia 59 3 2 2" xfId="816" xr:uid="{00000000-0005-0000-0000-000095050000}"/>
    <cellStyle name="Migliaia 59 4" xfId="817" xr:uid="{00000000-0005-0000-0000-000096050000}"/>
    <cellStyle name="Migliaia 59 4 2" xfId="2266" xr:uid="{00000000-0005-0000-0000-000097050000}"/>
    <cellStyle name="Migliaia 59 4 2 2" xfId="2819" xr:uid="{00000000-0005-0000-0000-000098050000}"/>
    <cellStyle name="Migliaia 59 5" xfId="818" xr:uid="{00000000-0005-0000-0000-000099050000}"/>
    <cellStyle name="Migliaia 6" xfId="819" xr:uid="{00000000-0005-0000-0000-00009A050000}"/>
    <cellStyle name="Migliaia 6 2" xfId="820" xr:uid="{00000000-0005-0000-0000-00009B050000}"/>
    <cellStyle name="Migliaia 6 2 2" xfId="2267" xr:uid="{00000000-0005-0000-0000-00009C050000}"/>
    <cellStyle name="Migliaia 6 2 2 2" xfId="2820" xr:uid="{00000000-0005-0000-0000-00009D050000}"/>
    <cellStyle name="Migliaia 6 3" xfId="821" xr:uid="{00000000-0005-0000-0000-00009E050000}"/>
    <cellStyle name="Migliaia 6 3 2" xfId="822" xr:uid="{00000000-0005-0000-0000-00009F050000}"/>
    <cellStyle name="Migliaia 6 3 2 2" xfId="823" xr:uid="{00000000-0005-0000-0000-0000A0050000}"/>
    <cellStyle name="Migliaia 6 4" xfId="824" xr:uid="{00000000-0005-0000-0000-0000A1050000}"/>
    <cellStyle name="Migliaia 6 4 2" xfId="2268" xr:uid="{00000000-0005-0000-0000-0000A2050000}"/>
    <cellStyle name="Migliaia 6 4 2 2" xfId="2821" xr:uid="{00000000-0005-0000-0000-0000A3050000}"/>
    <cellStyle name="Migliaia 6 5" xfId="825" xr:uid="{00000000-0005-0000-0000-0000A4050000}"/>
    <cellStyle name="Migliaia 60" xfId="826" xr:uid="{00000000-0005-0000-0000-0000A5050000}"/>
    <cellStyle name="Migliaia 60 2" xfId="827" xr:uid="{00000000-0005-0000-0000-0000A6050000}"/>
    <cellStyle name="Migliaia 60 2 2" xfId="2269" xr:uid="{00000000-0005-0000-0000-0000A7050000}"/>
    <cellStyle name="Migliaia 60 2 2 2" xfId="2822" xr:uid="{00000000-0005-0000-0000-0000A8050000}"/>
    <cellStyle name="Migliaia 60 3" xfId="828" xr:uid="{00000000-0005-0000-0000-0000A9050000}"/>
    <cellStyle name="Migliaia 60 3 2" xfId="829" xr:uid="{00000000-0005-0000-0000-0000AA050000}"/>
    <cellStyle name="Migliaia 60 3 2 2" xfId="830" xr:uid="{00000000-0005-0000-0000-0000AB050000}"/>
    <cellStyle name="Migliaia 60 4" xfId="831" xr:uid="{00000000-0005-0000-0000-0000AC050000}"/>
    <cellStyle name="Migliaia 60 4 2" xfId="2270" xr:uid="{00000000-0005-0000-0000-0000AD050000}"/>
    <cellStyle name="Migliaia 60 4 2 2" xfId="2823" xr:uid="{00000000-0005-0000-0000-0000AE050000}"/>
    <cellStyle name="Migliaia 60 5" xfId="832" xr:uid="{00000000-0005-0000-0000-0000AF050000}"/>
    <cellStyle name="Migliaia 61" xfId="833" xr:uid="{00000000-0005-0000-0000-0000B0050000}"/>
    <cellStyle name="Migliaia 61 2" xfId="834" xr:uid="{00000000-0005-0000-0000-0000B1050000}"/>
    <cellStyle name="Migliaia 61 2 2" xfId="2271" xr:uid="{00000000-0005-0000-0000-0000B2050000}"/>
    <cellStyle name="Migliaia 61 2 2 2" xfId="2824" xr:uid="{00000000-0005-0000-0000-0000B3050000}"/>
    <cellStyle name="Migliaia 61 3" xfId="835" xr:uid="{00000000-0005-0000-0000-0000B4050000}"/>
    <cellStyle name="Migliaia 61 3 2" xfId="836" xr:uid="{00000000-0005-0000-0000-0000B5050000}"/>
    <cellStyle name="Migliaia 61 3 2 2" xfId="837" xr:uid="{00000000-0005-0000-0000-0000B6050000}"/>
    <cellStyle name="Migliaia 61 4" xfId="838" xr:uid="{00000000-0005-0000-0000-0000B7050000}"/>
    <cellStyle name="Migliaia 61 4 2" xfId="2272" xr:uid="{00000000-0005-0000-0000-0000B8050000}"/>
    <cellStyle name="Migliaia 61 4 2 2" xfId="2825" xr:uid="{00000000-0005-0000-0000-0000B9050000}"/>
    <cellStyle name="Migliaia 61 5" xfId="839" xr:uid="{00000000-0005-0000-0000-0000BA050000}"/>
    <cellStyle name="Migliaia 7" xfId="840" xr:uid="{00000000-0005-0000-0000-0000BB050000}"/>
    <cellStyle name="Migliaia 7 2" xfId="841" xr:uid="{00000000-0005-0000-0000-0000BC050000}"/>
    <cellStyle name="Migliaia 7 2 2" xfId="2273" xr:uid="{00000000-0005-0000-0000-0000BD050000}"/>
    <cellStyle name="Migliaia 7 2 2 2" xfId="2826" xr:uid="{00000000-0005-0000-0000-0000BE050000}"/>
    <cellStyle name="Migliaia 7 3" xfId="842" xr:uid="{00000000-0005-0000-0000-0000BF050000}"/>
    <cellStyle name="Migliaia 7 3 2" xfId="843" xr:uid="{00000000-0005-0000-0000-0000C0050000}"/>
    <cellStyle name="Migliaia 7 3 2 2" xfId="844" xr:uid="{00000000-0005-0000-0000-0000C1050000}"/>
    <cellStyle name="Migliaia 7 4" xfId="845" xr:uid="{00000000-0005-0000-0000-0000C2050000}"/>
    <cellStyle name="Migliaia 7 4 2" xfId="2274" xr:uid="{00000000-0005-0000-0000-0000C3050000}"/>
    <cellStyle name="Migliaia 7 4 2 2" xfId="2827" xr:uid="{00000000-0005-0000-0000-0000C4050000}"/>
    <cellStyle name="Migliaia 7 5" xfId="846" xr:uid="{00000000-0005-0000-0000-0000C5050000}"/>
    <cellStyle name="Migliaia 8" xfId="847" xr:uid="{00000000-0005-0000-0000-0000C6050000}"/>
    <cellStyle name="Migliaia 8 2" xfId="848" xr:uid="{00000000-0005-0000-0000-0000C7050000}"/>
    <cellStyle name="Migliaia 8 2 2" xfId="2275" xr:uid="{00000000-0005-0000-0000-0000C8050000}"/>
    <cellStyle name="Migliaia 8 2 2 2" xfId="2828" xr:uid="{00000000-0005-0000-0000-0000C9050000}"/>
    <cellStyle name="Migliaia 8 3" xfId="849" xr:uid="{00000000-0005-0000-0000-0000CA050000}"/>
    <cellStyle name="Migliaia 8 3 2" xfId="850" xr:uid="{00000000-0005-0000-0000-0000CB050000}"/>
    <cellStyle name="Migliaia 8 3 2 2" xfId="851" xr:uid="{00000000-0005-0000-0000-0000CC050000}"/>
    <cellStyle name="Migliaia 8 4" xfId="852" xr:uid="{00000000-0005-0000-0000-0000CD050000}"/>
    <cellStyle name="Migliaia 8 4 2" xfId="2276" xr:uid="{00000000-0005-0000-0000-0000CE050000}"/>
    <cellStyle name="Migliaia 8 4 2 2" xfId="2829" xr:uid="{00000000-0005-0000-0000-0000CF050000}"/>
    <cellStyle name="Migliaia 8 5" xfId="853" xr:uid="{00000000-0005-0000-0000-0000D0050000}"/>
    <cellStyle name="Migliaia 9" xfId="854" xr:uid="{00000000-0005-0000-0000-0000D1050000}"/>
    <cellStyle name="Migliaia 9 2" xfId="855" xr:uid="{00000000-0005-0000-0000-0000D2050000}"/>
    <cellStyle name="Migliaia 9 2 2" xfId="2277" xr:uid="{00000000-0005-0000-0000-0000D3050000}"/>
    <cellStyle name="Migliaia 9 2 2 2" xfId="2830" xr:uid="{00000000-0005-0000-0000-0000D4050000}"/>
    <cellStyle name="Migliaia 9 3" xfId="856" xr:uid="{00000000-0005-0000-0000-0000D5050000}"/>
    <cellStyle name="Migliaia 9 3 2" xfId="857" xr:uid="{00000000-0005-0000-0000-0000D6050000}"/>
    <cellStyle name="Migliaia 9 3 2 2" xfId="858" xr:uid="{00000000-0005-0000-0000-0000D7050000}"/>
    <cellStyle name="Migliaia 9 4" xfId="859" xr:uid="{00000000-0005-0000-0000-0000D8050000}"/>
    <cellStyle name="Migliaia 9 4 2" xfId="2278" xr:uid="{00000000-0005-0000-0000-0000D9050000}"/>
    <cellStyle name="Migliaia 9 4 2 2" xfId="2831" xr:uid="{00000000-0005-0000-0000-0000DA050000}"/>
    <cellStyle name="Migliaia 9 5" xfId="860" xr:uid="{00000000-0005-0000-0000-0000DB050000}"/>
    <cellStyle name="Neutral 2" xfId="2279" xr:uid="{00000000-0005-0000-0000-0000DC050000}"/>
    <cellStyle name="Neutrale" xfId="861" xr:uid="{00000000-0005-0000-0000-0000DD050000}"/>
    <cellStyle name="Normal" xfId="0" builtinId="0"/>
    <cellStyle name="Normal 10" xfId="862" xr:uid="{00000000-0005-0000-0000-0000DF050000}"/>
    <cellStyle name="Normal 10 2" xfId="863" xr:uid="{00000000-0005-0000-0000-0000E0050000}"/>
    <cellStyle name="Normal 11" xfId="864" xr:uid="{00000000-0005-0000-0000-0000E1050000}"/>
    <cellStyle name="Normal 12" xfId="865" xr:uid="{00000000-0005-0000-0000-0000E2050000}"/>
    <cellStyle name="Normal 12 2" xfId="2280" xr:uid="{00000000-0005-0000-0000-0000E3050000}"/>
    <cellStyle name="Normal 13" xfId="2281" xr:uid="{00000000-0005-0000-0000-0000E4050000}"/>
    <cellStyle name="Normal 14" xfId="2282" xr:uid="{00000000-0005-0000-0000-0000E5050000}"/>
    <cellStyle name="Normal 15" xfId="2283" xr:uid="{00000000-0005-0000-0000-0000E6050000}"/>
    <cellStyle name="Normal 16" xfId="2284" xr:uid="{00000000-0005-0000-0000-0000E7050000}"/>
    <cellStyle name="Normal 16 2" xfId="2285" xr:uid="{00000000-0005-0000-0000-0000E8050000}"/>
    <cellStyle name="Normal 16 3" xfId="2286" xr:uid="{00000000-0005-0000-0000-0000E9050000}"/>
    <cellStyle name="Normal 17" xfId="2287" xr:uid="{00000000-0005-0000-0000-0000EA050000}"/>
    <cellStyle name="Normal 17 2" xfId="2288" xr:uid="{00000000-0005-0000-0000-0000EB050000}"/>
    <cellStyle name="Normal 18" xfId="2289" xr:uid="{00000000-0005-0000-0000-0000EC050000}"/>
    <cellStyle name="Normal 18 2" xfId="2290" xr:uid="{00000000-0005-0000-0000-0000ED050000}"/>
    <cellStyle name="Normal 19" xfId="2291" xr:uid="{00000000-0005-0000-0000-0000EE050000}"/>
    <cellStyle name="Normal 19 2" xfId="2292" xr:uid="{00000000-0005-0000-0000-0000EF050000}"/>
    <cellStyle name="Normal 19 3" xfId="2293" xr:uid="{00000000-0005-0000-0000-0000F0050000}"/>
    <cellStyle name="Normal 2" xfId="866" xr:uid="{00000000-0005-0000-0000-0000F1050000}"/>
    <cellStyle name="Normal 2 2" xfId="867" xr:uid="{00000000-0005-0000-0000-0000F2050000}"/>
    <cellStyle name="Normal 2 2 2" xfId="868" xr:uid="{00000000-0005-0000-0000-0000F3050000}"/>
    <cellStyle name="Normal 2 2 2 2" xfId="2294" xr:uid="{00000000-0005-0000-0000-0000F4050000}"/>
    <cellStyle name="Normal 2 2 2 2 2" xfId="2295" xr:uid="{00000000-0005-0000-0000-0000F5050000}"/>
    <cellStyle name="Normal 2 2 2 2 2 2" xfId="2296" xr:uid="{00000000-0005-0000-0000-0000F6050000}"/>
    <cellStyle name="Normal 2 2 2 2 3" xfId="2297" xr:uid="{00000000-0005-0000-0000-0000F7050000}"/>
    <cellStyle name="Normal 2 2 2 3" xfId="2834" xr:uid="{89D1EB8D-B0AC-48D2-B326-F6E84464EED4}"/>
    <cellStyle name="Normal 2 2 3" xfId="869" xr:uid="{00000000-0005-0000-0000-0000F8050000}"/>
    <cellStyle name="Normal 2 2 3 2" xfId="2298" xr:uid="{00000000-0005-0000-0000-0000F9050000}"/>
    <cellStyle name="Normal 2 2 3 2 2" xfId="2299" xr:uid="{00000000-0005-0000-0000-0000FA050000}"/>
    <cellStyle name="Normal 2 2 3 3" xfId="2300" xr:uid="{00000000-0005-0000-0000-0000FB050000}"/>
    <cellStyle name="Normal 2 2 4" xfId="2301" xr:uid="{00000000-0005-0000-0000-0000FC050000}"/>
    <cellStyle name="Normal 2 2 4 2" xfId="2302" xr:uid="{00000000-0005-0000-0000-0000FD050000}"/>
    <cellStyle name="Normal 2 2 5" xfId="2303" xr:uid="{00000000-0005-0000-0000-0000FE050000}"/>
    <cellStyle name="Normal 2 3" xfId="870" xr:uid="{00000000-0005-0000-0000-0000FF050000}"/>
    <cellStyle name="Normal 2 4" xfId="871" xr:uid="{00000000-0005-0000-0000-000000060000}"/>
    <cellStyle name="Normal 2 4 2" xfId="2304" xr:uid="{00000000-0005-0000-0000-000001060000}"/>
    <cellStyle name="Normal 2 4 2 2" xfId="2305" xr:uid="{00000000-0005-0000-0000-000002060000}"/>
    <cellStyle name="Normal 2 4 3" xfId="2306" xr:uid="{00000000-0005-0000-0000-000003060000}"/>
    <cellStyle name="Normal 2 5" xfId="2307" xr:uid="{00000000-0005-0000-0000-000004060000}"/>
    <cellStyle name="Normal 2_Plants" xfId="2308" xr:uid="{00000000-0005-0000-0000-000005060000}"/>
    <cellStyle name="Normal 20" xfId="2309" xr:uid="{00000000-0005-0000-0000-000006060000}"/>
    <cellStyle name="Normal 21" xfId="2310" xr:uid="{00000000-0005-0000-0000-000007060000}"/>
    <cellStyle name="Normal 22" xfId="2311" xr:uid="{00000000-0005-0000-0000-000008060000}"/>
    <cellStyle name="Normal 23" xfId="2312" xr:uid="{00000000-0005-0000-0000-000009060000}"/>
    <cellStyle name="Normal 24" xfId="2313" xr:uid="{00000000-0005-0000-0000-00000A060000}"/>
    <cellStyle name="Normal 25" xfId="2314" xr:uid="{00000000-0005-0000-0000-00000B060000}"/>
    <cellStyle name="Normal 26" xfId="2315" xr:uid="{00000000-0005-0000-0000-00000C060000}"/>
    <cellStyle name="Normal 27" xfId="2316" xr:uid="{00000000-0005-0000-0000-00000D060000}"/>
    <cellStyle name="Normal 28" xfId="2317" xr:uid="{00000000-0005-0000-0000-00000E060000}"/>
    <cellStyle name="Normal 29" xfId="2318" xr:uid="{00000000-0005-0000-0000-00000F060000}"/>
    <cellStyle name="Normal 29 2" xfId="2319" xr:uid="{00000000-0005-0000-0000-000010060000}"/>
    <cellStyle name="Normal 3" xfId="872" xr:uid="{00000000-0005-0000-0000-000011060000}"/>
    <cellStyle name="Normal 3 10" xfId="2320" xr:uid="{00000000-0005-0000-0000-000012060000}"/>
    <cellStyle name="Normal 3 11" xfId="2321" xr:uid="{00000000-0005-0000-0000-000013060000}"/>
    <cellStyle name="Normal 3 12" xfId="2322" xr:uid="{00000000-0005-0000-0000-000014060000}"/>
    <cellStyle name="Normal 3 13" xfId="2323" xr:uid="{00000000-0005-0000-0000-000015060000}"/>
    <cellStyle name="Normal 3 14" xfId="2324" xr:uid="{00000000-0005-0000-0000-000016060000}"/>
    <cellStyle name="Normal 3 15" xfId="2325" xr:uid="{00000000-0005-0000-0000-000017060000}"/>
    <cellStyle name="Normal 3 16" xfId="2326" xr:uid="{00000000-0005-0000-0000-000018060000}"/>
    <cellStyle name="Normal 3 2" xfId="873" xr:uid="{00000000-0005-0000-0000-000019060000}"/>
    <cellStyle name="Normal 3 2 2" xfId="874" xr:uid="{00000000-0005-0000-0000-00001A060000}"/>
    <cellStyle name="Normal 3 2 2 2" xfId="2327" xr:uid="{00000000-0005-0000-0000-00001B060000}"/>
    <cellStyle name="Normal 3 2 2 3" xfId="2328" xr:uid="{00000000-0005-0000-0000-00001C060000}"/>
    <cellStyle name="Normal 3 2 2 3 2" xfId="2329" xr:uid="{00000000-0005-0000-0000-00001D060000}"/>
    <cellStyle name="Normal 3 2 2 4" xfId="2330" xr:uid="{00000000-0005-0000-0000-00001E060000}"/>
    <cellStyle name="Normal 3 2 3" xfId="875" xr:uid="{00000000-0005-0000-0000-00001F060000}"/>
    <cellStyle name="Normal 3 2 3 2" xfId="2331" xr:uid="{00000000-0005-0000-0000-000020060000}"/>
    <cellStyle name="Normal 3 2 3 2 2" xfId="2332" xr:uid="{00000000-0005-0000-0000-000021060000}"/>
    <cellStyle name="Normal 3 2 3 3" xfId="2333" xr:uid="{00000000-0005-0000-0000-000022060000}"/>
    <cellStyle name="Normal 3 2 4" xfId="2334" xr:uid="{00000000-0005-0000-0000-000023060000}"/>
    <cellStyle name="Normal 3 2 4 2" xfId="2335" xr:uid="{00000000-0005-0000-0000-000024060000}"/>
    <cellStyle name="Normal 3 2 5" xfId="2336" xr:uid="{00000000-0005-0000-0000-000025060000}"/>
    <cellStyle name="Normal 3 3" xfId="876" xr:uid="{00000000-0005-0000-0000-000026060000}"/>
    <cellStyle name="Normal 3 3 2" xfId="2337" xr:uid="{00000000-0005-0000-0000-000027060000}"/>
    <cellStyle name="Normal 3 3 2 2" xfId="2338" xr:uid="{00000000-0005-0000-0000-000028060000}"/>
    <cellStyle name="Normal 3 3 2 2 2" xfId="2339" xr:uid="{00000000-0005-0000-0000-000029060000}"/>
    <cellStyle name="Normal 3 3 2 3" xfId="2340" xr:uid="{00000000-0005-0000-0000-00002A060000}"/>
    <cellStyle name="Normal 3 3 3" xfId="2341" xr:uid="{00000000-0005-0000-0000-00002B060000}"/>
    <cellStyle name="Normal 3 3 3 2" xfId="2342" xr:uid="{00000000-0005-0000-0000-00002C060000}"/>
    <cellStyle name="Normal 3 3 4" xfId="2343" xr:uid="{00000000-0005-0000-0000-00002D060000}"/>
    <cellStyle name="Normal 3 4" xfId="877" xr:uid="{00000000-0005-0000-0000-00002E060000}"/>
    <cellStyle name="Normal 3 4 2" xfId="2344" xr:uid="{00000000-0005-0000-0000-00002F060000}"/>
    <cellStyle name="Normal 3 5" xfId="878" xr:uid="{00000000-0005-0000-0000-000030060000}"/>
    <cellStyle name="Normal 3 6" xfId="2345" xr:uid="{00000000-0005-0000-0000-000031060000}"/>
    <cellStyle name="Normal 3 6 2" xfId="2346" xr:uid="{00000000-0005-0000-0000-000032060000}"/>
    <cellStyle name="Normal 3 7" xfId="2347" xr:uid="{00000000-0005-0000-0000-000033060000}"/>
    <cellStyle name="Normal 3 8" xfId="2348" xr:uid="{00000000-0005-0000-0000-000034060000}"/>
    <cellStyle name="Normal 3 9" xfId="2349" xr:uid="{00000000-0005-0000-0000-000035060000}"/>
    <cellStyle name="Normal 31" xfId="2350" xr:uid="{00000000-0005-0000-0000-000036060000}"/>
    <cellStyle name="Normal 32" xfId="2351" xr:uid="{00000000-0005-0000-0000-000037060000}"/>
    <cellStyle name="Normal 33" xfId="2352" xr:uid="{00000000-0005-0000-0000-000038060000}"/>
    <cellStyle name="Normal 34" xfId="2353" xr:uid="{00000000-0005-0000-0000-000039060000}"/>
    <cellStyle name="Normal 4" xfId="879" xr:uid="{00000000-0005-0000-0000-00003A060000}"/>
    <cellStyle name="Normal 4 10" xfId="2354" xr:uid="{00000000-0005-0000-0000-00003B060000}"/>
    <cellStyle name="Normal 4 11" xfId="2355" xr:uid="{00000000-0005-0000-0000-00003C060000}"/>
    <cellStyle name="Normal 4 12" xfId="2356" xr:uid="{00000000-0005-0000-0000-00003D060000}"/>
    <cellStyle name="Normal 4 13" xfId="2357" xr:uid="{00000000-0005-0000-0000-00003E060000}"/>
    <cellStyle name="Normal 4 14" xfId="2358" xr:uid="{00000000-0005-0000-0000-00003F060000}"/>
    <cellStyle name="Normal 4 15" xfId="2359" xr:uid="{00000000-0005-0000-0000-000040060000}"/>
    <cellStyle name="Normal 4 2" xfId="880" xr:uid="{00000000-0005-0000-0000-000041060000}"/>
    <cellStyle name="Normal 4 3" xfId="881" xr:uid="{00000000-0005-0000-0000-000042060000}"/>
    <cellStyle name="Normal 4 4" xfId="882" xr:uid="{00000000-0005-0000-0000-000043060000}"/>
    <cellStyle name="Normal 4 5" xfId="2360" xr:uid="{00000000-0005-0000-0000-000044060000}"/>
    <cellStyle name="Normal 4 6" xfId="2361" xr:uid="{00000000-0005-0000-0000-000045060000}"/>
    <cellStyle name="Normal 4 7" xfId="2362" xr:uid="{00000000-0005-0000-0000-000046060000}"/>
    <cellStyle name="Normal 4 8" xfId="2363" xr:uid="{00000000-0005-0000-0000-000047060000}"/>
    <cellStyle name="Normal 4 9" xfId="2364" xr:uid="{00000000-0005-0000-0000-000048060000}"/>
    <cellStyle name="Normal 5" xfId="883" xr:uid="{00000000-0005-0000-0000-000049060000}"/>
    <cellStyle name="Normal 5 2" xfId="884" xr:uid="{00000000-0005-0000-0000-00004A060000}"/>
    <cellStyle name="Normal 5 2 2" xfId="885" xr:uid="{00000000-0005-0000-0000-00004B060000}"/>
    <cellStyle name="Normal 5 2 2 2" xfId="886" xr:uid="{00000000-0005-0000-0000-00004C060000}"/>
    <cellStyle name="Normal 5 2 2 3" xfId="2365" xr:uid="{00000000-0005-0000-0000-00004D060000}"/>
    <cellStyle name="Normal 5 2 3" xfId="2366" xr:uid="{00000000-0005-0000-0000-00004E060000}"/>
    <cellStyle name="Normal 5 2 3 2" xfId="2367" xr:uid="{00000000-0005-0000-0000-00004F060000}"/>
    <cellStyle name="Normal 5 3" xfId="2368" xr:uid="{00000000-0005-0000-0000-000050060000}"/>
    <cellStyle name="Normal 6" xfId="887" xr:uid="{00000000-0005-0000-0000-000051060000}"/>
    <cellStyle name="Normal 6 2" xfId="888" xr:uid="{00000000-0005-0000-0000-000052060000}"/>
    <cellStyle name="Normal 6 2 2" xfId="2369" xr:uid="{00000000-0005-0000-0000-000053060000}"/>
    <cellStyle name="Normal 6 2 3" xfId="2370" xr:uid="{00000000-0005-0000-0000-000054060000}"/>
    <cellStyle name="Normal 6 2 3 2" xfId="2371" xr:uid="{00000000-0005-0000-0000-000055060000}"/>
    <cellStyle name="Normal 6 2 4" xfId="2372" xr:uid="{00000000-0005-0000-0000-000056060000}"/>
    <cellStyle name="Normal 6 3" xfId="889" xr:uid="{00000000-0005-0000-0000-000057060000}"/>
    <cellStyle name="Normal 6 3 2" xfId="2373" xr:uid="{00000000-0005-0000-0000-000058060000}"/>
    <cellStyle name="Normal 6 3 2 2" xfId="2374" xr:uid="{00000000-0005-0000-0000-000059060000}"/>
    <cellStyle name="Normal 6 3 2 2 2" xfId="2375" xr:uid="{00000000-0005-0000-0000-00005A060000}"/>
    <cellStyle name="Normal 6 3 2 3" xfId="2376" xr:uid="{00000000-0005-0000-0000-00005B060000}"/>
    <cellStyle name="Normal 6 4" xfId="2377" xr:uid="{00000000-0005-0000-0000-00005C060000}"/>
    <cellStyle name="Normal 6 4 2" xfId="2378" xr:uid="{00000000-0005-0000-0000-00005D060000}"/>
    <cellStyle name="Normal 6 5" xfId="2379" xr:uid="{00000000-0005-0000-0000-00005E060000}"/>
    <cellStyle name="Normal 7" xfId="890" xr:uid="{00000000-0005-0000-0000-00005F060000}"/>
    <cellStyle name="Normal 7 2" xfId="891" xr:uid="{00000000-0005-0000-0000-000060060000}"/>
    <cellStyle name="Normal 7 3" xfId="892" xr:uid="{00000000-0005-0000-0000-000061060000}"/>
    <cellStyle name="Normal 7 3 2" xfId="2380" xr:uid="{00000000-0005-0000-0000-000062060000}"/>
    <cellStyle name="Normal 7 3 2 2" xfId="2381" xr:uid="{00000000-0005-0000-0000-000063060000}"/>
    <cellStyle name="Normal 7 3 3" xfId="2382" xr:uid="{00000000-0005-0000-0000-000064060000}"/>
    <cellStyle name="Normal 8" xfId="893" xr:uid="{00000000-0005-0000-0000-000065060000}"/>
    <cellStyle name="Normal 8 2" xfId="894" xr:uid="{00000000-0005-0000-0000-000066060000}"/>
    <cellStyle name="Normal 8 2 2" xfId="2383" xr:uid="{00000000-0005-0000-0000-000067060000}"/>
    <cellStyle name="Normal 8 2 2 2" xfId="2384" xr:uid="{00000000-0005-0000-0000-000068060000}"/>
    <cellStyle name="Normal 8 2 2 2 2" xfId="2385" xr:uid="{00000000-0005-0000-0000-000069060000}"/>
    <cellStyle name="Normal 8 2 2 3" xfId="2386" xr:uid="{00000000-0005-0000-0000-00006A060000}"/>
    <cellStyle name="Normal 8 3" xfId="895" xr:uid="{00000000-0005-0000-0000-00006B060000}"/>
    <cellStyle name="Normal 8 4" xfId="896" xr:uid="{00000000-0005-0000-0000-00006C060000}"/>
    <cellStyle name="Normal 9" xfId="897" xr:uid="{00000000-0005-0000-0000-00006D060000}"/>
    <cellStyle name="Normal 9 2" xfId="2387" xr:uid="{00000000-0005-0000-0000-00006E060000}"/>
    <cellStyle name="Normal 9 2 2" xfId="2388" xr:uid="{00000000-0005-0000-0000-00006F060000}"/>
    <cellStyle name="Normal GHG Numbers (0.00)" xfId="898" xr:uid="{00000000-0005-0000-0000-000070060000}"/>
    <cellStyle name="Normal GHG Numbers (0.00) 2" xfId="899" xr:uid="{00000000-0005-0000-0000-000071060000}"/>
    <cellStyle name="Normal GHG Numbers (0.00) 3" xfId="900" xr:uid="{00000000-0005-0000-0000-000072060000}"/>
    <cellStyle name="Normal GHG Textfiels Bold" xfId="901" xr:uid="{00000000-0005-0000-0000-000073060000}"/>
    <cellStyle name="Normal GHG-Shade" xfId="902" xr:uid="{00000000-0005-0000-0000-000074060000}"/>
    <cellStyle name="Normale 10" xfId="903" xr:uid="{00000000-0005-0000-0000-000075060000}"/>
    <cellStyle name="Normale 10 2" xfId="904" xr:uid="{00000000-0005-0000-0000-000076060000}"/>
    <cellStyle name="Normale 10 2 2" xfId="905" xr:uid="{00000000-0005-0000-0000-000077060000}"/>
    <cellStyle name="Normale 10 3" xfId="906" xr:uid="{00000000-0005-0000-0000-000078060000}"/>
    <cellStyle name="Normale 10 3 2" xfId="907" xr:uid="{00000000-0005-0000-0000-000079060000}"/>
    <cellStyle name="Normale 10 4" xfId="908" xr:uid="{00000000-0005-0000-0000-00007A060000}"/>
    <cellStyle name="Normale 10_EDEN industria 2008 rev" xfId="909" xr:uid="{00000000-0005-0000-0000-00007B060000}"/>
    <cellStyle name="Normale 11" xfId="910" xr:uid="{00000000-0005-0000-0000-00007C060000}"/>
    <cellStyle name="Normale 11 2" xfId="911" xr:uid="{00000000-0005-0000-0000-00007D060000}"/>
    <cellStyle name="Normale 11 2 2" xfId="912" xr:uid="{00000000-0005-0000-0000-00007E060000}"/>
    <cellStyle name="Normale 11 3" xfId="913" xr:uid="{00000000-0005-0000-0000-00007F060000}"/>
    <cellStyle name="Normale 11 3 2" xfId="914" xr:uid="{00000000-0005-0000-0000-000080060000}"/>
    <cellStyle name="Normale 11 4" xfId="915" xr:uid="{00000000-0005-0000-0000-000081060000}"/>
    <cellStyle name="Normale 11_EDEN industria 2008 rev" xfId="916" xr:uid="{00000000-0005-0000-0000-000082060000}"/>
    <cellStyle name="Normale 12" xfId="917" xr:uid="{00000000-0005-0000-0000-000083060000}"/>
    <cellStyle name="Normale 12 2" xfId="918" xr:uid="{00000000-0005-0000-0000-000084060000}"/>
    <cellStyle name="Normale 12 2 2" xfId="919" xr:uid="{00000000-0005-0000-0000-000085060000}"/>
    <cellStyle name="Normale 12 3" xfId="920" xr:uid="{00000000-0005-0000-0000-000086060000}"/>
    <cellStyle name="Normale 12 3 2" xfId="921" xr:uid="{00000000-0005-0000-0000-000087060000}"/>
    <cellStyle name="Normale 12 4" xfId="922" xr:uid="{00000000-0005-0000-0000-000088060000}"/>
    <cellStyle name="Normale 12_EDEN industria 2008 rev" xfId="923" xr:uid="{00000000-0005-0000-0000-000089060000}"/>
    <cellStyle name="Normale 13" xfId="924" xr:uid="{00000000-0005-0000-0000-00008A060000}"/>
    <cellStyle name="Normale 13 2" xfId="925" xr:uid="{00000000-0005-0000-0000-00008B060000}"/>
    <cellStyle name="Normale 13 2 2" xfId="926" xr:uid="{00000000-0005-0000-0000-00008C060000}"/>
    <cellStyle name="Normale 13 3" xfId="927" xr:uid="{00000000-0005-0000-0000-00008D060000}"/>
    <cellStyle name="Normale 13 3 2" xfId="928" xr:uid="{00000000-0005-0000-0000-00008E060000}"/>
    <cellStyle name="Normale 13 4" xfId="929" xr:uid="{00000000-0005-0000-0000-00008F060000}"/>
    <cellStyle name="Normale 13_EDEN industria 2008 rev" xfId="930" xr:uid="{00000000-0005-0000-0000-000090060000}"/>
    <cellStyle name="Normale 14" xfId="931" xr:uid="{00000000-0005-0000-0000-000091060000}"/>
    <cellStyle name="Normale 14 2" xfId="932" xr:uid="{00000000-0005-0000-0000-000092060000}"/>
    <cellStyle name="Normale 14 2 2" xfId="933" xr:uid="{00000000-0005-0000-0000-000093060000}"/>
    <cellStyle name="Normale 14 3" xfId="934" xr:uid="{00000000-0005-0000-0000-000094060000}"/>
    <cellStyle name="Normale 14 3 2" xfId="935" xr:uid="{00000000-0005-0000-0000-000095060000}"/>
    <cellStyle name="Normale 14 4" xfId="936" xr:uid="{00000000-0005-0000-0000-000096060000}"/>
    <cellStyle name="Normale 14_EDEN industria 2008 rev" xfId="937" xr:uid="{00000000-0005-0000-0000-000097060000}"/>
    <cellStyle name="Normale 15" xfId="938" xr:uid="{00000000-0005-0000-0000-000098060000}"/>
    <cellStyle name="Normale 15 2" xfId="939" xr:uid="{00000000-0005-0000-0000-000099060000}"/>
    <cellStyle name="Normale 15 2 2" xfId="940" xr:uid="{00000000-0005-0000-0000-00009A060000}"/>
    <cellStyle name="Normale 15 3" xfId="941" xr:uid="{00000000-0005-0000-0000-00009B060000}"/>
    <cellStyle name="Normale 15 3 2" xfId="942" xr:uid="{00000000-0005-0000-0000-00009C060000}"/>
    <cellStyle name="Normale 15 4" xfId="943" xr:uid="{00000000-0005-0000-0000-00009D060000}"/>
    <cellStyle name="Normale 15_EDEN industria 2008 rev" xfId="944" xr:uid="{00000000-0005-0000-0000-00009E060000}"/>
    <cellStyle name="Normale 16" xfId="945" xr:uid="{00000000-0005-0000-0000-00009F060000}"/>
    <cellStyle name="Normale 16 2" xfId="946" xr:uid="{00000000-0005-0000-0000-0000A0060000}"/>
    <cellStyle name="Normale 17" xfId="947" xr:uid="{00000000-0005-0000-0000-0000A1060000}"/>
    <cellStyle name="Normale 17 2" xfId="948" xr:uid="{00000000-0005-0000-0000-0000A2060000}"/>
    <cellStyle name="Normale 18" xfId="949" xr:uid="{00000000-0005-0000-0000-0000A3060000}"/>
    <cellStyle name="Normale 18 2" xfId="950" xr:uid="{00000000-0005-0000-0000-0000A4060000}"/>
    <cellStyle name="Normale 19" xfId="951" xr:uid="{00000000-0005-0000-0000-0000A5060000}"/>
    <cellStyle name="Normale 19 2" xfId="952" xr:uid="{00000000-0005-0000-0000-0000A6060000}"/>
    <cellStyle name="Normale 2" xfId="953" xr:uid="{00000000-0005-0000-0000-0000A7060000}"/>
    <cellStyle name="Normale 2 2" xfId="954" xr:uid="{00000000-0005-0000-0000-0000A8060000}"/>
    <cellStyle name="Normale 2 2 2" xfId="955" xr:uid="{00000000-0005-0000-0000-0000A9060000}"/>
    <cellStyle name="Normale 2 3" xfId="956" xr:uid="{00000000-0005-0000-0000-0000AA060000}"/>
    <cellStyle name="Normale 2_EDEN industria 2008 rev" xfId="957" xr:uid="{00000000-0005-0000-0000-0000AB060000}"/>
    <cellStyle name="Normale 20" xfId="958" xr:uid="{00000000-0005-0000-0000-0000AC060000}"/>
    <cellStyle name="Normale 20 2" xfId="959" xr:uid="{00000000-0005-0000-0000-0000AD060000}"/>
    <cellStyle name="Normale 21" xfId="960" xr:uid="{00000000-0005-0000-0000-0000AE060000}"/>
    <cellStyle name="Normale 21 2" xfId="961" xr:uid="{00000000-0005-0000-0000-0000AF060000}"/>
    <cellStyle name="Normale 22" xfId="962" xr:uid="{00000000-0005-0000-0000-0000B0060000}"/>
    <cellStyle name="Normale 22 2" xfId="963" xr:uid="{00000000-0005-0000-0000-0000B1060000}"/>
    <cellStyle name="Normale 23" xfId="964" xr:uid="{00000000-0005-0000-0000-0000B2060000}"/>
    <cellStyle name="Normale 23 2" xfId="965" xr:uid="{00000000-0005-0000-0000-0000B3060000}"/>
    <cellStyle name="Normale 24" xfId="966" xr:uid="{00000000-0005-0000-0000-0000B4060000}"/>
    <cellStyle name="Normale 24 2" xfId="967" xr:uid="{00000000-0005-0000-0000-0000B5060000}"/>
    <cellStyle name="Normale 25" xfId="968" xr:uid="{00000000-0005-0000-0000-0000B6060000}"/>
    <cellStyle name="Normale 25 2" xfId="969" xr:uid="{00000000-0005-0000-0000-0000B7060000}"/>
    <cellStyle name="Normale 26" xfId="970" xr:uid="{00000000-0005-0000-0000-0000B8060000}"/>
    <cellStyle name="Normale 26 2" xfId="971" xr:uid="{00000000-0005-0000-0000-0000B9060000}"/>
    <cellStyle name="Normale 27" xfId="972" xr:uid="{00000000-0005-0000-0000-0000BA060000}"/>
    <cellStyle name="Normale 27 2" xfId="973" xr:uid="{00000000-0005-0000-0000-0000BB060000}"/>
    <cellStyle name="Normale 28" xfId="974" xr:uid="{00000000-0005-0000-0000-0000BC060000}"/>
    <cellStyle name="Normale 28 2" xfId="975" xr:uid="{00000000-0005-0000-0000-0000BD060000}"/>
    <cellStyle name="Normale 29" xfId="976" xr:uid="{00000000-0005-0000-0000-0000BE060000}"/>
    <cellStyle name="Normale 29 2" xfId="977" xr:uid="{00000000-0005-0000-0000-0000BF060000}"/>
    <cellStyle name="Normale 3" xfId="978" xr:uid="{00000000-0005-0000-0000-0000C0060000}"/>
    <cellStyle name="Normale 3 2" xfId="979" xr:uid="{00000000-0005-0000-0000-0000C1060000}"/>
    <cellStyle name="Normale 3 2 2" xfId="980" xr:uid="{00000000-0005-0000-0000-0000C2060000}"/>
    <cellStyle name="Normale 3 3" xfId="981" xr:uid="{00000000-0005-0000-0000-0000C3060000}"/>
    <cellStyle name="Normale 3 3 2" xfId="982" xr:uid="{00000000-0005-0000-0000-0000C4060000}"/>
    <cellStyle name="Normale 3 4" xfId="983" xr:uid="{00000000-0005-0000-0000-0000C5060000}"/>
    <cellStyle name="Normale 3_EDEN industria 2008 rev" xfId="984" xr:uid="{00000000-0005-0000-0000-0000C6060000}"/>
    <cellStyle name="Normale 30" xfId="985" xr:uid="{00000000-0005-0000-0000-0000C7060000}"/>
    <cellStyle name="Normale 30 2" xfId="986" xr:uid="{00000000-0005-0000-0000-0000C8060000}"/>
    <cellStyle name="Normale 31" xfId="987" xr:uid="{00000000-0005-0000-0000-0000C9060000}"/>
    <cellStyle name="Normale 31 2" xfId="988" xr:uid="{00000000-0005-0000-0000-0000CA060000}"/>
    <cellStyle name="Normale 32" xfId="989" xr:uid="{00000000-0005-0000-0000-0000CB060000}"/>
    <cellStyle name="Normale 32 2" xfId="990" xr:uid="{00000000-0005-0000-0000-0000CC060000}"/>
    <cellStyle name="Normale 33" xfId="991" xr:uid="{00000000-0005-0000-0000-0000CD060000}"/>
    <cellStyle name="Normale 33 2" xfId="992" xr:uid="{00000000-0005-0000-0000-0000CE060000}"/>
    <cellStyle name="Normale 34" xfId="993" xr:uid="{00000000-0005-0000-0000-0000CF060000}"/>
    <cellStyle name="Normale 34 2" xfId="994" xr:uid="{00000000-0005-0000-0000-0000D0060000}"/>
    <cellStyle name="Normale 35" xfId="995" xr:uid="{00000000-0005-0000-0000-0000D1060000}"/>
    <cellStyle name="Normale 35 2" xfId="996" xr:uid="{00000000-0005-0000-0000-0000D2060000}"/>
    <cellStyle name="Normale 36" xfId="997" xr:uid="{00000000-0005-0000-0000-0000D3060000}"/>
    <cellStyle name="Normale 36 2" xfId="998" xr:uid="{00000000-0005-0000-0000-0000D4060000}"/>
    <cellStyle name="Normale 37" xfId="999" xr:uid="{00000000-0005-0000-0000-0000D5060000}"/>
    <cellStyle name="Normale 37 2" xfId="1000" xr:uid="{00000000-0005-0000-0000-0000D6060000}"/>
    <cellStyle name="Normale 38" xfId="1001" xr:uid="{00000000-0005-0000-0000-0000D7060000}"/>
    <cellStyle name="Normale 38 2" xfId="1002" xr:uid="{00000000-0005-0000-0000-0000D8060000}"/>
    <cellStyle name="Normale 39" xfId="1003" xr:uid="{00000000-0005-0000-0000-0000D9060000}"/>
    <cellStyle name="Normale 39 2" xfId="1004" xr:uid="{00000000-0005-0000-0000-0000DA060000}"/>
    <cellStyle name="Normale 4" xfId="1005" xr:uid="{00000000-0005-0000-0000-0000DB060000}"/>
    <cellStyle name="Normale 4 2" xfId="1006" xr:uid="{00000000-0005-0000-0000-0000DC060000}"/>
    <cellStyle name="Normale 4 2 2" xfId="1007" xr:uid="{00000000-0005-0000-0000-0000DD060000}"/>
    <cellStyle name="Normale 4 3" xfId="1008" xr:uid="{00000000-0005-0000-0000-0000DE060000}"/>
    <cellStyle name="Normale 4 3 2" xfId="1009" xr:uid="{00000000-0005-0000-0000-0000DF060000}"/>
    <cellStyle name="Normale 4 4" xfId="1010" xr:uid="{00000000-0005-0000-0000-0000E0060000}"/>
    <cellStyle name="Normale 4_EDEN industria 2008 rev" xfId="1011" xr:uid="{00000000-0005-0000-0000-0000E1060000}"/>
    <cellStyle name="Normale 40" xfId="1012" xr:uid="{00000000-0005-0000-0000-0000E2060000}"/>
    <cellStyle name="Normale 40 2" xfId="1013" xr:uid="{00000000-0005-0000-0000-0000E3060000}"/>
    <cellStyle name="Normale 41" xfId="1014" xr:uid="{00000000-0005-0000-0000-0000E4060000}"/>
    <cellStyle name="Normale 41 2" xfId="1015" xr:uid="{00000000-0005-0000-0000-0000E5060000}"/>
    <cellStyle name="Normale 42" xfId="1016" xr:uid="{00000000-0005-0000-0000-0000E6060000}"/>
    <cellStyle name="Normale 42 2" xfId="1017" xr:uid="{00000000-0005-0000-0000-0000E7060000}"/>
    <cellStyle name="Normale 43" xfId="1018" xr:uid="{00000000-0005-0000-0000-0000E8060000}"/>
    <cellStyle name="Normale 43 2" xfId="1019" xr:uid="{00000000-0005-0000-0000-0000E9060000}"/>
    <cellStyle name="Normale 44" xfId="1020" xr:uid="{00000000-0005-0000-0000-0000EA060000}"/>
    <cellStyle name="Normale 44 2" xfId="1021" xr:uid="{00000000-0005-0000-0000-0000EB060000}"/>
    <cellStyle name="Normale 45" xfId="1022" xr:uid="{00000000-0005-0000-0000-0000EC060000}"/>
    <cellStyle name="Normale 45 2" xfId="1023" xr:uid="{00000000-0005-0000-0000-0000ED060000}"/>
    <cellStyle name="Normale 46" xfId="1024" xr:uid="{00000000-0005-0000-0000-0000EE060000}"/>
    <cellStyle name="Normale 46 2" xfId="1025" xr:uid="{00000000-0005-0000-0000-0000EF060000}"/>
    <cellStyle name="Normale 47" xfId="1026" xr:uid="{00000000-0005-0000-0000-0000F0060000}"/>
    <cellStyle name="Normale 47 2" xfId="1027" xr:uid="{00000000-0005-0000-0000-0000F1060000}"/>
    <cellStyle name="Normale 48" xfId="1028" xr:uid="{00000000-0005-0000-0000-0000F2060000}"/>
    <cellStyle name="Normale 48 2" xfId="1029" xr:uid="{00000000-0005-0000-0000-0000F3060000}"/>
    <cellStyle name="Normale 49" xfId="1030" xr:uid="{00000000-0005-0000-0000-0000F4060000}"/>
    <cellStyle name="Normale 49 2" xfId="1031" xr:uid="{00000000-0005-0000-0000-0000F5060000}"/>
    <cellStyle name="Normale 5" xfId="1032" xr:uid="{00000000-0005-0000-0000-0000F6060000}"/>
    <cellStyle name="Normale 5 2" xfId="1033" xr:uid="{00000000-0005-0000-0000-0000F7060000}"/>
    <cellStyle name="Normale 5 2 2" xfId="1034" xr:uid="{00000000-0005-0000-0000-0000F8060000}"/>
    <cellStyle name="Normale 5 3" xfId="1035" xr:uid="{00000000-0005-0000-0000-0000F9060000}"/>
    <cellStyle name="Normale 5 3 2" xfId="1036" xr:uid="{00000000-0005-0000-0000-0000FA060000}"/>
    <cellStyle name="Normale 5 4" xfId="1037" xr:uid="{00000000-0005-0000-0000-0000FB060000}"/>
    <cellStyle name="Normale 5_EDEN industria 2008 rev" xfId="1038" xr:uid="{00000000-0005-0000-0000-0000FC060000}"/>
    <cellStyle name="Normale 50" xfId="1039" xr:uid="{00000000-0005-0000-0000-0000FD060000}"/>
    <cellStyle name="Normale 50 2" xfId="1040" xr:uid="{00000000-0005-0000-0000-0000FE060000}"/>
    <cellStyle name="Normale 51" xfId="1041" xr:uid="{00000000-0005-0000-0000-0000FF060000}"/>
    <cellStyle name="Normale 51 2" xfId="1042" xr:uid="{00000000-0005-0000-0000-000000070000}"/>
    <cellStyle name="Normale 52" xfId="1043" xr:uid="{00000000-0005-0000-0000-000001070000}"/>
    <cellStyle name="Normale 52 2" xfId="1044" xr:uid="{00000000-0005-0000-0000-000002070000}"/>
    <cellStyle name="Normale 53" xfId="1045" xr:uid="{00000000-0005-0000-0000-000003070000}"/>
    <cellStyle name="Normale 53 2" xfId="1046" xr:uid="{00000000-0005-0000-0000-000004070000}"/>
    <cellStyle name="Normale 54" xfId="1047" xr:uid="{00000000-0005-0000-0000-000005070000}"/>
    <cellStyle name="Normale 54 2" xfId="1048" xr:uid="{00000000-0005-0000-0000-000006070000}"/>
    <cellStyle name="Normale 55" xfId="1049" xr:uid="{00000000-0005-0000-0000-000007070000}"/>
    <cellStyle name="Normale 55 2" xfId="1050" xr:uid="{00000000-0005-0000-0000-000008070000}"/>
    <cellStyle name="Normale 56" xfId="1051" xr:uid="{00000000-0005-0000-0000-000009070000}"/>
    <cellStyle name="Normale 56 2" xfId="1052" xr:uid="{00000000-0005-0000-0000-00000A070000}"/>
    <cellStyle name="Normale 57" xfId="1053" xr:uid="{00000000-0005-0000-0000-00000B070000}"/>
    <cellStyle name="Normale 57 2" xfId="1054" xr:uid="{00000000-0005-0000-0000-00000C070000}"/>
    <cellStyle name="Normale 58" xfId="1055" xr:uid="{00000000-0005-0000-0000-00000D070000}"/>
    <cellStyle name="Normale 58 2" xfId="1056" xr:uid="{00000000-0005-0000-0000-00000E070000}"/>
    <cellStyle name="Normale 59" xfId="1057" xr:uid="{00000000-0005-0000-0000-00000F070000}"/>
    <cellStyle name="Normale 59 2" xfId="1058" xr:uid="{00000000-0005-0000-0000-000010070000}"/>
    <cellStyle name="Normale 6" xfId="1059" xr:uid="{00000000-0005-0000-0000-000011070000}"/>
    <cellStyle name="Normale 6 2" xfId="1060" xr:uid="{00000000-0005-0000-0000-000012070000}"/>
    <cellStyle name="Normale 6 2 2" xfId="1061" xr:uid="{00000000-0005-0000-0000-000013070000}"/>
    <cellStyle name="Normale 6 3" xfId="1062" xr:uid="{00000000-0005-0000-0000-000014070000}"/>
    <cellStyle name="Normale 6 3 2" xfId="1063" xr:uid="{00000000-0005-0000-0000-000015070000}"/>
    <cellStyle name="Normale 6 4" xfId="1064" xr:uid="{00000000-0005-0000-0000-000016070000}"/>
    <cellStyle name="Normale 6_EDEN industria 2008 rev" xfId="1065" xr:uid="{00000000-0005-0000-0000-000017070000}"/>
    <cellStyle name="Normale 60" xfId="1066" xr:uid="{00000000-0005-0000-0000-000018070000}"/>
    <cellStyle name="Normale 60 2" xfId="1067" xr:uid="{00000000-0005-0000-0000-000019070000}"/>
    <cellStyle name="Normale 61" xfId="1068" xr:uid="{00000000-0005-0000-0000-00001A070000}"/>
    <cellStyle name="Normale 61 2" xfId="1069" xr:uid="{00000000-0005-0000-0000-00001B070000}"/>
    <cellStyle name="Normale 62" xfId="1070" xr:uid="{00000000-0005-0000-0000-00001C070000}"/>
    <cellStyle name="Normale 62 2" xfId="1071" xr:uid="{00000000-0005-0000-0000-00001D070000}"/>
    <cellStyle name="Normale 63" xfId="1072" xr:uid="{00000000-0005-0000-0000-00001E070000}"/>
    <cellStyle name="Normale 63 2" xfId="1073" xr:uid="{00000000-0005-0000-0000-00001F070000}"/>
    <cellStyle name="Normale 64" xfId="1074" xr:uid="{00000000-0005-0000-0000-000020070000}"/>
    <cellStyle name="Normale 64 2" xfId="1075" xr:uid="{00000000-0005-0000-0000-000021070000}"/>
    <cellStyle name="Normale 65" xfId="1076" xr:uid="{00000000-0005-0000-0000-000022070000}"/>
    <cellStyle name="Normale 65 2" xfId="1077" xr:uid="{00000000-0005-0000-0000-000023070000}"/>
    <cellStyle name="Normale 7" xfId="1078" xr:uid="{00000000-0005-0000-0000-000024070000}"/>
    <cellStyle name="Normale 7 2" xfId="1079" xr:uid="{00000000-0005-0000-0000-000025070000}"/>
    <cellStyle name="Normale 7 2 2" xfId="1080" xr:uid="{00000000-0005-0000-0000-000026070000}"/>
    <cellStyle name="Normale 7 3" xfId="1081" xr:uid="{00000000-0005-0000-0000-000027070000}"/>
    <cellStyle name="Normale 7 3 2" xfId="1082" xr:uid="{00000000-0005-0000-0000-000028070000}"/>
    <cellStyle name="Normale 7 4" xfId="1083" xr:uid="{00000000-0005-0000-0000-000029070000}"/>
    <cellStyle name="Normale 7_EDEN industria 2008 rev" xfId="1084" xr:uid="{00000000-0005-0000-0000-00002A070000}"/>
    <cellStyle name="Normale 8" xfId="1085" xr:uid="{00000000-0005-0000-0000-00002B070000}"/>
    <cellStyle name="Normale 8 2" xfId="1086" xr:uid="{00000000-0005-0000-0000-00002C070000}"/>
    <cellStyle name="Normale 8 2 2" xfId="1087" xr:uid="{00000000-0005-0000-0000-00002D070000}"/>
    <cellStyle name="Normale 8 3" xfId="1088" xr:uid="{00000000-0005-0000-0000-00002E070000}"/>
    <cellStyle name="Normale 8 3 2" xfId="1089" xr:uid="{00000000-0005-0000-0000-00002F070000}"/>
    <cellStyle name="Normale 8 4" xfId="1090" xr:uid="{00000000-0005-0000-0000-000030070000}"/>
    <cellStyle name="Normale 8_EDEN industria 2008 rev" xfId="1091" xr:uid="{00000000-0005-0000-0000-000031070000}"/>
    <cellStyle name="Normale 9" xfId="1092" xr:uid="{00000000-0005-0000-0000-000032070000}"/>
    <cellStyle name="Normale 9 2" xfId="1093" xr:uid="{00000000-0005-0000-0000-000033070000}"/>
    <cellStyle name="Normale 9 2 2" xfId="1094" xr:uid="{00000000-0005-0000-0000-000034070000}"/>
    <cellStyle name="Normale 9 3" xfId="1095" xr:uid="{00000000-0005-0000-0000-000035070000}"/>
    <cellStyle name="Normale 9 3 2" xfId="1096" xr:uid="{00000000-0005-0000-0000-000036070000}"/>
    <cellStyle name="Normale 9 4" xfId="1097" xr:uid="{00000000-0005-0000-0000-000037070000}"/>
    <cellStyle name="Normale 9_EDEN industria 2008 rev" xfId="1098" xr:uid="{00000000-0005-0000-0000-000038070000}"/>
    <cellStyle name="Normale_B2020" xfId="1099" xr:uid="{00000000-0005-0000-0000-000039070000}"/>
    <cellStyle name="Nota" xfId="1100" xr:uid="{00000000-0005-0000-0000-00003A070000}"/>
    <cellStyle name="Nota 2" xfId="1101" xr:uid="{00000000-0005-0000-0000-00003B070000}"/>
    <cellStyle name="Nota 2 2" xfId="2389" xr:uid="{00000000-0005-0000-0000-00003C070000}"/>
    <cellStyle name="Nota 3" xfId="1102" xr:uid="{00000000-0005-0000-0000-00003D070000}"/>
    <cellStyle name="Nota 3 2" xfId="1103" xr:uid="{00000000-0005-0000-0000-00003E070000}"/>
    <cellStyle name="Nota 3 2 2" xfId="1104" xr:uid="{00000000-0005-0000-0000-00003F070000}"/>
    <cellStyle name="Nota 3 2 2 2" xfId="2390" xr:uid="{00000000-0005-0000-0000-000040070000}"/>
    <cellStyle name="Nota 3 2 3" xfId="2391" xr:uid="{00000000-0005-0000-0000-000041070000}"/>
    <cellStyle name="Nota 3 3" xfId="2392" xr:uid="{00000000-0005-0000-0000-000042070000}"/>
    <cellStyle name="Nota 4" xfId="1105" xr:uid="{00000000-0005-0000-0000-000043070000}"/>
    <cellStyle name="Nota 4 2" xfId="2393" xr:uid="{00000000-0005-0000-0000-000044070000}"/>
    <cellStyle name="Nota 4 2 2" xfId="2394" xr:uid="{00000000-0005-0000-0000-000045070000}"/>
    <cellStyle name="Nota 4 3" xfId="2395" xr:uid="{00000000-0005-0000-0000-000046070000}"/>
    <cellStyle name="Nota 5" xfId="1106" xr:uid="{00000000-0005-0000-0000-000047070000}"/>
    <cellStyle name="Nota 5 2" xfId="2396" xr:uid="{00000000-0005-0000-0000-000048070000}"/>
    <cellStyle name="Nota 6" xfId="2397" xr:uid="{00000000-0005-0000-0000-000049070000}"/>
    <cellStyle name="Note 2" xfId="2398" xr:uid="{00000000-0005-0000-0000-00004A070000}"/>
    <cellStyle name="Note 2 2" xfId="2399" xr:uid="{00000000-0005-0000-0000-00004B070000}"/>
    <cellStyle name="Note 2 2 2" xfId="2400" xr:uid="{00000000-0005-0000-0000-00004C070000}"/>
    <cellStyle name="Note 2 3" xfId="2401" xr:uid="{00000000-0005-0000-0000-00004D070000}"/>
    <cellStyle name="Nuovo" xfId="1107" xr:uid="{00000000-0005-0000-0000-00004E070000}"/>
    <cellStyle name="Nuovo 10" xfId="1108" xr:uid="{00000000-0005-0000-0000-00004F070000}"/>
    <cellStyle name="Nuovo 10 2" xfId="1109" xr:uid="{00000000-0005-0000-0000-000050070000}"/>
    <cellStyle name="Nuovo 10 3" xfId="1110" xr:uid="{00000000-0005-0000-0000-000051070000}"/>
    <cellStyle name="Nuovo 10 3 2" xfId="1111" xr:uid="{00000000-0005-0000-0000-000052070000}"/>
    <cellStyle name="Nuovo 10 3 2 2" xfId="1112" xr:uid="{00000000-0005-0000-0000-000053070000}"/>
    <cellStyle name="Nuovo 10 4" xfId="1113" xr:uid="{00000000-0005-0000-0000-000054070000}"/>
    <cellStyle name="Nuovo 10 4 2" xfId="2402" xr:uid="{00000000-0005-0000-0000-000055070000}"/>
    <cellStyle name="Nuovo 10 5" xfId="1114" xr:uid="{00000000-0005-0000-0000-000056070000}"/>
    <cellStyle name="Nuovo 11" xfId="1115" xr:uid="{00000000-0005-0000-0000-000057070000}"/>
    <cellStyle name="Nuovo 11 2" xfId="1116" xr:uid="{00000000-0005-0000-0000-000058070000}"/>
    <cellStyle name="Nuovo 11 3" xfId="1117" xr:uid="{00000000-0005-0000-0000-000059070000}"/>
    <cellStyle name="Nuovo 11 3 2" xfId="1118" xr:uid="{00000000-0005-0000-0000-00005A070000}"/>
    <cellStyle name="Nuovo 11 3 2 2" xfId="1119" xr:uid="{00000000-0005-0000-0000-00005B070000}"/>
    <cellStyle name="Nuovo 11 4" xfId="1120" xr:uid="{00000000-0005-0000-0000-00005C070000}"/>
    <cellStyle name="Nuovo 11 4 2" xfId="2403" xr:uid="{00000000-0005-0000-0000-00005D070000}"/>
    <cellStyle name="Nuovo 11 5" xfId="1121" xr:uid="{00000000-0005-0000-0000-00005E070000}"/>
    <cellStyle name="Nuovo 12" xfId="1122" xr:uid="{00000000-0005-0000-0000-00005F070000}"/>
    <cellStyle name="Nuovo 12 2" xfId="1123" xr:uid="{00000000-0005-0000-0000-000060070000}"/>
    <cellStyle name="Nuovo 12 3" xfId="1124" xr:uid="{00000000-0005-0000-0000-000061070000}"/>
    <cellStyle name="Nuovo 12 3 2" xfId="1125" xr:uid="{00000000-0005-0000-0000-000062070000}"/>
    <cellStyle name="Nuovo 12 3 2 2" xfId="1126" xr:uid="{00000000-0005-0000-0000-000063070000}"/>
    <cellStyle name="Nuovo 12 4" xfId="1127" xr:uid="{00000000-0005-0000-0000-000064070000}"/>
    <cellStyle name="Nuovo 12 4 2" xfId="2404" xr:uid="{00000000-0005-0000-0000-000065070000}"/>
    <cellStyle name="Nuovo 12 5" xfId="1128" xr:uid="{00000000-0005-0000-0000-000066070000}"/>
    <cellStyle name="Nuovo 13" xfId="1129" xr:uid="{00000000-0005-0000-0000-000067070000}"/>
    <cellStyle name="Nuovo 13 2" xfId="1130" xr:uid="{00000000-0005-0000-0000-000068070000}"/>
    <cellStyle name="Nuovo 13 3" xfId="1131" xr:uid="{00000000-0005-0000-0000-000069070000}"/>
    <cellStyle name="Nuovo 13 3 2" xfId="1132" xr:uid="{00000000-0005-0000-0000-00006A070000}"/>
    <cellStyle name="Nuovo 13 3 2 2" xfId="1133" xr:uid="{00000000-0005-0000-0000-00006B070000}"/>
    <cellStyle name="Nuovo 13 4" xfId="1134" xr:uid="{00000000-0005-0000-0000-00006C070000}"/>
    <cellStyle name="Nuovo 13 4 2" xfId="2405" xr:uid="{00000000-0005-0000-0000-00006D070000}"/>
    <cellStyle name="Nuovo 13 5" xfId="1135" xr:uid="{00000000-0005-0000-0000-00006E070000}"/>
    <cellStyle name="Nuovo 14" xfId="1136" xr:uid="{00000000-0005-0000-0000-00006F070000}"/>
    <cellStyle name="Nuovo 14 2" xfId="1137" xr:uid="{00000000-0005-0000-0000-000070070000}"/>
    <cellStyle name="Nuovo 14 3" xfId="1138" xr:uid="{00000000-0005-0000-0000-000071070000}"/>
    <cellStyle name="Nuovo 14 3 2" xfId="1139" xr:uid="{00000000-0005-0000-0000-000072070000}"/>
    <cellStyle name="Nuovo 14 3 2 2" xfId="1140" xr:uid="{00000000-0005-0000-0000-000073070000}"/>
    <cellStyle name="Nuovo 14 4" xfId="1141" xr:uid="{00000000-0005-0000-0000-000074070000}"/>
    <cellStyle name="Nuovo 14 4 2" xfId="2406" xr:uid="{00000000-0005-0000-0000-000075070000}"/>
    <cellStyle name="Nuovo 14 5" xfId="1142" xr:uid="{00000000-0005-0000-0000-000076070000}"/>
    <cellStyle name="Nuovo 15" xfId="1143" xr:uid="{00000000-0005-0000-0000-000077070000}"/>
    <cellStyle name="Nuovo 15 2" xfId="1144" xr:uid="{00000000-0005-0000-0000-000078070000}"/>
    <cellStyle name="Nuovo 15 3" xfId="1145" xr:uid="{00000000-0005-0000-0000-000079070000}"/>
    <cellStyle name="Nuovo 15 3 2" xfId="1146" xr:uid="{00000000-0005-0000-0000-00007A070000}"/>
    <cellStyle name="Nuovo 15 3 2 2" xfId="1147" xr:uid="{00000000-0005-0000-0000-00007B070000}"/>
    <cellStyle name="Nuovo 15 4" xfId="1148" xr:uid="{00000000-0005-0000-0000-00007C070000}"/>
    <cellStyle name="Nuovo 15 4 2" xfId="2407" xr:uid="{00000000-0005-0000-0000-00007D070000}"/>
    <cellStyle name="Nuovo 15 5" xfId="1149" xr:uid="{00000000-0005-0000-0000-00007E070000}"/>
    <cellStyle name="Nuovo 16" xfId="1150" xr:uid="{00000000-0005-0000-0000-00007F070000}"/>
    <cellStyle name="Nuovo 16 2" xfId="1151" xr:uid="{00000000-0005-0000-0000-000080070000}"/>
    <cellStyle name="Nuovo 16 3" xfId="1152" xr:uid="{00000000-0005-0000-0000-000081070000}"/>
    <cellStyle name="Nuovo 16 3 2" xfId="1153" xr:uid="{00000000-0005-0000-0000-000082070000}"/>
    <cellStyle name="Nuovo 16 3 2 2" xfId="1154" xr:uid="{00000000-0005-0000-0000-000083070000}"/>
    <cellStyle name="Nuovo 16 4" xfId="1155" xr:uid="{00000000-0005-0000-0000-000084070000}"/>
    <cellStyle name="Nuovo 16 4 2" xfId="2408" xr:uid="{00000000-0005-0000-0000-000085070000}"/>
    <cellStyle name="Nuovo 16 5" xfId="1156" xr:uid="{00000000-0005-0000-0000-000086070000}"/>
    <cellStyle name="Nuovo 17" xfId="1157" xr:uid="{00000000-0005-0000-0000-000087070000}"/>
    <cellStyle name="Nuovo 17 2" xfId="1158" xr:uid="{00000000-0005-0000-0000-000088070000}"/>
    <cellStyle name="Nuovo 17 3" xfId="1159" xr:uid="{00000000-0005-0000-0000-000089070000}"/>
    <cellStyle name="Nuovo 17 3 2" xfId="1160" xr:uid="{00000000-0005-0000-0000-00008A070000}"/>
    <cellStyle name="Nuovo 17 3 2 2" xfId="1161" xr:uid="{00000000-0005-0000-0000-00008B070000}"/>
    <cellStyle name="Nuovo 17 4" xfId="1162" xr:uid="{00000000-0005-0000-0000-00008C070000}"/>
    <cellStyle name="Nuovo 17 4 2" xfId="2409" xr:uid="{00000000-0005-0000-0000-00008D070000}"/>
    <cellStyle name="Nuovo 17 5" xfId="1163" xr:uid="{00000000-0005-0000-0000-00008E070000}"/>
    <cellStyle name="Nuovo 18" xfId="1164" xr:uid="{00000000-0005-0000-0000-00008F070000}"/>
    <cellStyle name="Nuovo 18 2" xfId="1165" xr:uid="{00000000-0005-0000-0000-000090070000}"/>
    <cellStyle name="Nuovo 18 3" xfId="1166" xr:uid="{00000000-0005-0000-0000-000091070000}"/>
    <cellStyle name="Nuovo 18 3 2" xfId="1167" xr:uid="{00000000-0005-0000-0000-000092070000}"/>
    <cellStyle name="Nuovo 18 3 2 2" xfId="1168" xr:uid="{00000000-0005-0000-0000-000093070000}"/>
    <cellStyle name="Nuovo 18 4" xfId="1169" xr:uid="{00000000-0005-0000-0000-000094070000}"/>
    <cellStyle name="Nuovo 18 4 2" xfId="2410" xr:uid="{00000000-0005-0000-0000-000095070000}"/>
    <cellStyle name="Nuovo 18 5" xfId="1170" xr:uid="{00000000-0005-0000-0000-000096070000}"/>
    <cellStyle name="Nuovo 19" xfId="1171" xr:uid="{00000000-0005-0000-0000-000097070000}"/>
    <cellStyle name="Nuovo 19 2" xfId="1172" xr:uid="{00000000-0005-0000-0000-000098070000}"/>
    <cellStyle name="Nuovo 19 3" xfId="1173" xr:uid="{00000000-0005-0000-0000-000099070000}"/>
    <cellStyle name="Nuovo 19 3 2" xfId="1174" xr:uid="{00000000-0005-0000-0000-00009A070000}"/>
    <cellStyle name="Nuovo 19 3 2 2" xfId="1175" xr:uid="{00000000-0005-0000-0000-00009B070000}"/>
    <cellStyle name="Nuovo 19 4" xfId="1176" xr:uid="{00000000-0005-0000-0000-00009C070000}"/>
    <cellStyle name="Nuovo 19 4 2" xfId="2411" xr:uid="{00000000-0005-0000-0000-00009D070000}"/>
    <cellStyle name="Nuovo 19 5" xfId="1177" xr:uid="{00000000-0005-0000-0000-00009E070000}"/>
    <cellStyle name="Nuovo 2" xfId="1178" xr:uid="{00000000-0005-0000-0000-00009F070000}"/>
    <cellStyle name="Nuovo 2 2" xfId="1179" xr:uid="{00000000-0005-0000-0000-0000A0070000}"/>
    <cellStyle name="Nuovo 2 3" xfId="1180" xr:uid="{00000000-0005-0000-0000-0000A1070000}"/>
    <cellStyle name="Nuovo 2 3 2" xfId="1181" xr:uid="{00000000-0005-0000-0000-0000A2070000}"/>
    <cellStyle name="Nuovo 2 3 2 2" xfId="1182" xr:uid="{00000000-0005-0000-0000-0000A3070000}"/>
    <cellStyle name="Nuovo 2 4" xfId="1183" xr:uid="{00000000-0005-0000-0000-0000A4070000}"/>
    <cellStyle name="Nuovo 2 4 2" xfId="2412" xr:uid="{00000000-0005-0000-0000-0000A5070000}"/>
    <cellStyle name="Nuovo 2 5" xfId="1184" xr:uid="{00000000-0005-0000-0000-0000A6070000}"/>
    <cellStyle name="Nuovo 20" xfId="1185" xr:uid="{00000000-0005-0000-0000-0000A7070000}"/>
    <cellStyle name="Nuovo 20 2" xfId="1186" xr:uid="{00000000-0005-0000-0000-0000A8070000}"/>
    <cellStyle name="Nuovo 20 3" xfId="1187" xr:uid="{00000000-0005-0000-0000-0000A9070000}"/>
    <cellStyle name="Nuovo 20 3 2" xfId="1188" xr:uid="{00000000-0005-0000-0000-0000AA070000}"/>
    <cellStyle name="Nuovo 20 3 2 2" xfId="1189" xr:uid="{00000000-0005-0000-0000-0000AB070000}"/>
    <cellStyle name="Nuovo 20 4" xfId="1190" xr:uid="{00000000-0005-0000-0000-0000AC070000}"/>
    <cellStyle name="Nuovo 20 4 2" xfId="2413" xr:uid="{00000000-0005-0000-0000-0000AD070000}"/>
    <cellStyle name="Nuovo 20 5" xfId="1191" xr:uid="{00000000-0005-0000-0000-0000AE070000}"/>
    <cellStyle name="Nuovo 21" xfId="1192" xr:uid="{00000000-0005-0000-0000-0000AF070000}"/>
    <cellStyle name="Nuovo 21 2" xfId="1193" xr:uid="{00000000-0005-0000-0000-0000B0070000}"/>
    <cellStyle name="Nuovo 21 3" xfId="1194" xr:uid="{00000000-0005-0000-0000-0000B1070000}"/>
    <cellStyle name="Nuovo 21 3 2" xfId="1195" xr:uid="{00000000-0005-0000-0000-0000B2070000}"/>
    <cellStyle name="Nuovo 21 3 2 2" xfId="1196" xr:uid="{00000000-0005-0000-0000-0000B3070000}"/>
    <cellStyle name="Nuovo 21 4" xfId="1197" xr:uid="{00000000-0005-0000-0000-0000B4070000}"/>
    <cellStyle name="Nuovo 21 4 2" xfId="2414" xr:uid="{00000000-0005-0000-0000-0000B5070000}"/>
    <cellStyle name="Nuovo 21 5" xfId="1198" xr:uid="{00000000-0005-0000-0000-0000B6070000}"/>
    <cellStyle name="Nuovo 22" xfId="1199" xr:uid="{00000000-0005-0000-0000-0000B7070000}"/>
    <cellStyle name="Nuovo 22 2" xfId="1200" xr:uid="{00000000-0005-0000-0000-0000B8070000}"/>
    <cellStyle name="Nuovo 22 3" xfId="1201" xr:uid="{00000000-0005-0000-0000-0000B9070000}"/>
    <cellStyle name="Nuovo 22 3 2" xfId="1202" xr:uid="{00000000-0005-0000-0000-0000BA070000}"/>
    <cellStyle name="Nuovo 22 3 2 2" xfId="1203" xr:uid="{00000000-0005-0000-0000-0000BB070000}"/>
    <cellStyle name="Nuovo 22 4" xfId="1204" xr:uid="{00000000-0005-0000-0000-0000BC070000}"/>
    <cellStyle name="Nuovo 22 4 2" xfId="2415" xr:uid="{00000000-0005-0000-0000-0000BD070000}"/>
    <cellStyle name="Nuovo 22 5" xfId="1205" xr:uid="{00000000-0005-0000-0000-0000BE070000}"/>
    <cellStyle name="Nuovo 23" xfId="1206" xr:uid="{00000000-0005-0000-0000-0000BF070000}"/>
    <cellStyle name="Nuovo 23 2" xfId="1207" xr:uid="{00000000-0005-0000-0000-0000C0070000}"/>
    <cellStyle name="Nuovo 23 3" xfId="1208" xr:uid="{00000000-0005-0000-0000-0000C1070000}"/>
    <cellStyle name="Nuovo 23 3 2" xfId="1209" xr:uid="{00000000-0005-0000-0000-0000C2070000}"/>
    <cellStyle name="Nuovo 23 3 2 2" xfId="1210" xr:uid="{00000000-0005-0000-0000-0000C3070000}"/>
    <cellStyle name="Nuovo 23 4" xfId="1211" xr:uid="{00000000-0005-0000-0000-0000C4070000}"/>
    <cellStyle name="Nuovo 23 4 2" xfId="2416" xr:uid="{00000000-0005-0000-0000-0000C5070000}"/>
    <cellStyle name="Nuovo 23 5" xfId="1212" xr:uid="{00000000-0005-0000-0000-0000C6070000}"/>
    <cellStyle name="Nuovo 24" xfId="1213" xr:uid="{00000000-0005-0000-0000-0000C7070000}"/>
    <cellStyle name="Nuovo 24 2" xfId="1214" xr:uid="{00000000-0005-0000-0000-0000C8070000}"/>
    <cellStyle name="Nuovo 24 3" xfId="1215" xr:uid="{00000000-0005-0000-0000-0000C9070000}"/>
    <cellStyle name="Nuovo 24 3 2" xfId="1216" xr:uid="{00000000-0005-0000-0000-0000CA070000}"/>
    <cellStyle name="Nuovo 24 3 2 2" xfId="1217" xr:uid="{00000000-0005-0000-0000-0000CB070000}"/>
    <cellStyle name="Nuovo 24 4" xfId="1218" xr:uid="{00000000-0005-0000-0000-0000CC070000}"/>
    <cellStyle name="Nuovo 24 4 2" xfId="2417" xr:uid="{00000000-0005-0000-0000-0000CD070000}"/>
    <cellStyle name="Nuovo 24 5" xfId="1219" xr:uid="{00000000-0005-0000-0000-0000CE070000}"/>
    <cellStyle name="Nuovo 25" xfId="1220" xr:uid="{00000000-0005-0000-0000-0000CF070000}"/>
    <cellStyle name="Nuovo 25 2" xfId="1221" xr:uid="{00000000-0005-0000-0000-0000D0070000}"/>
    <cellStyle name="Nuovo 25 3" xfId="1222" xr:uid="{00000000-0005-0000-0000-0000D1070000}"/>
    <cellStyle name="Nuovo 25 3 2" xfId="1223" xr:uid="{00000000-0005-0000-0000-0000D2070000}"/>
    <cellStyle name="Nuovo 25 3 2 2" xfId="1224" xr:uid="{00000000-0005-0000-0000-0000D3070000}"/>
    <cellStyle name="Nuovo 25 4" xfId="1225" xr:uid="{00000000-0005-0000-0000-0000D4070000}"/>
    <cellStyle name="Nuovo 25 4 2" xfId="2418" xr:uid="{00000000-0005-0000-0000-0000D5070000}"/>
    <cellStyle name="Nuovo 25 5" xfId="1226" xr:uid="{00000000-0005-0000-0000-0000D6070000}"/>
    <cellStyle name="Nuovo 26" xfId="1227" xr:uid="{00000000-0005-0000-0000-0000D7070000}"/>
    <cellStyle name="Nuovo 26 2" xfId="1228" xr:uid="{00000000-0005-0000-0000-0000D8070000}"/>
    <cellStyle name="Nuovo 26 3" xfId="1229" xr:uid="{00000000-0005-0000-0000-0000D9070000}"/>
    <cellStyle name="Nuovo 26 3 2" xfId="1230" xr:uid="{00000000-0005-0000-0000-0000DA070000}"/>
    <cellStyle name="Nuovo 26 3 2 2" xfId="1231" xr:uid="{00000000-0005-0000-0000-0000DB070000}"/>
    <cellStyle name="Nuovo 26 4" xfId="1232" xr:uid="{00000000-0005-0000-0000-0000DC070000}"/>
    <cellStyle name="Nuovo 26 4 2" xfId="2419" xr:uid="{00000000-0005-0000-0000-0000DD070000}"/>
    <cellStyle name="Nuovo 26 5" xfId="1233" xr:uid="{00000000-0005-0000-0000-0000DE070000}"/>
    <cellStyle name="Nuovo 27" xfId="1234" xr:uid="{00000000-0005-0000-0000-0000DF070000}"/>
    <cellStyle name="Nuovo 27 2" xfId="1235" xr:uid="{00000000-0005-0000-0000-0000E0070000}"/>
    <cellStyle name="Nuovo 27 3" xfId="1236" xr:uid="{00000000-0005-0000-0000-0000E1070000}"/>
    <cellStyle name="Nuovo 27 3 2" xfId="1237" xr:uid="{00000000-0005-0000-0000-0000E2070000}"/>
    <cellStyle name="Nuovo 27 3 2 2" xfId="1238" xr:uid="{00000000-0005-0000-0000-0000E3070000}"/>
    <cellStyle name="Nuovo 27 4" xfId="1239" xr:uid="{00000000-0005-0000-0000-0000E4070000}"/>
    <cellStyle name="Nuovo 27 4 2" xfId="2420" xr:uid="{00000000-0005-0000-0000-0000E5070000}"/>
    <cellStyle name="Nuovo 27 5" xfId="1240" xr:uid="{00000000-0005-0000-0000-0000E6070000}"/>
    <cellStyle name="Nuovo 28" xfId="1241" xr:uid="{00000000-0005-0000-0000-0000E7070000}"/>
    <cellStyle name="Nuovo 28 2" xfId="1242" xr:uid="{00000000-0005-0000-0000-0000E8070000}"/>
    <cellStyle name="Nuovo 28 3" xfId="1243" xr:uid="{00000000-0005-0000-0000-0000E9070000}"/>
    <cellStyle name="Nuovo 28 3 2" xfId="1244" xr:uid="{00000000-0005-0000-0000-0000EA070000}"/>
    <cellStyle name="Nuovo 28 3 2 2" xfId="1245" xr:uid="{00000000-0005-0000-0000-0000EB070000}"/>
    <cellStyle name="Nuovo 28 4" xfId="1246" xr:uid="{00000000-0005-0000-0000-0000EC070000}"/>
    <cellStyle name="Nuovo 28 4 2" xfId="2421" xr:uid="{00000000-0005-0000-0000-0000ED070000}"/>
    <cellStyle name="Nuovo 28 5" xfId="1247" xr:uid="{00000000-0005-0000-0000-0000EE070000}"/>
    <cellStyle name="Nuovo 29" xfId="1248" xr:uid="{00000000-0005-0000-0000-0000EF070000}"/>
    <cellStyle name="Nuovo 29 2" xfId="1249" xr:uid="{00000000-0005-0000-0000-0000F0070000}"/>
    <cellStyle name="Nuovo 29 3" xfId="1250" xr:uid="{00000000-0005-0000-0000-0000F1070000}"/>
    <cellStyle name="Nuovo 29 3 2" xfId="1251" xr:uid="{00000000-0005-0000-0000-0000F2070000}"/>
    <cellStyle name="Nuovo 29 3 2 2" xfId="1252" xr:uid="{00000000-0005-0000-0000-0000F3070000}"/>
    <cellStyle name="Nuovo 29 4" xfId="1253" xr:uid="{00000000-0005-0000-0000-0000F4070000}"/>
    <cellStyle name="Nuovo 29 4 2" xfId="2422" xr:uid="{00000000-0005-0000-0000-0000F5070000}"/>
    <cellStyle name="Nuovo 29 5" xfId="1254" xr:uid="{00000000-0005-0000-0000-0000F6070000}"/>
    <cellStyle name="Nuovo 3" xfId="1255" xr:uid="{00000000-0005-0000-0000-0000F7070000}"/>
    <cellStyle name="Nuovo 3 2" xfId="1256" xr:uid="{00000000-0005-0000-0000-0000F8070000}"/>
    <cellStyle name="Nuovo 3 3" xfId="1257" xr:uid="{00000000-0005-0000-0000-0000F9070000}"/>
    <cellStyle name="Nuovo 3 3 2" xfId="1258" xr:uid="{00000000-0005-0000-0000-0000FA070000}"/>
    <cellStyle name="Nuovo 3 3 2 2" xfId="1259" xr:uid="{00000000-0005-0000-0000-0000FB070000}"/>
    <cellStyle name="Nuovo 3 4" xfId="1260" xr:uid="{00000000-0005-0000-0000-0000FC070000}"/>
    <cellStyle name="Nuovo 3 4 2" xfId="2423" xr:uid="{00000000-0005-0000-0000-0000FD070000}"/>
    <cellStyle name="Nuovo 3 5" xfId="1261" xr:uid="{00000000-0005-0000-0000-0000FE070000}"/>
    <cellStyle name="Nuovo 30" xfId="1262" xr:uid="{00000000-0005-0000-0000-0000FF070000}"/>
    <cellStyle name="Nuovo 30 2" xfId="1263" xr:uid="{00000000-0005-0000-0000-000000080000}"/>
    <cellStyle name="Nuovo 30 3" xfId="1264" xr:uid="{00000000-0005-0000-0000-000001080000}"/>
    <cellStyle name="Nuovo 30 3 2" xfId="1265" xr:uid="{00000000-0005-0000-0000-000002080000}"/>
    <cellStyle name="Nuovo 30 3 2 2" xfId="1266" xr:uid="{00000000-0005-0000-0000-000003080000}"/>
    <cellStyle name="Nuovo 30 4" xfId="1267" xr:uid="{00000000-0005-0000-0000-000004080000}"/>
    <cellStyle name="Nuovo 30 4 2" xfId="2424" xr:uid="{00000000-0005-0000-0000-000005080000}"/>
    <cellStyle name="Nuovo 30 5" xfId="1268" xr:uid="{00000000-0005-0000-0000-000006080000}"/>
    <cellStyle name="Nuovo 31" xfId="1269" xr:uid="{00000000-0005-0000-0000-000007080000}"/>
    <cellStyle name="Nuovo 31 2" xfId="1270" xr:uid="{00000000-0005-0000-0000-000008080000}"/>
    <cellStyle name="Nuovo 31 3" xfId="1271" xr:uid="{00000000-0005-0000-0000-000009080000}"/>
    <cellStyle name="Nuovo 31 3 2" xfId="1272" xr:uid="{00000000-0005-0000-0000-00000A080000}"/>
    <cellStyle name="Nuovo 31 3 2 2" xfId="1273" xr:uid="{00000000-0005-0000-0000-00000B080000}"/>
    <cellStyle name="Nuovo 31 4" xfId="1274" xr:uid="{00000000-0005-0000-0000-00000C080000}"/>
    <cellStyle name="Nuovo 31 4 2" xfId="2425" xr:uid="{00000000-0005-0000-0000-00000D080000}"/>
    <cellStyle name="Nuovo 31 5" xfId="1275" xr:uid="{00000000-0005-0000-0000-00000E080000}"/>
    <cellStyle name="Nuovo 32" xfId="1276" xr:uid="{00000000-0005-0000-0000-00000F080000}"/>
    <cellStyle name="Nuovo 32 2" xfId="1277" xr:uid="{00000000-0005-0000-0000-000010080000}"/>
    <cellStyle name="Nuovo 32 3" xfId="1278" xr:uid="{00000000-0005-0000-0000-000011080000}"/>
    <cellStyle name="Nuovo 32 3 2" xfId="1279" xr:uid="{00000000-0005-0000-0000-000012080000}"/>
    <cellStyle name="Nuovo 32 3 2 2" xfId="1280" xr:uid="{00000000-0005-0000-0000-000013080000}"/>
    <cellStyle name="Nuovo 32 4" xfId="1281" xr:uid="{00000000-0005-0000-0000-000014080000}"/>
    <cellStyle name="Nuovo 32 4 2" xfId="2426" xr:uid="{00000000-0005-0000-0000-000015080000}"/>
    <cellStyle name="Nuovo 32 5" xfId="1282" xr:uid="{00000000-0005-0000-0000-000016080000}"/>
    <cellStyle name="Nuovo 33" xfId="1283" xr:uid="{00000000-0005-0000-0000-000017080000}"/>
    <cellStyle name="Nuovo 33 2" xfId="1284" xr:uid="{00000000-0005-0000-0000-000018080000}"/>
    <cellStyle name="Nuovo 33 3" xfId="1285" xr:uid="{00000000-0005-0000-0000-000019080000}"/>
    <cellStyle name="Nuovo 33 3 2" xfId="1286" xr:uid="{00000000-0005-0000-0000-00001A080000}"/>
    <cellStyle name="Nuovo 33 3 2 2" xfId="1287" xr:uid="{00000000-0005-0000-0000-00001B080000}"/>
    <cellStyle name="Nuovo 33 4" xfId="1288" xr:uid="{00000000-0005-0000-0000-00001C080000}"/>
    <cellStyle name="Nuovo 33 4 2" xfId="2427" xr:uid="{00000000-0005-0000-0000-00001D080000}"/>
    <cellStyle name="Nuovo 33 5" xfId="1289" xr:uid="{00000000-0005-0000-0000-00001E080000}"/>
    <cellStyle name="Nuovo 34" xfId="1290" xr:uid="{00000000-0005-0000-0000-00001F080000}"/>
    <cellStyle name="Nuovo 34 2" xfId="1291" xr:uid="{00000000-0005-0000-0000-000020080000}"/>
    <cellStyle name="Nuovo 34 3" xfId="1292" xr:uid="{00000000-0005-0000-0000-000021080000}"/>
    <cellStyle name="Nuovo 34 3 2" xfId="1293" xr:uid="{00000000-0005-0000-0000-000022080000}"/>
    <cellStyle name="Nuovo 34 3 2 2" xfId="1294" xr:uid="{00000000-0005-0000-0000-000023080000}"/>
    <cellStyle name="Nuovo 34 4" xfId="1295" xr:uid="{00000000-0005-0000-0000-000024080000}"/>
    <cellStyle name="Nuovo 34 4 2" xfId="2428" xr:uid="{00000000-0005-0000-0000-000025080000}"/>
    <cellStyle name="Nuovo 34 5" xfId="1296" xr:uid="{00000000-0005-0000-0000-000026080000}"/>
    <cellStyle name="Nuovo 35" xfId="1297" xr:uid="{00000000-0005-0000-0000-000027080000}"/>
    <cellStyle name="Nuovo 35 2" xfId="1298" xr:uid="{00000000-0005-0000-0000-000028080000}"/>
    <cellStyle name="Nuovo 35 3" xfId="1299" xr:uid="{00000000-0005-0000-0000-000029080000}"/>
    <cellStyle name="Nuovo 35 3 2" xfId="1300" xr:uid="{00000000-0005-0000-0000-00002A080000}"/>
    <cellStyle name="Nuovo 35 3 2 2" xfId="1301" xr:uid="{00000000-0005-0000-0000-00002B080000}"/>
    <cellStyle name="Nuovo 35 4" xfId="1302" xr:uid="{00000000-0005-0000-0000-00002C080000}"/>
    <cellStyle name="Nuovo 35 4 2" xfId="2429" xr:uid="{00000000-0005-0000-0000-00002D080000}"/>
    <cellStyle name="Nuovo 35 5" xfId="1303" xr:uid="{00000000-0005-0000-0000-00002E080000}"/>
    <cellStyle name="Nuovo 36" xfId="1304" xr:uid="{00000000-0005-0000-0000-00002F080000}"/>
    <cellStyle name="Nuovo 36 2" xfId="1305" xr:uid="{00000000-0005-0000-0000-000030080000}"/>
    <cellStyle name="Nuovo 36 3" xfId="1306" xr:uid="{00000000-0005-0000-0000-000031080000}"/>
    <cellStyle name="Nuovo 36 3 2" xfId="1307" xr:uid="{00000000-0005-0000-0000-000032080000}"/>
    <cellStyle name="Nuovo 36 3 2 2" xfId="1308" xr:uid="{00000000-0005-0000-0000-000033080000}"/>
    <cellStyle name="Nuovo 36 4" xfId="1309" xr:uid="{00000000-0005-0000-0000-000034080000}"/>
    <cellStyle name="Nuovo 36 4 2" xfId="2430" xr:uid="{00000000-0005-0000-0000-000035080000}"/>
    <cellStyle name="Nuovo 36 5" xfId="1310" xr:uid="{00000000-0005-0000-0000-000036080000}"/>
    <cellStyle name="Nuovo 37" xfId="1311" xr:uid="{00000000-0005-0000-0000-000037080000}"/>
    <cellStyle name="Nuovo 37 2" xfId="1312" xr:uid="{00000000-0005-0000-0000-000038080000}"/>
    <cellStyle name="Nuovo 37 3" xfId="1313" xr:uid="{00000000-0005-0000-0000-000039080000}"/>
    <cellStyle name="Nuovo 37 3 2" xfId="1314" xr:uid="{00000000-0005-0000-0000-00003A080000}"/>
    <cellStyle name="Nuovo 37 3 2 2" xfId="1315" xr:uid="{00000000-0005-0000-0000-00003B080000}"/>
    <cellStyle name="Nuovo 37 4" xfId="1316" xr:uid="{00000000-0005-0000-0000-00003C080000}"/>
    <cellStyle name="Nuovo 37 4 2" xfId="2431" xr:uid="{00000000-0005-0000-0000-00003D080000}"/>
    <cellStyle name="Nuovo 37 5" xfId="1317" xr:uid="{00000000-0005-0000-0000-00003E080000}"/>
    <cellStyle name="Nuovo 38" xfId="1318" xr:uid="{00000000-0005-0000-0000-00003F080000}"/>
    <cellStyle name="Nuovo 38 2" xfId="1319" xr:uid="{00000000-0005-0000-0000-000040080000}"/>
    <cellStyle name="Nuovo 38 3" xfId="1320" xr:uid="{00000000-0005-0000-0000-000041080000}"/>
    <cellStyle name="Nuovo 38 3 2" xfId="1321" xr:uid="{00000000-0005-0000-0000-000042080000}"/>
    <cellStyle name="Nuovo 38 3 2 2" xfId="1322" xr:uid="{00000000-0005-0000-0000-000043080000}"/>
    <cellStyle name="Nuovo 38 4" xfId="1323" xr:uid="{00000000-0005-0000-0000-000044080000}"/>
    <cellStyle name="Nuovo 38 4 2" xfId="2432" xr:uid="{00000000-0005-0000-0000-000045080000}"/>
    <cellStyle name="Nuovo 38 5" xfId="1324" xr:uid="{00000000-0005-0000-0000-000046080000}"/>
    <cellStyle name="Nuovo 39" xfId="1325" xr:uid="{00000000-0005-0000-0000-000047080000}"/>
    <cellStyle name="Nuovo 39 2" xfId="1326" xr:uid="{00000000-0005-0000-0000-000048080000}"/>
    <cellStyle name="Nuovo 39 3" xfId="1327" xr:uid="{00000000-0005-0000-0000-000049080000}"/>
    <cellStyle name="Nuovo 39 3 2" xfId="1328" xr:uid="{00000000-0005-0000-0000-00004A080000}"/>
    <cellStyle name="Nuovo 39 3 2 2" xfId="1329" xr:uid="{00000000-0005-0000-0000-00004B080000}"/>
    <cellStyle name="Nuovo 39 4" xfId="1330" xr:uid="{00000000-0005-0000-0000-00004C080000}"/>
    <cellStyle name="Nuovo 39 4 2" xfId="2433" xr:uid="{00000000-0005-0000-0000-00004D080000}"/>
    <cellStyle name="Nuovo 39 5" xfId="1331" xr:uid="{00000000-0005-0000-0000-00004E080000}"/>
    <cellStyle name="Nuovo 4" xfId="1332" xr:uid="{00000000-0005-0000-0000-00004F080000}"/>
    <cellStyle name="Nuovo 4 2" xfId="1333" xr:uid="{00000000-0005-0000-0000-000050080000}"/>
    <cellStyle name="Nuovo 4 3" xfId="1334" xr:uid="{00000000-0005-0000-0000-000051080000}"/>
    <cellStyle name="Nuovo 4 3 2" xfId="1335" xr:uid="{00000000-0005-0000-0000-000052080000}"/>
    <cellStyle name="Nuovo 4 3 2 2" xfId="1336" xr:uid="{00000000-0005-0000-0000-000053080000}"/>
    <cellStyle name="Nuovo 4 4" xfId="1337" xr:uid="{00000000-0005-0000-0000-000054080000}"/>
    <cellStyle name="Nuovo 4 4 2" xfId="2434" xr:uid="{00000000-0005-0000-0000-000055080000}"/>
    <cellStyle name="Nuovo 4 5" xfId="1338" xr:uid="{00000000-0005-0000-0000-000056080000}"/>
    <cellStyle name="Nuovo 40" xfId="1339" xr:uid="{00000000-0005-0000-0000-000057080000}"/>
    <cellStyle name="Nuovo 40 2" xfId="1340" xr:uid="{00000000-0005-0000-0000-000058080000}"/>
    <cellStyle name="Nuovo 40 3" xfId="1341" xr:uid="{00000000-0005-0000-0000-000059080000}"/>
    <cellStyle name="Nuovo 40 3 2" xfId="1342" xr:uid="{00000000-0005-0000-0000-00005A080000}"/>
    <cellStyle name="Nuovo 40 3 2 2" xfId="1343" xr:uid="{00000000-0005-0000-0000-00005B080000}"/>
    <cellStyle name="Nuovo 40 4" xfId="1344" xr:uid="{00000000-0005-0000-0000-00005C080000}"/>
    <cellStyle name="Nuovo 40 4 2" xfId="2435" xr:uid="{00000000-0005-0000-0000-00005D080000}"/>
    <cellStyle name="Nuovo 40 5" xfId="1345" xr:uid="{00000000-0005-0000-0000-00005E080000}"/>
    <cellStyle name="Nuovo 41" xfId="1346" xr:uid="{00000000-0005-0000-0000-00005F080000}"/>
    <cellStyle name="Nuovo 41 2" xfId="1347" xr:uid="{00000000-0005-0000-0000-000060080000}"/>
    <cellStyle name="Nuovo 41 3" xfId="1348" xr:uid="{00000000-0005-0000-0000-000061080000}"/>
    <cellStyle name="Nuovo 41 3 2" xfId="1349" xr:uid="{00000000-0005-0000-0000-000062080000}"/>
    <cellStyle name="Nuovo 41 3 2 2" xfId="1350" xr:uid="{00000000-0005-0000-0000-000063080000}"/>
    <cellStyle name="Nuovo 41 4" xfId="1351" xr:uid="{00000000-0005-0000-0000-000064080000}"/>
    <cellStyle name="Nuovo 41 4 2" xfId="2436" xr:uid="{00000000-0005-0000-0000-000065080000}"/>
    <cellStyle name="Nuovo 41 5" xfId="1352" xr:uid="{00000000-0005-0000-0000-000066080000}"/>
    <cellStyle name="Nuovo 42" xfId="1353" xr:uid="{00000000-0005-0000-0000-000067080000}"/>
    <cellStyle name="Nuovo 42 2" xfId="1354" xr:uid="{00000000-0005-0000-0000-000068080000}"/>
    <cellStyle name="Nuovo 42 3" xfId="1355" xr:uid="{00000000-0005-0000-0000-000069080000}"/>
    <cellStyle name="Nuovo 42 3 2" xfId="1356" xr:uid="{00000000-0005-0000-0000-00006A080000}"/>
    <cellStyle name="Nuovo 42 3 2 2" xfId="1357" xr:uid="{00000000-0005-0000-0000-00006B080000}"/>
    <cellStyle name="Nuovo 42 4" xfId="1358" xr:uid="{00000000-0005-0000-0000-00006C080000}"/>
    <cellStyle name="Nuovo 42 4 2" xfId="2437" xr:uid="{00000000-0005-0000-0000-00006D080000}"/>
    <cellStyle name="Nuovo 42 5" xfId="1359" xr:uid="{00000000-0005-0000-0000-00006E080000}"/>
    <cellStyle name="Nuovo 43" xfId="1360" xr:uid="{00000000-0005-0000-0000-00006F080000}"/>
    <cellStyle name="Nuovo 43 2" xfId="1361" xr:uid="{00000000-0005-0000-0000-000070080000}"/>
    <cellStyle name="Nuovo 43 3" xfId="1362" xr:uid="{00000000-0005-0000-0000-000071080000}"/>
    <cellStyle name="Nuovo 43 3 2" xfId="1363" xr:uid="{00000000-0005-0000-0000-000072080000}"/>
    <cellStyle name="Nuovo 43 3 2 2" xfId="1364" xr:uid="{00000000-0005-0000-0000-000073080000}"/>
    <cellStyle name="Nuovo 43 4" xfId="1365" xr:uid="{00000000-0005-0000-0000-000074080000}"/>
    <cellStyle name="Nuovo 43 4 2" xfId="2438" xr:uid="{00000000-0005-0000-0000-000075080000}"/>
    <cellStyle name="Nuovo 43 5" xfId="1366" xr:uid="{00000000-0005-0000-0000-000076080000}"/>
    <cellStyle name="Nuovo 44" xfId="1367" xr:uid="{00000000-0005-0000-0000-000077080000}"/>
    <cellStyle name="Nuovo 44 2" xfId="1368" xr:uid="{00000000-0005-0000-0000-000078080000}"/>
    <cellStyle name="Nuovo 44 3" xfId="1369" xr:uid="{00000000-0005-0000-0000-000079080000}"/>
    <cellStyle name="Nuovo 44 3 2" xfId="1370" xr:uid="{00000000-0005-0000-0000-00007A080000}"/>
    <cellStyle name="Nuovo 44 3 2 2" xfId="1371" xr:uid="{00000000-0005-0000-0000-00007B080000}"/>
    <cellStyle name="Nuovo 44 4" xfId="1372" xr:uid="{00000000-0005-0000-0000-00007C080000}"/>
    <cellStyle name="Nuovo 44 4 2" xfId="2439" xr:uid="{00000000-0005-0000-0000-00007D080000}"/>
    <cellStyle name="Nuovo 44 5" xfId="1373" xr:uid="{00000000-0005-0000-0000-00007E080000}"/>
    <cellStyle name="Nuovo 45" xfId="1374" xr:uid="{00000000-0005-0000-0000-00007F080000}"/>
    <cellStyle name="Nuovo 46" xfId="1375" xr:uid="{00000000-0005-0000-0000-000080080000}"/>
    <cellStyle name="Nuovo 46 2" xfId="1376" xr:uid="{00000000-0005-0000-0000-000081080000}"/>
    <cellStyle name="Nuovo 46 2 2" xfId="1377" xr:uid="{00000000-0005-0000-0000-000082080000}"/>
    <cellStyle name="Nuovo 47" xfId="1378" xr:uid="{00000000-0005-0000-0000-000083080000}"/>
    <cellStyle name="Nuovo 47 2" xfId="2440" xr:uid="{00000000-0005-0000-0000-000084080000}"/>
    <cellStyle name="Nuovo 48" xfId="1379" xr:uid="{00000000-0005-0000-0000-000085080000}"/>
    <cellStyle name="Nuovo 5" xfId="1380" xr:uid="{00000000-0005-0000-0000-000086080000}"/>
    <cellStyle name="Nuovo 5 2" xfId="1381" xr:uid="{00000000-0005-0000-0000-000087080000}"/>
    <cellStyle name="Nuovo 5 3" xfId="1382" xr:uid="{00000000-0005-0000-0000-000088080000}"/>
    <cellStyle name="Nuovo 5 3 2" xfId="1383" xr:uid="{00000000-0005-0000-0000-000089080000}"/>
    <cellStyle name="Nuovo 5 3 2 2" xfId="1384" xr:uid="{00000000-0005-0000-0000-00008A080000}"/>
    <cellStyle name="Nuovo 5 4" xfId="1385" xr:uid="{00000000-0005-0000-0000-00008B080000}"/>
    <cellStyle name="Nuovo 5 4 2" xfId="2441" xr:uid="{00000000-0005-0000-0000-00008C080000}"/>
    <cellStyle name="Nuovo 5 5" xfId="1386" xr:uid="{00000000-0005-0000-0000-00008D080000}"/>
    <cellStyle name="Nuovo 6" xfId="1387" xr:uid="{00000000-0005-0000-0000-00008E080000}"/>
    <cellStyle name="Nuovo 6 2" xfId="1388" xr:uid="{00000000-0005-0000-0000-00008F080000}"/>
    <cellStyle name="Nuovo 6 3" xfId="1389" xr:uid="{00000000-0005-0000-0000-000090080000}"/>
    <cellStyle name="Nuovo 6 3 2" xfId="1390" xr:uid="{00000000-0005-0000-0000-000091080000}"/>
    <cellStyle name="Nuovo 6 3 2 2" xfId="1391" xr:uid="{00000000-0005-0000-0000-000092080000}"/>
    <cellStyle name="Nuovo 6 4" xfId="1392" xr:uid="{00000000-0005-0000-0000-000093080000}"/>
    <cellStyle name="Nuovo 6 4 2" xfId="2442" xr:uid="{00000000-0005-0000-0000-000094080000}"/>
    <cellStyle name="Nuovo 6 5" xfId="1393" xr:uid="{00000000-0005-0000-0000-000095080000}"/>
    <cellStyle name="Nuovo 7" xfId="1394" xr:uid="{00000000-0005-0000-0000-000096080000}"/>
    <cellStyle name="Nuovo 7 2" xfId="1395" xr:uid="{00000000-0005-0000-0000-000097080000}"/>
    <cellStyle name="Nuovo 7 3" xfId="1396" xr:uid="{00000000-0005-0000-0000-000098080000}"/>
    <cellStyle name="Nuovo 7 3 2" xfId="1397" xr:uid="{00000000-0005-0000-0000-000099080000}"/>
    <cellStyle name="Nuovo 7 3 2 2" xfId="1398" xr:uid="{00000000-0005-0000-0000-00009A080000}"/>
    <cellStyle name="Nuovo 7 4" xfId="1399" xr:uid="{00000000-0005-0000-0000-00009B080000}"/>
    <cellStyle name="Nuovo 7 4 2" xfId="2443" xr:uid="{00000000-0005-0000-0000-00009C080000}"/>
    <cellStyle name="Nuovo 7 5" xfId="1400" xr:uid="{00000000-0005-0000-0000-00009D080000}"/>
    <cellStyle name="Nuovo 8" xfId="1401" xr:uid="{00000000-0005-0000-0000-00009E080000}"/>
    <cellStyle name="Nuovo 8 2" xfId="1402" xr:uid="{00000000-0005-0000-0000-00009F080000}"/>
    <cellStyle name="Nuovo 8 3" xfId="1403" xr:uid="{00000000-0005-0000-0000-0000A0080000}"/>
    <cellStyle name="Nuovo 8 3 2" xfId="1404" xr:uid="{00000000-0005-0000-0000-0000A1080000}"/>
    <cellStyle name="Nuovo 8 3 2 2" xfId="1405" xr:uid="{00000000-0005-0000-0000-0000A2080000}"/>
    <cellStyle name="Nuovo 8 4" xfId="1406" xr:uid="{00000000-0005-0000-0000-0000A3080000}"/>
    <cellStyle name="Nuovo 8 4 2" xfId="2444" xr:uid="{00000000-0005-0000-0000-0000A4080000}"/>
    <cellStyle name="Nuovo 8 5" xfId="1407" xr:uid="{00000000-0005-0000-0000-0000A5080000}"/>
    <cellStyle name="Nuovo 9" xfId="1408" xr:uid="{00000000-0005-0000-0000-0000A6080000}"/>
    <cellStyle name="Nuovo 9 2" xfId="1409" xr:uid="{00000000-0005-0000-0000-0000A7080000}"/>
    <cellStyle name="Nuovo 9 3" xfId="1410" xr:uid="{00000000-0005-0000-0000-0000A8080000}"/>
    <cellStyle name="Nuovo 9 3 2" xfId="1411" xr:uid="{00000000-0005-0000-0000-0000A9080000}"/>
    <cellStyle name="Nuovo 9 3 2 2" xfId="1412" xr:uid="{00000000-0005-0000-0000-0000AA080000}"/>
    <cellStyle name="Nuovo 9 4" xfId="1413" xr:uid="{00000000-0005-0000-0000-0000AB080000}"/>
    <cellStyle name="Nuovo 9 4 2" xfId="2445" xr:uid="{00000000-0005-0000-0000-0000AC080000}"/>
    <cellStyle name="Nuovo 9 5" xfId="1414" xr:uid="{00000000-0005-0000-0000-0000AD080000}"/>
    <cellStyle name="Output 2" xfId="1415" xr:uid="{00000000-0005-0000-0000-0000AE080000}"/>
    <cellStyle name="Output 2 2" xfId="1416" xr:uid="{00000000-0005-0000-0000-0000AF080000}"/>
    <cellStyle name="Output 2 2 2" xfId="2446" xr:uid="{00000000-0005-0000-0000-0000B0080000}"/>
    <cellStyle name="Output 2 3" xfId="2447" xr:uid="{00000000-0005-0000-0000-0000B1080000}"/>
    <cellStyle name="Output 3" xfId="1417" xr:uid="{00000000-0005-0000-0000-0000B2080000}"/>
    <cellStyle name="Output 3 2" xfId="2448" xr:uid="{00000000-0005-0000-0000-0000B3080000}"/>
    <cellStyle name="Percen - Type1" xfId="1418" xr:uid="{00000000-0005-0000-0000-0000B4080000}"/>
    <cellStyle name="Percent" xfId="2582" builtinId="5"/>
    <cellStyle name="Percent 2" xfId="1419" xr:uid="{00000000-0005-0000-0000-0000B6080000}"/>
    <cellStyle name="Percent 2 2" xfId="1420" xr:uid="{00000000-0005-0000-0000-0000B7080000}"/>
    <cellStyle name="Percent 2 2 2" xfId="2449" xr:uid="{00000000-0005-0000-0000-0000B8080000}"/>
    <cellStyle name="Percent 2 2 3" xfId="2450" xr:uid="{00000000-0005-0000-0000-0000B9080000}"/>
    <cellStyle name="Percent 2 2 3 2" xfId="2451" xr:uid="{00000000-0005-0000-0000-0000BA080000}"/>
    <cellStyle name="Percent 2 2 4" xfId="2452" xr:uid="{00000000-0005-0000-0000-0000BB080000}"/>
    <cellStyle name="Percent 2 3" xfId="2453" xr:uid="{00000000-0005-0000-0000-0000BC080000}"/>
    <cellStyle name="Percent 2 3 2" xfId="2454" xr:uid="{00000000-0005-0000-0000-0000BD080000}"/>
    <cellStyle name="Percent 3" xfId="1421" xr:uid="{00000000-0005-0000-0000-0000BE080000}"/>
    <cellStyle name="Percent 3 2" xfId="1422" xr:uid="{00000000-0005-0000-0000-0000BF080000}"/>
    <cellStyle name="Percent 3 3" xfId="1423" xr:uid="{00000000-0005-0000-0000-0000C0080000}"/>
    <cellStyle name="Percent 3 3 2" xfId="1424" xr:uid="{00000000-0005-0000-0000-0000C1080000}"/>
    <cellStyle name="Percent 3 3 2 2" xfId="2455" xr:uid="{00000000-0005-0000-0000-0000C2080000}"/>
    <cellStyle name="Percent 3 4" xfId="1425" xr:uid="{00000000-0005-0000-0000-0000C3080000}"/>
    <cellStyle name="Percent 3 4 2" xfId="2456" xr:uid="{00000000-0005-0000-0000-0000C4080000}"/>
    <cellStyle name="Percent 4" xfId="1426" xr:uid="{00000000-0005-0000-0000-0000C5080000}"/>
    <cellStyle name="Percent 5" xfId="1427" xr:uid="{00000000-0005-0000-0000-0000C6080000}"/>
    <cellStyle name="Percentuale 10" xfId="1428" xr:uid="{00000000-0005-0000-0000-0000C7080000}"/>
    <cellStyle name="Percentuale 10 2" xfId="1429" xr:uid="{00000000-0005-0000-0000-0000C8080000}"/>
    <cellStyle name="Percentuale 10 3" xfId="1430" xr:uid="{00000000-0005-0000-0000-0000C9080000}"/>
    <cellStyle name="Percentuale 10 3 2" xfId="1431" xr:uid="{00000000-0005-0000-0000-0000CA080000}"/>
    <cellStyle name="Percentuale 10 3 2 2" xfId="1432" xr:uid="{00000000-0005-0000-0000-0000CB080000}"/>
    <cellStyle name="Percentuale 10 4" xfId="1433" xr:uid="{00000000-0005-0000-0000-0000CC080000}"/>
    <cellStyle name="Percentuale 10 4 2" xfId="2457" xr:uid="{00000000-0005-0000-0000-0000CD080000}"/>
    <cellStyle name="Percentuale 10 5" xfId="1434" xr:uid="{00000000-0005-0000-0000-0000CE080000}"/>
    <cellStyle name="Percentuale 11" xfId="1435" xr:uid="{00000000-0005-0000-0000-0000CF080000}"/>
    <cellStyle name="Percentuale 11 2" xfId="1436" xr:uid="{00000000-0005-0000-0000-0000D0080000}"/>
    <cellStyle name="Percentuale 11 3" xfId="1437" xr:uid="{00000000-0005-0000-0000-0000D1080000}"/>
    <cellStyle name="Percentuale 11 3 2" xfId="1438" xr:uid="{00000000-0005-0000-0000-0000D2080000}"/>
    <cellStyle name="Percentuale 11 3 2 2" xfId="1439" xr:uid="{00000000-0005-0000-0000-0000D3080000}"/>
    <cellStyle name="Percentuale 11 4" xfId="1440" xr:uid="{00000000-0005-0000-0000-0000D4080000}"/>
    <cellStyle name="Percentuale 11 4 2" xfId="2458" xr:uid="{00000000-0005-0000-0000-0000D5080000}"/>
    <cellStyle name="Percentuale 11 5" xfId="1441" xr:uid="{00000000-0005-0000-0000-0000D6080000}"/>
    <cellStyle name="Percentuale 12" xfId="1442" xr:uid="{00000000-0005-0000-0000-0000D7080000}"/>
    <cellStyle name="Percentuale 12 2" xfId="1443" xr:uid="{00000000-0005-0000-0000-0000D8080000}"/>
    <cellStyle name="Percentuale 12 3" xfId="1444" xr:uid="{00000000-0005-0000-0000-0000D9080000}"/>
    <cellStyle name="Percentuale 12 3 2" xfId="1445" xr:uid="{00000000-0005-0000-0000-0000DA080000}"/>
    <cellStyle name="Percentuale 12 3 2 2" xfId="1446" xr:uid="{00000000-0005-0000-0000-0000DB080000}"/>
    <cellStyle name="Percentuale 12 4" xfId="1447" xr:uid="{00000000-0005-0000-0000-0000DC080000}"/>
    <cellStyle name="Percentuale 12 4 2" xfId="2459" xr:uid="{00000000-0005-0000-0000-0000DD080000}"/>
    <cellStyle name="Percentuale 12 5" xfId="1448" xr:uid="{00000000-0005-0000-0000-0000DE080000}"/>
    <cellStyle name="Percentuale 13" xfId="1449" xr:uid="{00000000-0005-0000-0000-0000DF080000}"/>
    <cellStyle name="Percentuale 13 2" xfId="1450" xr:uid="{00000000-0005-0000-0000-0000E0080000}"/>
    <cellStyle name="Percentuale 13 3" xfId="1451" xr:uid="{00000000-0005-0000-0000-0000E1080000}"/>
    <cellStyle name="Percentuale 13 3 2" xfId="1452" xr:uid="{00000000-0005-0000-0000-0000E2080000}"/>
    <cellStyle name="Percentuale 13 3 2 2" xfId="1453" xr:uid="{00000000-0005-0000-0000-0000E3080000}"/>
    <cellStyle name="Percentuale 13 4" xfId="1454" xr:uid="{00000000-0005-0000-0000-0000E4080000}"/>
    <cellStyle name="Percentuale 13 4 2" xfId="2460" xr:uid="{00000000-0005-0000-0000-0000E5080000}"/>
    <cellStyle name="Percentuale 13 5" xfId="1455" xr:uid="{00000000-0005-0000-0000-0000E6080000}"/>
    <cellStyle name="Percentuale 14" xfId="1456" xr:uid="{00000000-0005-0000-0000-0000E7080000}"/>
    <cellStyle name="Percentuale 14 2" xfId="1457" xr:uid="{00000000-0005-0000-0000-0000E8080000}"/>
    <cellStyle name="Percentuale 14 3" xfId="1458" xr:uid="{00000000-0005-0000-0000-0000E9080000}"/>
    <cellStyle name="Percentuale 14 3 2" xfId="1459" xr:uid="{00000000-0005-0000-0000-0000EA080000}"/>
    <cellStyle name="Percentuale 14 3 2 2" xfId="1460" xr:uid="{00000000-0005-0000-0000-0000EB080000}"/>
    <cellStyle name="Percentuale 14 4" xfId="1461" xr:uid="{00000000-0005-0000-0000-0000EC080000}"/>
    <cellStyle name="Percentuale 14 4 2" xfId="2461" xr:uid="{00000000-0005-0000-0000-0000ED080000}"/>
    <cellStyle name="Percentuale 14 5" xfId="1462" xr:uid="{00000000-0005-0000-0000-0000EE080000}"/>
    <cellStyle name="Percentuale 15" xfId="1463" xr:uid="{00000000-0005-0000-0000-0000EF080000}"/>
    <cellStyle name="Percentuale 15 2" xfId="1464" xr:uid="{00000000-0005-0000-0000-0000F0080000}"/>
    <cellStyle name="Percentuale 15 3" xfId="1465" xr:uid="{00000000-0005-0000-0000-0000F1080000}"/>
    <cellStyle name="Percentuale 15 3 2" xfId="1466" xr:uid="{00000000-0005-0000-0000-0000F2080000}"/>
    <cellStyle name="Percentuale 15 3 2 2" xfId="1467" xr:uid="{00000000-0005-0000-0000-0000F3080000}"/>
    <cellStyle name="Percentuale 15 4" xfId="1468" xr:uid="{00000000-0005-0000-0000-0000F4080000}"/>
    <cellStyle name="Percentuale 15 4 2" xfId="2462" xr:uid="{00000000-0005-0000-0000-0000F5080000}"/>
    <cellStyle name="Percentuale 15 5" xfId="1469" xr:uid="{00000000-0005-0000-0000-0000F6080000}"/>
    <cellStyle name="Percentuale 16" xfId="1470" xr:uid="{00000000-0005-0000-0000-0000F7080000}"/>
    <cellStyle name="Percentuale 16 2" xfId="1471" xr:uid="{00000000-0005-0000-0000-0000F8080000}"/>
    <cellStyle name="Percentuale 16 3" xfId="1472" xr:uid="{00000000-0005-0000-0000-0000F9080000}"/>
    <cellStyle name="Percentuale 16 3 2" xfId="1473" xr:uid="{00000000-0005-0000-0000-0000FA080000}"/>
    <cellStyle name="Percentuale 16 3 2 2" xfId="1474" xr:uid="{00000000-0005-0000-0000-0000FB080000}"/>
    <cellStyle name="Percentuale 16 4" xfId="1475" xr:uid="{00000000-0005-0000-0000-0000FC080000}"/>
    <cellStyle name="Percentuale 16 4 2" xfId="2463" xr:uid="{00000000-0005-0000-0000-0000FD080000}"/>
    <cellStyle name="Percentuale 16 5" xfId="1476" xr:uid="{00000000-0005-0000-0000-0000FE080000}"/>
    <cellStyle name="Percentuale 17" xfId="1477" xr:uid="{00000000-0005-0000-0000-0000FF080000}"/>
    <cellStyle name="Percentuale 17 2" xfId="1478" xr:uid="{00000000-0005-0000-0000-000000090000}"/>
    <cellStyle name="Percentuale 17 3" xfId="1479" xr:uid="{00000000-0005-0000-0000-000001090000}"/>
    <cellStyle name="Percentuale 17 3 2" xfId="1480" xr:uid="{00000000-0005-0000-0000-000002090000}"/>
    <cellStyle name="Percentuale 17 3 2 2" xfId="1481" xr:uid="{00000000-0005-0000-0000-000003090000}"/>
    <cellStyle name="Percentuale 17 4" xfId="1482" xr:uid="{00000000-0005-0000-0000-000004090000}"/>
    <cellStyle name="Percentuale 17 4 2" xfId="2464" xr:uid="{00000000-0005-0000-0000-000005090000}"/>
    <cellStyle name="Percentuale 17 5" xfId="1483" xr:uid="{00000000-0005-0000-0000-000006090000}"/>
    <cellStyle name="Percentuale 18" xfId="1484" xr:uid="{00000000-0005-0000-0000-000007090000}"/>
    <cellStyle name="Percentuale 18 2" xfId="1485" xr:uid="{00000000-0005-0000-0000-000008090000}"/>
    <cellStyle name="Percentuale 18 3" xfId="1486" xr:uid="{00000000-0005-0000-0000-000009090000}"/>
    <cellStyle name="Percentuale 18 3 2" xfId="1487" xr:uid="{00000000-0005-0000-0000-00000A090000}"/>
    <cellStyle name="Percentuale 18 3 2 2" xfId="1488" xr:uid="{00000000-0005-0000-0000-00000B090000}"/>
    <cellStyle name="Percentuale 18 4" xfId="1489" xr:uid="{00000000-0005-0000-0000-00000C090000}"/>
    <cellStyle name="Percentuale 18 4 2" xfId="2465" xr:uid="{00000000-0005-0000-0000-00000D090000}"/>
    <cellStyle name="Percentuale 18 5" xfId="1490" xr:uid="{00000000-0005-0000-0000-00000E090000}"/>
    <cellStyle name="Percentuale 19" xfId="1491" xr:uid="{00000000-0005-0000-0000-00000F090000}"/>
    <cellStyle name="Percentuale 19 2" xfId="1492" xr:uid="{00000000-0005-0000-0000-000010090000}"/>
    <cellStyle name="Percentuale 19 3" xfId="1493" xr:uid="{00000000-0005-0000-0000-000011090000}"/>
    <cellStyle name="Percentuale 19 3 2" xfId="1494" xr:uid="{00000000-0005-0000-0000-000012090000}"/>
    <cellStyle name="Percentuale 19 3 2 2" xfId="1495" xr:uid="{00000000-0005-0000-0000-000013090000}"/>
    <cellStyle name="Percentuale 19 4" xfId="1496" xr:uid="{00000000-0005-0000-0000-000014090000}"/>
    <cellStyle name="Percentuale 19 4 2" xfId="2466" xr:uid="{00000000-0005-0000-0000-000015090000}"/>
    <cellStyle name="Percentuale 19 5" xfId="1497" xr:uid="{00000000-0005-0000-0000-000016090000}"/>
    <cellStyle name="Percentuale 2" xfId="1498" xr:uid="{00000000-0005-0000-0000-000017090000}"/>
    <cellStyle name="Percentuale 2 2" xfId="1499" xr:uid="{00000000-0005-0000-0000-000018090000}"/>
    <cellStyle name="Percentuale 2 3" xfId="1500" xr:uid="{00000000-0005-0000-0000-000019090000}"/>
    <cellStyle name="Percentuale 2 3 2" xfId="1501" xr:uid="{00000000-0005-0000-0000-00001A090000}"/>
    <cellStyle name="Percentuale 2 3 2 2" xfId="1502" xr:uid="{00000000-0005-0000-0000-00001B090000}"/>
    <cellStyle name="Percentuale 2 4" xfId="1503" xr:uid="{00000000-0005-0000-0000-00001C090000}"/>
    <cellStyle name="Percentuale 2 4 2" xfId="2467" xr:uid="{00000000-0005-0000-0000-00001D090000}"/>
    <cellStyle name="Percentuale 2 5" xfId="1504" xr:uid="{00000000-0005-0000-0000-00001E090000}"/>
    <cellStyle name="Percentuale 20" xfId="1505" xr:uid="{00000000-0005-0000-0000-00001F090000}"/>
    <cellStyle name="Percentuale 20 2" xfId="1506" xr:uid="{00000000-0005-0000-0000-000020090000}"/>
    <cellStyle name="Percentuale 20 3" xfId="1507" xr:uid="{00000000-0005-0000-0000-000021090000}"/>
    <cellStyle name="Percentuale 20 3 2" xfId="1508" xr:uid="{00000000-0005-0000-0000-000022090000}"/>
    <cellStyle name="Percentuale 20 3 2 2" xfId="1509" xr:uid="{00000000-0005-0000-0000-000023090000}"/>
    <cellStyle name="Percentuale 20 4" xfId="1510" xr:uid="{00000000-0005-0000-0000-000024090000}"/>
    <cellStyle name="Percentuale 20 4 2" xfId="2468" xr:uid="{00000000-0005-0000-0000-000025090000}"/>
    <cellStyle name="Percentuale 20 5" xfId="1511" xr:uid="{00000000-0005-0000-0000-000026090000}"/>
    <cellStyle name="Percentuale 21" xfId="1512" xr:uid="{00000000-0005-0000-0000-000027090000}"/>
    <cellStyle name="Percentuale 21 2" xfId="1513" xr:uid="{00000000-0005-0000-0000-000028090000}"/>
    <cellStyle name="Percentuale 21 3" xfId="1514" xr:uid="{00000000-0005-0000-0000-000029090000}"/>
    <cellStyle name="Percentuale 21 3 2" xfId="1515" xr:uid="{00000000-0005-0000-0000-00002A090000}"/>
    <cellStyle name="Percentuale 21 3 2 2" xfId="1516" xr:uid="{00000000-0005-0000-0000-00002B090000}"/>
    <cellStyle name="Percentuale 21 4" xfId="1517" xr:uid="{00000000-0005-0000-0000-00002C090000}"/>
    <cellStyle name="Percentuale 21 4 2" xfId="2469" xr:uid="{00000000-0005-0000-0000-00002D090000}"/>
    <cellStyle name="Percentuale 21 5" xfId="1518" xr:uid="{00000000-0005-0000-0000-00002E090000}"/>
    <cellStyle name="Percentuale 22" xfId="1519" xr:uid="{00000000-0005-0000-0000-00002F090000}"/>
    <cellStyle name="Percentuale 22 2" xfId="1520" xr:uid="{00000000-0005-0000-0000-000030090000}"/>
    <cellStyle name="Percentuale 22 3" xfId="1521" xr:uid="{00000000-0005-0000-0000-000031090000}"/>
    <cellStyle name="Percentuale 22 3 2" xfId="1522" xr:uid="{00000000-0005-0000-0000-000032090000}"/>
    <cellStyle name="Percentuale 22 3 2 2" xfId="1523" xr:uid="{00000000-0005-0000-0000-000033090000}"/>
    <cellStyle name="Percentuale 22 4" xfId="1524" xr:uid="{00000000-0005-0000-0000-000034090000}"/>
    <cellStyle name="Percentuale 22 4 2" xfId="2470" xr:uid="{00000000-0005-0000-0000-000035090000}"/>
    <cellStyle name="Percentuale 22 5" xfId="1525" xr:uid="{00000000-0005-0000-0000-000036090000}"/>
    <cellStyle name="Percentuale 23" xfId="1526" xr:uid="{00000000-0005-0000-0000-000037090000}"/>
    <cellStyle name="Percentuale 23 2" xfId="1527" xr:uid="{00000000-0005-0000-0000-000038090000}"/>
    <cellStyle name="Percentuale 23 3" xfId="1528" xr:uid="{00000000-0005-0000-0000-000039090000}"/>
    <cellStyle name="Percentuale 23 3 2" xfId="1529" xr:uid="{00000000-0005-0000-0000-00003A090000}"/>
    <cellStyle name="Percentuale 23 3 2 2" xfId="1530" xr:uid="{00000000-0005-0000-0000-00003B090000}"/>
    <cellStyle name="Percentuale 23 4" xfId="1531" xr:uid="{00000000-0005-0000-0000-00003C090000}"/>
    <cellStyle name="Percentuale 23 4 2" xfId="2471" xr:uid="{00000000-0005-0000-0000-00003D090000}"/>
    <cellStyle name="Percentuale 23 5" xfId="1532" xr:uid="{00000000-0005-0000-0000-00003E090000}"/>
    <cellStyle name="Percentuale 24" xfId="1533" xr:uid="{00000000-0005-0000-0000-00003F090000}"/>
    <cellStyle name="Percentuale 24 2" xfId="1534" xr:uid="{00000000-0005-0000-0000-000040090000}"/>
    <cellStyle name="Percentuale 24 3" xfId="1535" xr:uid="{00000000-0005-0000-0000-000041090000}"/>
    <cellStyle name="Percentuale 24 3 2" xfId="1536" xr:uid="{00000000-0005-0000-0000-000042090000}"/>
    <cellStyle name="Percentuale 24 3 2 2" xfId="1537" xr:uid="{00000000-0005-0000-0000-000043090000}"/>
    <cellStyle name="Percentuale 24 4" xfId="1538" xr:uid="{00000000-0005-0000-0000-000044090000}"/>
    <cellStyle name="Percentuale 24 4 2" xfId="2472" xr:uid="{00000000-0005-0000-0000-000045090000}"/>
    <cellStyle name="Percentuale 24 5" xfId="1539" xr:uid="{00000000-0005-0000-0000-000046090000}"/>
    <cellStyle name="Percentuale 25" xfId="1540" xr:uid="{00000000-0005-0000-0000-000047090000}"/>
    <cellStyle name="Percentuale 25 2" xfId="1541" xr:uid="{00000000-0005-0000-0000-000048090000}"/>
    <cellStyle name="Percentuale 25 3" xfId="1542" xr:uid="{00000000-0005-0000-0000-000049090000}"/>
    <cellStyle name="Percentuale 25 3 2" xfId="1543" xr:uid="{00000000-0005-0000-0000-00004A090000}"/>
    <cellStyle name="Percentuale 25 3 2 2" xfId="1544" xr:uid="{00000000-0005-0000-0000-00004B090000}"/>
    <cellStyle name="Percentuale 25 4" xfId="1545" xr:uid="{00000000-0005-0000-0000-00004C090000}"/>
    <cellStyle name="Percentuale 25 4 2" xfId="2473" xr:uid="{00000000-0005-0000-0000-00004D090000}"/>
    <cellStyle name="Percentuale 25 5" xfId="1546" xr:uid="{00000000-0005-0000-0000-00004E090000}"/>
    <cellStyle name="Percentuale 26" xfId="1547" xr:uid="{00000000-0005-0000-0000-00004F090000}"/>
    <cellStyle name="Percentuale 26 2" xfId="1548" xr:uid="{00000000-0005-0000-0000-000050090000}"/>
    <cellStyle name="Percentuale 26 3" xfId="1549" xr:uid="{00000000-0005-0000-0000-000051090000}"/>
    <cellStyle name="Percentuale 26 3 2" xfId="1550" xr:uid="{00000000-0005-0000-0000-000052090000}"/>
    <cellStyle name="Percentuale 26 3 2 2" xfId="1551" xr:uid="{00000000-0005-0000-0000-000053090000}"/>
    <cellStyle name="Percentuale 26 4" xfId="1552" xr:uid="{00000000-0005-0000-0000-000054090000}"/>
    <cellStyle name="Percentuale 26 4 2" xfId="2474" xr:uid="{00000000-0005-0000-0000-000055090000}"/>
    <cellStyle name="Percentuale 26 5" xfId="1553" xr:uid="{00000000-0005-0000-0000-000056090000}"/>
    <cellStyle name="Percentuale 27" xfId="1554" xr:uid="{00000000-0005-0000-0000-000057090000}"/>
    <cellStyle name="Percentuale 27 2" xfId="1555" xr:uid="{00000000-0005-0000-0000-000058090000}"/>
    <cellStyle name="Percentuale 27 3" xfId="1556" xr:uid="{00000000-0005-0000-0000-000059090000}"/>
    <cellStyle name="Percentuale 27 3 2" xfId="1557" xr:uid="{00000000-0005-0000-0000-00005A090000}"/>
    <cellStyle name="Percentuale 27 3 2 2" xfId="1558" xr:uid="{00000000-0005-0000-0000-00005B090000}"/>
    <cellStyle name="Percentuale 27 4" xfId="1559" xr:uid="{00000000-0005-0000-0000-00005C090000}"/>
    <cellStyle name="Percentuale 27 4 2" xfId="2475" xr:uid="{00000000-0005-0000-0000-00005D090000}"/>
    <cellStyle name="Percentuale 27 5" xfId="1560" xr:uid="{00000000-0005-0000-0000-00005E090000}"/>
    <cellStyle name="Percentuale 28" xfId="1561" xr:uid="{00000000-0005-0000-0000-00005F090000}"/>
    <cellStyle name="Percentuale 28 2" xfId="1562" xr:uid="{00000000-0005-0000-0000-000060090000}"/>
    <cellStyle name="Percentuale 28 3" xfId="1563" xr:uid="{00000000-0005-0000-0000-000061090000}"/>
    <cellStyle name="Percentuale 28 3 2" xfId="1564" xr:uid="{00000000-0005-0000-0000-000062090000}"/>
    <cellStyle name="Percentuale 28 3 2 2" xfId="1565" xr:uid="{00000000-0005-0000-0000-000063090000}"/>
    <cellStyle name="Percentuale 28 4" xfId="1566" xr:uid="{00000000-0005-0000-0000-000064090000}"/>
    <cellStyle name="Percentuale 28 4 2" xfId="2476" xr:uid="{00000000-0005-0000-0000-000065090000}"/>
    <cellStyle name="Percentuale 28 5" xfId="1567" xr:uid="{00000000-0005-0000-0000-000066090000}"/>
    <cellStyle name="Percentuale 29" xfId="1568" xr:uid="{00000000-0005-0000-0000-000067090000}"/>
    <cellStyle name="Percentuale 29 2" xfId="1569" xr:uid="{00000000-0005-0000-0000-000068090000}"/>
    <cellStyle name="Percentuale 29 3" xfId="1570" xr:uid="{00000000-0005-0000-0000-000069090000}"/>
    <cellStyle name="Percentuale 29 3 2" xfId="1571" xr:uid="{00000000-0005-0000-0000-00006A090000}"/>
    <cellStyle name="Percentuale 29 3 2 2" xfId="1572" xr:uid="{00000000-0005-0000-0000-00006B090000}"/>
    <cellStyle name="Percentuale 29 4" xfId="1573" xr:uid="{00000000-0005-0000-0000-00006C090000}"/>
    <cellStyle name="Percentuale 29 4 2" xfId="2477" xr:uid="{00000000-0005-0000-0000-00006D090000}"/>
    <cellStyle name="Percentuale 29 5" xfId="1574" xr:uid="{00000000-0005-0000-0000-00006E090000}"/>
    <cellStyle name="Percentuale 3" xfId="1575" xr:uid="{00000000-0005-0000-0000-00006F090000}"/>
    <cellStyle name="Percentuale 3 2" xfId="1576" xr:uid="{00000000-0005-0000-0000-000070090000}"/>
    <cellStyle name="Percentuale 3 3" xfId="1577" xr:uid="{00000000-0005-0000-0000-000071090000}"/>
    <cellStyle name="Percentuale 3 3 2" xfId="1578" xr:uid="{00000000-0005-0000-0000-000072090000}"/>
    <cellStyle name="Percentuale 3 3 2 2" xfId="1579" xr:uid="{00000000-0005-0000-0000-000073090000}"/>
    <cellStyle name="Percentuale 3 4" xfId="1580" xr:uid="{00000000-0005-0000-0000-000074090000}"/>
    <cellStyle name="Percentuale 3 4 2" xfId="2478" xr:uid="{00000000-0005-0000-0000-000075090000}"/>
    <cellStyle name="Percentuale 3 5" xfId="1581" xr:uid="{00000000-0005-0000-0000-000076090000}"/>
    <cellStyle name="Percentuale 30" xfId="1582" xr:uid="{00000000-0005-0000-0000-000077090000}"/>
    <cellStyle name="Percentuale 30 2" xfId="1583" xr:uid="{00000000-0005-0000-0000-000078090000}"/>
    <cellStyle name="Percentuale 30 3" xfId="1584" xr:uid="{00000000-0005-0000-0000-000079090000}"/>
    <cellStyle name="Percentuale 30 3 2" xfId="1585" xr:uid="{00000000-0005-0000-0000-00007A090000}"/>
    <cellStyle name="Percentuale 30 3 2 2" xfId="1586" xr:uid="{00000000-0005-0000-0000-00007B090000}"/>
    <cellStyle name="Percentuale 30 4" xfId="1587" xr:uid="{00000000-0005-0000-0000-00007C090000}"/>
    <cellStyle name="Percentuale 30 4 2" xfId="2479" xr:uid="{00000000-0005-0000-0000-00007D090000}"/>
    <cellStyle name="Percentuale 30 5" xfId="1588" xr:uid="{00000000-0005-0000-0000-00007E090000}"/>
    <cellStyle name="Percentuale 31" xfId="1589" xr:uid="{00000000-0005-0000-0000-00007F090000}"/>
    <cellStyle name="Percentuale 31 2" xfId="1590" xr:uid="{00000000-0005-0000-0000-000080090000}"/>
    <cellStyle name="Percentuale 31 3" xfId="1591" xr:uid="{00000000-0005-0000-0000-000081090000}"/>
    <cellStyle name="Percentuale 31 3 2" xfId="1592" xr:uid="{00000000-0005-0000-0000-000082090000}"/>
    <cellStyle name="Percentuale 31 3 2 2" xfId="1593" xr:uid="{00000000-0005-0000-0000-000083090000}"/>
    <cellStyle name="Percentuale 31 4" xfId="1594" xr:uid="{00000000-0005-0000-0000-000084090000}"/>
    <cellStyle name="Percentuale 31 4 2" xfId="2480" xr:uid="{00000000-0005-0000-0000-000085090000}"/>
    <cellStyle name="Percentuale 31 5" xfId="1595" xr:uid="{00000000-0005-0000-0000-000086090000}"/>
    <cellStyle name="Percentuale 32" xfId="1596" xr:uid="{00000000-0005-0000-0000-000087090000}"/>
    <cellStyle name="Percentuale 32 2" xfId="1597" xr:uid="{00000000-0005-0000-0000-000088090000}"/>
    <cellStyle name="Percentuale 32 3" xfId="1598" xr:uid="{00000000-0005-0000-0000-000089090000}"/>
    <cellStyle name="Percentuale 32 3 2" xfId="1599" xr:uid="{00000000-0005-0000-0000-00008A090000}"/>
    <cellStyle name="Percentuale 32 3 2 2" xfId="1600" xr:uid="{00000000-0005-0000-0000-00008B090000}"/>
    <cellStyle name="Percentuale 32 4" xfId="1601" xr:uid="{00000000-0005-0000-0000-00008C090000}"/>
    <cellStyle name="Percentuale 32 4 2" xfId="2481" xr:uid="{00000000-0005-0000-0000-00008D090000}"/>
    <cellStyle name="Percentuale 32 5" xfId="1602" xr:uid="{00000000-0005-0000-0000-00008E090000}"/>
    <cellStyle name="Percentuale 33" xfId="1603" xr:uid="{00000000-0005-0000-0000-00008F090000}"/>
    <cellStyle name="Percentuale 33 2" xfId="1604" xr:uid="{00000000-0005-0000-0000-000090090000}"/>
    <cellStyle name="Percentuale 33 3" xfId="1605" xr:uid="{00000000-0005-0000-0000-000091090000}"/>
    <cellStyle name="Percentuale 33 3 2" xfId="1606" xr:uid="{00000000-0005-0000-0000-000092090000}"/>
    <cellStyle name="Percentuale 33 3 2 2" xfId="1607" xr:uid="{00000000-0005-0000-0000-000093090000}"/>
    <cellStyle name="Percentuale 33 4" xfId="1608" xr:uid="{00000000-0005-0000-0000-000094090000}"/>
    <cellStyle name="Percentuale 33 4 2" xfId="2482" xr:uid="{00000000-0005-0000-0000-000095090000}"/>
    <cellStyle name="Percentuale 33 5" xfId="1609" xr:uid="{00000000-0005-0000-0000-000096090000}"/>
    <cellStyle name="Percentuale 34" xfId="1610" xr:uid="{00000000-0005-0000-0000-000097090000}"/>
    <cellStyle name="Percentuale 34 2" xfId="1611" xr:uid="{00000000-0005-0000-0000-000098090000}"/>
    <cellStyle name="Percentuale 34 3" xfId="1612" xr:uid="{00000000-0005-0000-0000-000099090000}"/>
    <cellStyle name="Percentuale 34 3 2" xfId="1613" xr:uid="{00000000-0005-0000-0000-00009A090000}"/>
    <cellStyle name="Percentuale 34 3 2 2" xfId="1614" xr:uid="{00000000-0005-0000-0000-00009B090000}"/>
    <cellStyle name="Percentuale 34 4" xfId="1615" xr:uid="{00000000-0005-0000-0000-00009C090000}"/>
    <cellStyle name="Percentuale 34 4 2" xfId="2483" xr:uid="{00000000-0005-0000-0000-00009D090000}"/>
    <cellStyle name="Percentuale 34 5" xfId="1616" xr:uid="{00000000-0005-0000-0000-00009E090000}"/>
    <cellStyle name="Percentuale 35" xfId="1617" xr:uid="{00000000-0005-0000-0000-00009F090000}"/>
    <cellStyle name="Percentuale 35 2" xfId="1618" xr:uid="{00000000-0005-0000-0000-0000A0090000}"/>
    <cellStyle name="Percentuale 35 3" xfId="1619" xr:uid="{00000000-0005-0000-0000-0000A1090000}"/>
    <cellStyle name="Percentuale 35 3 2" xfId="1620" xr:uid="{00000000-0005-0000-0000-0000A2090000}"/>
    <cellStyle name="Percentuale 35 3 2 2" xfId="1621" xr:uid="{00000000-0005-0000-0000-0000A3090000}"/>
    <cellStyle name="Percentuale 35 4" xfId="1622" xr:uid="{00000000-0005-0000-0000-0000A4090000}"/>
    <cellStyle name="Percentuale 35 4 2" xfId="2484" xr:uid="{00000000-0005-0000-0000-0000A5090000}"/>
    <cellStyle name="Percentuale 35 5" xfId="1623" xr:uid="{00000000-0005-0000-0000-0000A6090000}"/>
    <cellStyle name="Percentuale 36" xfId="1624" xr:uid="{00000000-0005-0000-0000-0000A7090000}"/>
    <cellStyle name="Percentuale 36 2" xfId="1625" xr:uid="{00000000-0005-0000-0000-0000A8090000}"/>
    <cellStyle name="Percentuale 36 3" xfId="1626" xr:uid="{00000000-0005-0000-0000-0000A9090000}"/>
    <cellStyle name="Percentuale 36 3 2" xfId="1627" xr:uid="{00000000-0005-0000-0000-0000AA090000}"/>
    <cellStyle name="Percentuale 36 3 2 2" xfId="1628" xr:uid="{00000000-0005-0000-0000-0000AB090000}"/>
    <cellStyle name="Percentuale 36 4" xfId="1629" xr:uid="{00000000-0005-0000-0000-0000AC090000}"/>
    <cellStyle name="Percentuale 36 4 2" xfId="2485" xr:uid="{00000000-0005-0000-0000-0000AD090000}"/>
    <cellStyle name="Percentuale 36 5" xfId="1630" xr:uid="{00000000-0005-0000-0000-0000AE090000}"/>
    <cellStyle name="Percentuale 37" xfId="1631" xr:uid="{00000000-0005-0000-0000-0000AF090000}"/>
    <cellStyle name="Percentuale 37 2" xfId="1632" xr:uid="{00000000-0005-0000-0000-0000B0090000}"/>
    <cellStyle name="Percentuale 37 3" xfId="1633" xr:uid="{00000000-0005-0000-0000-0000B1090000}"/>
    <cellStyle name="Percentuale 37 3 2" xfId="1634" xr:uid="{00000000-0005-0000-0000-0000B2090000}"/>
    <cellStyle name="Percentuale 37 3 2 2" xfId="1635" xr:uid="{00000000-0005-0000-0000-0000B3090000}"/>
    <cellStyle name="Percentuale 37 4" xfId="1636" xr:uid="{00000000-0005-0000-0000-0000B4090000}"/>
    <cellStyle name="Percentuale 37 4 2" xfId="2486" xr:uid="{00000000-0005-0000-0000-0000B5090000}"/>
    <cellStyle name="Percentuale 37 5" xfId="1637" xr:uid="{00000000-0005-0000-0000-0000B6090000}"/>
    <cellStyle name="Percentuale 38" xfId="1638" xr:uid="{00000000-0005-0000-0000-0000B7090000}"/>
    <cellStyle name="Percentuale 38 2" xfId="1639" xr:uid="{00000000-0005-0000-0000-0000B8090000}"/>
    <cellStyle name="Percentuale 38 3" xfId="1640" xr:uid="{00000000-0005-0000-0000-0000B9090000}"/>
    <cellStyle name="Percentuale 38 3 2" xfId="1641" xr:uid="{00000000-0005-0000-0000-0000BA090000}"/>
    <cellStyle name="Percentuale 38 3 2 2" xfId="1642" xr:uid="{00000000-0005-0000-0000-0000BB090000}"/>
    <cellStyle name="Percentuale 38 4" xfId="1643" xr:uid="{00000000-0005-0000-0000-0000BC090000}"/>
    <cellStyle name="Percentuale 38 4 2" xfId="2487" xr:uid="{00000000-0005-0000-0000-0000BD090000}"/>
    <cellStyle name="Percentuale 38 5" xfId="1644" xr:uid="{00000000-0005-0000-0000-0000BE090000}"/>
    <cellStyle name="Percentuale 39" xfId="1645" xr:uid="{00000000-0005-0000-0000-0000BF090000}"/>
    <cellStyle name="Percentuale 39 2" xfId="1646" xr:uid="{00000000-0005-0000-0000-0000C0090000}"/>
    <cellStyle name="Percentuale 39 3" xfId="1647" xr:uid="{00000000-0005-0000-0000-0000C1090000}"/>
    <cellStyle name="Percentuale 39 3 2" xfId="1648" xr:uid="{00000000-0005-0000-0000-0000C2090000}"/>
    <cellStyle name="Percentuale 39 3 2 2" xfId="1649" xr:uid="{00000000-0005-0000-0000-0000C3090000}"/>
    <cellStyle name="Percentuale 39 4" xfId="1650" xr:uid="{00000000-0005-0000-0000-0000C4090000}"/>
    <cellStyle name="Percentuale 39 4 2" xfId="2488" xr:uid="{00000000-0005-0000-0000-0000C5090000}"/>
    <cellStyle name="Percentuale 39 5" xfId="1651" xr:uid="{00000000-0005-0000-0000-0000C6090000}"/>
    <cellStyle name="Percentuale 4" xfId="1652" xr:uid="{00000000-0005-0000-0000-0000C7090000}"/>
    <cellStyle name="Percentuale 4 2" xfId="1653" xr:uid="{00000000-0005-0000-0000-0000C8090000}"/>
    <cellStyle name="Percentuale 4 3" xfId="1654" xr:uid="{00000000-0005-0000-0000-0000C9090000}"/>
    <cellStyle name="Percentuale 4 3 2" xfId="1655" xr:uid="{00000000-0005-0000-0000-0000CA090000}"/>
    <cellStyle name="Percentuale 4 3 2 2" xfId="1656" xr:uid="{00000000-0005-0000-0000-0000CB090000}"/>
    <cellStyle name="Percentuale 4 4" xfId="1657" xr:uid="{00000000-0005-0000-0000-0000CC090000}"/>
    <cellStyle name="Percentuale 4 4 2" xfId="2489" xr:uid="{00000000-0005-0000-0000-0000CD090000}"/>
    <cellStyle name="Percentuale 4 5" xfId="1658" xr:uid="{00000000-0005-0000-0000-0000CE090000}"/>
    <cellStyle name="Percentuale 40" xfId="1659" xr:uid="{00000000-0005-0000-0000-0000CF090000}"/>
    <cellStyle name="Percentuale 40 2" xfId="1660" xr:uid="{00000000-0005-0000-0000-0000D0090000}"/>
    <cellStyle name="Percentuale 40 3" xfId="1661" xr:uid="{00000000-0005-0000-0000-0000D1090000}"/>
    <cellStyle name="Percentuale 40 3 2" xfId="1662" xr:uid="{00000000-0005-0000-0000-0000D2090000}"/>
    <cellStyle name="Percentuale 40 3 2 2" xfId="1663" xr:uid="{00000000-0005-0000-0000-0000D3090000}"/>
    <cellStyle name="Percentuale 40 4" xfId="1664" xr:uid="{00000000-0005-0000-0000-0000D4090000}"/>
    <cellStyle name="Percentuale 40 4 2" xfId="2490" xr:uid="{00000000-0005-0000-0000-0000D5090000}"/>
    <cellStyle name="Percentuale 40 5" xfId="1665" xr:uid="{00000000-0005-0000-0000-0000D6090000}"/>
    <cellStyle name="Percentuale 41" xfId="1666" xr:uid="{00000000-0005-0000-0000-0000D7090000}"/>
    <cellStyle name="Percentuale 41 2" xfId="1667" xr:uid="{00000000-0005-0000-0000-0000D8090000}"/>
    <cellStyle name="Percentuale 41 3" xfId="1668" xr:uid="{00000000-0005-0000-0000-0000D9090000}"/>
    <cellStyle name="Percentuale 41 3 2" xfId="1669" xr:uid="{00000000-0005-0000-0000-0000DA090000}"/>
    <cellStyle name="Percentuale 41 3 2 2" xfId="1670" xr:uid="{00000000-0005-0000-0000-0000DB090000}"/>
    <cellStyle name="Percentuale 41 4" xfId="1671" xr:uid="{00000000-0005-0000-0000-0000DC090000}"/>
    <cellStyle name="Percentuale 41 4 2" xfId="2491" xr:uid="{00000000-0005-0000-0000-0000DD090000}"/>
    <cellStyle name="Percentuale 41 5" xfId="1672" xr:uid="{00000000-0005-0000-0000-0000DE090000}"/>
    <cellStyle name="Percentuale 42" xfId="1673" xr:uid="{00000000-0005-0000-0000-0000DF090000}"/>
    <cellStyle name="Percentuale 42 2" xfId="1674" xr:uid="{00000000-0005-0000-0000-0000E0090000}"/>
    <cellStyle name="Percentuale 42 3" xfId="1675" xr:uid="{00000000-0005-0000-0000-0000E1090000}"/>
    <cellStyle name="Percentuale 42 3 2" xfId="1676" xr:uid="{00000000-0005-0000-0000-0000E2090000}"/>
    <cellStyle name="Percentuale 42 3 2 2" xfId="1677" xr:uid="{00000000-0005-0000-0000-0000E3090000}"/>
    <cellStyle name="Percentuale 42 4" xfId="1678" xr:uid="{00000000-0005-0000-0000-0000E4090000}"/>
    <cellStyle name="Percentuale 42 4 2" xfId="2492" xr:uid="{00000000-0005-0000-0000-0000E5090000}"/>
    <cellStyle name="Percentuale 42 5" xfId="1679" xr:uid="{00000000-0005-0000-0000-0000E6090000}"/>
    <cellStyle name="Percentuale 43" xfId="1680" xr:uid="{00000000-0005-0000-0000-0000E7090000}"/>
    <cellStyle name="Percentuale 43 2" xfId="1681" xr:uid="{00000000-0005-0000-0000-0000E8090000}"/>
    <cellStyle name="Percentuale 43 3" xfId="1682" xr:uid="{00000000-0005-0000-0000-0000E9090000}"/>
    <cellStyle name="Percentuale 43 3 2" xfId="1683" xr:uid="{00000000-0005-0000-0000-0000EA090000}"/>
    <cellStyle name="Percentuale 43 3 2 2" xfId="1684" xr:uid="{00000000-0005-0000-0000-0000EB090000}"/>
    <cellStyle name="Percentuale 43 4" xfId="1685" xr:uid="{00000000-0005-0000-0000-0000EC090000}"/>
    <cellStyle name="Percentuale 43 4 2" xfId="2493" xr:uid="{00000000-0005-0000-0000-0000ED090000}"/>
    <cellStyle name="Percentuale 43 5" xfId="1686" xr:uid="{00000000-0005-0000-0000-0000EE090000}"/>
    <cellStyle name="Percentuale 44" xfId="1687" xr:uid="{00000000-0005-0000-0000-0000EF090000}"/>
    <cellStyle name="Percentuale 44 2" xfId="1688" xr:uid="{00000000-0005-0000-0000-0000F0090000}"/>
    <cellStyle name="Percentuale 44 3" xfId="1689" xr:uid="{00000000-0005-0000-0000-0000F1090000}"/>
    <cellStyle name="Percentuale 44 3 2" xfId="1690" xr:uid="{00000000-0005-0000-0000-0000F2090000}"/>
    <cellStyle name="Percentuale 44 3 2 2" xfId="1691" xr:uid="{00000000-0005-0000-0000-0000F3090000}"/>
    <cellStyle name="Percentuale 44 4" xfId="1692" xr:uid="{00000000-0005-0000-0000-0000F4090000}"/>
    <cellStyle name="Percentuale 44 4 2" xfId="2494" xr:uid="{00000000-0005-0000-0000-0000F5090000}"/>
    <cellStyle name="Percentuale 44 5" xfId="1693" xr:uid="{00000000-0005-0000-0000-0000F6090000}"/>
    <cellStyle name="Percentuale 45" xfId="1694" xr:uid="{00000000-0005-0000-0000-0000F7090000}"/>
    <cellStyle name="Percentuale 45 2" xfId="1695" xr:uid="{00000000-0005-0000-0000-0000F8090000}"/>
    <cellStyle name="Percentuale 45 3" xfId="1696" xr:uid="{00000000-0005-0000-0000-0000F9090000}"/>
    <cellStyle name="Percentuale 45 3 2" xfId="1697" xr:uid="{00000000-0005-0000-0000-0000FA090000}"/>
    <cellStyle name="Percentuale 45 3 2 2" xfId="1698" xr:uid="{00000000-0005-0000-0000-0000FB090000}"/>
    <cellStyle name="Percentuale 45 4" xfId="1699" xr:uid="{00000000-0005-0000-0000-0000FC090000}"/>
    <cellStyle name="Percentuale 45 4 2" xfId="2495" xr:uid="{00000000-0005-0000-0000-0000FD090000}"/>
    <cellStyle name="Percentuale 45 5" xfId="1700" xr:uid="{00000000-0005-0000-0000-0000FE090000}"/>
    <cellStyle name="Percentuale 46" xfId="1701" xr:uid="{00000000-0005-0000-0000-0000FF090000}"/>
    <cellStyle name="Percentuale 46 2" xfId="1702" xr:uid="{00000000-0005-0000-0000-0000000A0000}"/>
    <cellStyle name="Percentuale 46 3" xfId="1703" xr:uid="{00000000-0005-0000-0000-0000010A0000}"/>
    <cellStyle name="Percentuale 46 3 2" xfId="1704" xr:uid="{00000000-0005-0000-0000-0000020A0000}"/>
    <cellStyle name="Percentuale 46 3 2 2" xfId="1705" xr:uid="{00000000-0005-0000-0000-0000030A0000}"/>
    <cellStyle name="Percentuale 46 4" xfId="1706" xr:uid="{00000000-0005-0000-0000-0000040A0000}"/>
    <cellStyle name="Percentuale 46 4 2" xfId="2496" xr:uid="{00000000-0005-0000-0000-0000050A0000}"/>
    <cellStyle name="Percentuale 46 5" xfId="1707" xr:uid="{00000000-0005-0000-0000-0000060A0000}"/>
    <cellStyle name="Percentuale 47" xfId="1708" xr:uid="{00000000-0005-0000-0000-0000070A0000}"/>
    <cellStyle name="Percentuale 47 2" xfId="1709" xr:uid="{00000000-0005-0000-0000-0000080A0000}"/>
    <cellStyle name="Percentuale 47 3" xfId="1710" xr:uid="{00000000-0005-0000-0000-0000090A0000}"/>
    <cellStyle name="Percentuale 47 3 2" xfId="1711" xr:uid="{00000000-0005-0000-0000-00000A0A0000}"/>
    <cellStyle name="Percentuale 47 3 2 2" xfId="1712" xr:uid="{00000000-0005-0000-0000-00000B0A0000}"/>
    <cellStyle name="Percentuale 47 4" xfId="1713" xr:uid="{00000000-0005-0000-0000-00000C0A0000}"/>
    <cellStyle name="Percentuale 47 4 2" xfId="2497" xr:uid="{00000000-0005-0000-0000-00000D0A0000}"/>
    <cellStyle name="Percentuale 47 5" xfId="1714" xr:uid="{00000000-0005-0000-0000-00000E0A0000}"/>
    <cellStyle name="Percentuale 48" xfId="1715" xr:uid="{00000000-0005-0000-0000-00000F0A0000}"/>
    <cellStyle name="Percentuale 48 2" xfId="1716" xr:uid="{00000000-0005-0000-0000-0000100A0000}"/>
    <cellStyle name="Percentuale 48 3" xfId="1717" xr:uid="{00000000-0005-0000-0000-0000110A0000}"/>
    <cellStyle name="Percentuale 48 3 2" xfId="1718" xr:uid="{00000000-0005-0000-0000-0000120A0000}"/>
    <cellStyle name="Percentuale 48 3 2 2" xfId="1719" xr:uid="{00000000-0005-0000-0000-0000130A0000}"/>
    <cellStyle name="Percentuale 48 4" xfId="1720" xr:uid="{00000000-0005-0000-0000-0000140A0000}"/>
    <cellStyle name="Percentuale 48 4 2" xfId="2498" xr:uid="{00000000-0005-0000-0000-0000150A0000}"/>
    <cellStyle name="Percentuale 48 5" xfId="1721" xr:uid="{00000000-0005-0000-0000-0000160A0000}"/>
    <cellStyle name="Percentuale 49" xfId="1722" xr:uid="{00000000-0005-0000-0000-0000170A0000}"/>
    <cellStyle name="Percentuale 49 2" xfId="1723" xr:uid="{00000000-0005-0000-0000-0000180A0000}"/>
    <cellStyle name="Percentuale 49 3" xfId="1724" xr:uid="{00000000-0005-0000-0000-0000190A0000}"/>
    <cellStyle name="Percentuale 49 3 2" xfId="1725" xr:uid="{00000000-0005-0000-0000-00001A0A0000}"/>
    <cellStyle name="Percentuale 49 3 2 2" xfId="1726" xr:uid="{00000000-0005-0000-0000-00001B0A0000}"/>
    <cellStyle name="Percentuale 49 4" xfId="1727" xr:uid="{00000000-0005-0000-0000-00001C0A0000}"/>
    <cellStyle name="Percentuale 49 4 2" xfId="2499" xr:uid="{00000000-0005-0000-0000-00001D0A0000}"/>
    <cellStyle name="Percentuale 49 5" xfId="1728" xr:uid="{00000000-0005-0000-0000-00001E0A0000}"/>
    <cellStyle name="Percentuale 5" xfId="1729" xr:uid="{00000000-0005-0000-0000-00001F0A0000}"/>
    <cellStyle name="Percentuale 5 2" xfId="1730" xr:uid="{00000000-0005-0000-0000-0000200A0000}"/>
    <cellStyle name="Percentuale 5 3" xfId="1731" xr:uid="{00000000-0005-0000-0000-0000210A0000}"/>
    <cellStyle name="Percentuale 5 3 2" xfId="1732" xr:uid="{00000000-0005-0000-0000-0000220A0000}"/>
    <cellStyle name="Percentuale 5 3 2 2" xfId="1733" xr:uid="{00000000-0005-0000-0000-0000230A0000}"/>
    <cellStyle name="Percentuale 5 4" xfId="1734" xr:uid="{00000000-0005-0000-0000-0000240A0000}"/>
    <cellStyle name="Percentuale 5 4 2" xfId="2500" xr:uid="{00000000-0005-0000-0000-0000250A0000}"/>
    <cellStyle name="Percentuale 5 5" xfId="1735" xr:uid="{00000000-0005-0000-0000-0000260A0000}"/>
    <cellStyle name="Percentuale 50" xfId="1736" xr:uid="{00000000-0005-0000-0000-0000270A0000}"/>
    <cellStyle name="Percentuale 50 2" xfId="1737" xr:uid="{00000000-0005-0000-0000-0000280A0000}"/>
    <cellStyle name="Percentuale 50 3" xfId="1738" xr:uid="{00000000-0005-0000-0000-0000290A0000}"/>
    <cellStyle name="Percentuale 50 3 2" xfId="1739" xr:uid="{00000000-0005-0000-0000-00002A0A0000}"/>
    <cellStyle name="Percentuale 50 3 2 2" xfId="1740" xr:uid="{00000000-0005-0000-0000-00002B0A0000}"/>
    <cellStyle name="Percentuale 50 4" xfId="1741" xr:uid="{00000000-0005-0000-0000-00002C0A0000}"/>
    <cellStyle name="Percentuale 50 4 2" xfId="2501" xr:uid="{00000000-0005-0000-0000-00002D0A0000}"/>
    <cellStyle name="Percentuale 50 5" xfId="1742" xr:uid="{00000000-0005-0000-0000-00002E0A0000}"/>
    <cellStyle name="Percentuale 51" xfId="1743" xr:uid="{00000000-0005-0000-0000-00002F0A0000}"/>
    <cellStyle name="Percentuale 51 2" xfId="1744" xr:uid="{00000000-0005-0000-0000-0000300A0000}"/>
    <cellStyle name="Percentuale 51 3" xfId="1745" xr:uid="{00000000-0005-0000-0000-0000310A0000}"/>
    <cellStyle name="Percentuale 51 3 2" xfId="1746" xr:uid="{00000000-0005-0000-0000-0000320A0000}"/>
    <cellStyle name="Percentuale 51 3 2 2" xfId="1747" xr:uid="{00000000-0005-0000-0000-0000330A0000}"/>
    <cellStyle name="Percentuale 51 4" xfId="1748" xr:uid="{00000000-0005-0000-0000-0000340A0000}"/>
    <cellStyle name="Percentuale 51 4 2" xfId="2502" xr:uid="{00000000-0005-0000-0000-0000350A0000}"/>
    <cellStyle name="Percentuale 51 5" xfId="1749" xr:uid="{00000000-0005-0000-0000-0000360A0000}"/>
    <cellStyle name="Percentuale 52" xfId="1750" xr:uid="{00000000-0005-0000-0000-0000370A0000}"/>
    <cellStyle name="Percentuale 52 2" xfId="1751" xr:uid="{00000000-0005-0000-0000-0000380A0000}"/>
    <cellStyle name="Percentuale 52 3" xfId="1752" xr:uid="{00000000-0005-0000-0000-0000390A0000}"/>
    <cellStyle name="Percentuale 52 3 2" xfId="1753" xr:uid="{00000000-0005-0000-0000-00003A0A0000}"/>
    <cellStyle name="Percentuale 52 3 2 2" xfId="1754" xr:uid="{00000000-0005-0000-0000-00003B0A0000}"/>
    <cellStyle name="Percentuale 52 4" xfId="1755" xr:uid="{00000000-0005-0000-0000-00003C0A0000}"/>
    <cellStyle name="Percentuale 52 4 2" xfId="2503" xr:uid="{00000000-0005-0000-0000-00003D0A0000}"/>
    <cellStyle name="Percentuale 52 5" xfId="1756" xr:uid="{00000000-0005-0000-0000-00003E0A0000}"/>
    <cellStyle name="Percentuale 53" xfId="1757" xr:uid="{00000000-0005-0000-0000-00003F0A0000}"/>
    <cellStyle name="Percentuale 53 2" xfId="1758" xr:uid="{00000000-0005-0000-0000-0000400A0000}"/>
    <cellStyle name="Percentuale 53 3" xfId="1759" xr:uid="{00000000-0005-0000-0000-0000410A0000}"/>
    <cellStyle name="Percentuale 53 3 2" xfId="1760" xr:uid="{00000000-0005-0000-0000-0000420A0000}"/>
    <cellStyle name="Percentuale 53 3 2 2" xfId="1761" xr:uid="{00000000-0005-0000-0000-0000430A0000}"/>
    <cellStyle name="Percentuale 53 4" xfId="1762" xr:uid="{00000000-0005-0000-0000-0000440A0000}"/>
    <cellStyle name="Percentuale 53 4 2" xfId="2504" xr:uid="{00000000-0005-0000-0000-0000450A0000}"/>
    <cellStyle name="Percentuale 53 5" xfId="1763" xr:uid="{00000000-0005-0000-0000-0000460A0000}"/>
    <cellStyle name="Percentuale 54" xfId="1764" xr:uid="{00000000-0005-0000-0000-0000470A0000}"/>
    <cellStyle name="Percentuale 54 2" xfId="1765" xr:uid="{00000000-0005-0000-0000-0000480A0000}"/>
    <cellStyle name="Percentuale 54 3" xfId="1766" xr:uid="{00000000-0005-0000-0000-0000490A0000}"/>
    <cellStyle name="Percentuale 54 3 2" xfId="1767" xr:uid="{00000000-0005-0000-0000-00004A0A0000}"/>
    <cellStyle name="Percentuale 54 3 2 2" xfId="1768" xr:uid="{00000000-0005-0000-0000-00004B0A0000}"/>
    <cellStyle name="Percentuale 54 4" xfId="1769" xr:uid="{00000000-0005-0000-0000-00004C0A0000}"/>
    <cellStyle name="Percentuale 54 4 2" xfId="2505" xr:uid="{00000000-0005-0000-0000-00004D0A0000}"/>
    <cellStyle name="Percentuale 54 5" xfId="1770" xr:uid="{00000000-0005-0000-0000-00004E0A0000}"/>
    <cellStyle name="Percentuale 55" xfId="1771" xr:uid="{00000000-0005-0000-0000-00004F0A0000}"/>
    <cellStyle name="Percentuale 55 2" xfId="1772" xr:uid="{00000000-0005-0000-0000-0000500A0000}"/>
    <cellStyle name="Percentuale 55 3" xfId="1773" xr:uid="{00000000-0005-0000-0000-0000510A0000}"/>
    <cellStyle name="Percentuale 55 3 2" xfId="1774" xr:uid="{00000000-0005-0000-0000-0000520A0000}"/>
    <cellStyle name="Percentuale 55 3 2 2" xfId="1775" xr:uid="{00000000-0005-0000-0000-0000530A0000}"/>
    <cellStyle name="Percentuale 55 4" xfId="1776" xr:uid="{00000000-0005-0000-0000-0000540A0000}"/>
    <cellStyle name="Percentuale 55 4 2" xfId="2506" xr:uid="{00000000-0005-0000-0000-0000550A0000}"/>
    <cellStyle name="Percentuale 55 5" xfId="1777" xr:uid="{00000000-0005-0000-0000-0000560A0000}"/>
    <cellStyle name="Percentuale 56" xfId="1778" xr:uid="{00000000-0005-0000-0000-0000570A0000}"/>
    <cellStyle name="Percentuale 56 2" xfId="1779" xr:uid="{00000000-0005-0000-0000-0000580A0000}"/>
    <cellStyle name="Percentuale 56 3" xfId="1780" xr:uid="{00000000-0005-0000-0000-0000590A0000}"/>
    <cellStyle name="Percentuale 56 3 2" xfId="1781" xr:uid="{00000000-0005-0000-0000-00005A0A0000}"/>
    <cellStyle name="Percentuale 56 3 2 2" xfId="1782" xr:uid="{00000000-0005-0000-0000-00005B0A0000}"/>
    <cellStyle name="Percentuale 56 4" xfId="1783" xr:uid="{00000000-0005-0000-0000-00005C0A0000}"/>
    <cellStyle name="Percentuale 56 4 2" xfId="2507" xr:uid="{00000000-0005-0000-0000-00005D0A0000}"/>
    <cellStyle name="Percentuale 56 5" xfId="1784" xr:uid="{00000000-0005-0000-0000-00005E0A0000}"/>
    <cellStyle name="Percentuale 57" xfId="1785" xr:uid="{00000000-0005-0000-0000-00005F0A0000}"/>
    <cellStyle name="Percentuale 57 2" xfId="1786" xr:uid="{00000000-0005-0000-0000-0000600A0000}"/>
    <cellStyle name="Percentuale 57 3" xfId="1787" xr:uid="{00000000-0005-0000-0000-0000610A0000}"/>
    <cellStyle name="Percentuale 57 3 2" xfId="1788" xr:uid="{00000000-0005-0000-0000-0000620A0000}"/>
    <cellStyle name="Percentuale 57 3 2 2" xfId="1789" xr:uid="{00000000-0005-0000-0000-0000630A0000}"/>
    <cellStyle name="Percentuale 57 4" xfId="1790" xr:uid="{00000000-0005-0000-0000-0000640A0000}"/>
    <cellStyle name="Percentuale 57 4 2" xfId="2508" xr:uid="{00000000-0005-0000-0000-0000650A0000}"/>
    <cellStyle name="Percentuale 57 5" xfId="1791" xr:uid="{00000000-0005-0000-0000-0000660A0000}"/>
    <cellStyle name="Percentuale 58" xfId="1792" xr:uid="{00000000-0005-0000-0000-0000670A0000}"/>
    <cellStyle name="Percentuale 58 2" xfId="1793" xr:uid="{00000000-0005-0000-0000-0000680A0000}"/>
    <cellStyle name="Percentuale 58 3" xfId="1794" xr:uid="{00000000-0005-0000-0000-0000690A0000}"/>
    <cellStyle name="Percentuale 58 3 2" xfId="1795" xr:uid="{00000000-0005-0000-0000-00006A0A0000}"/>
    <cellStyle name="Percentuale 58 3 2 2" xfId="1796" xr:uid="{00000000-0005-0000-0000-00006B0A0000}"/>
    <cellStyle name="Percentuale 58 4" xfId="1797" xr:uid="{00000000-0005-0000-0000-00006C0A0000}"/>
    <cellStyle name="Percentuale 58 4 2" xfId="2509" xr:uid="{00000000-0005-0000-0000-00006D0A0000}"/>
    <cellStyle name="Percentuale 58 5" xfId="1798" xr:uid="{00000000-0005-0000-0000-00006E0A0000}"/>
    <cellStyle name="Percentuale 59" xfId="1799" xr:uid="{00000000-0005-0000-0000-00006F0A0000}"/>
    <cellStyle name="Percentuale 59 2" xfId="1800" xr:uid="{00000000-0005-0000-0000-0000700A0000}"/>
    <cellStyle name="Percentuale 59 3" xfId="1801" xr:uid="{00000000-0005-0000-0000-0000710A0000}"/>
    <cellStyle name="Percentuale 59 3 2" xfId="1802" xr:uid="{00000000-0005-0000-0000-0000720A0000}"/>
    <cellStyle name="Percentuale 59 3 2 2" xfId="1803" xr:uid="{00000000-0005-0000-0000-0000730A0000}"/>
    <cellStyle name="Percentuale 59 4" xfId="1804" xr:uid="{00000000-0005-0000-0000-0000740A0000}"/>
    <cellStyle name="Percentuale 59 4 2" xfId="2510" xr:uid="{00000000-0005-0000-0000-0000750A0000}"/>
    <cellStyle name="Percentuale 59 5" xfId="1805" xr:uid="{00000000-0005-0000-0000-0000760A0000}"/>
    <cellStyle name="Percentuale 6" xfId="1806" xr:uid="{00000000-0005-0000-0000-0000770A0000}"/>
    <cellStyle name="Percentuale 6 2" xfId="1807" xr:uid="{00000000-0005-0000-0000-0000780A0000}"/>
    <cellStyle name="Percentuale 6 3" xfId="1808" xr:uid="{00000000-0005-0000-0000-0000790A0000}"/>
    <cellStyle name="Percentuale 6 3 2" xfId="1809" xr:uid="{00000000-0005-0000-0000-00007A0A0000}"/>
    <cellStyle name="Percentuale 6 3 2 2" xfId="1810" xr:uid="{00000000-0005-0000-0000-00007B0A0000}"/>
    <cellStyle name="Percentuale 6 4" xfId="1811" xr:uid="{00000000-0005-0000-0000-00007C0A0000}"/>
    <cellStyle name="Percentuale 6 4 2" xfId="2511" xr:uid="{00000000-0005-0000-0000-00007D0A0000}"/>
    <cellStyle name="Percentuale 6 5" xfId="1812" xr:uid="{00000000-0005-0000-0000-00007E0A0000}"/>
    <cellStyle name="Percentuale 60" xfId="1813" xr:uid="{00000000-0005-0000-0000-00007F0A0000}"/>
    <cellStyle name="Percentuale 60 2" xfId="1814" xr:uid="{00000000-0005-0000-0000-0000800A0000}"/>
    <cellStyle name="Percentuale 60 3" xfId="1815" xr:uid="{00000000-0005-0000-0000-0000810A0000}"/>
    <cellStyle name="Percentuale 60 3 2" xfId="1816" xr:uid="{00000000-0005-0000-0000-0000820A0000}"/>
    <cellStyle name="Percentuale 60 3 2 2" xfId="1817" xr:uid="{00000000-0005-0000-0000-0000830A0000}"/>
    <cellStyle name="Percentuale 60 4" xfId="1818" xr:uid="{00000000-0005-0000-0000-0000840A0000}"/>
    <cellStyle name="Percentuale 60 4 2" xfId="2512" xr:uid="{00000000-0005-0000-0000-0000850A0000}"/>
    <cellStyle name="Percentuale 60 5" xfId="1819" xr:uid="{00000000-0005-0000-0000-0000860A0000}"/>
    <cellStyle name="Percentuale 61" xfId="1820" xr:uid="{00000000-0005-0000-0000-0000870A0000}"/>
    <cellStyle name="Percentuale 61 2" xfId="1821" xr:uid="{00000000-0005-0000-0000-0000880A0000}"/>
    <cellStyle name="Percentuale 61 3" xfId="1822" xr:uid="{00000000-0005-0000-0000-0000890A0000}"/>
    <cellStyle name="Percentuale 61 3 2" xfId="1823" xr:uid="{00000000-0005-0000-0000-00008A0A0000}"/>
    <cellStyle name="Percentuale 61 3 2 2" xfId="1824" xr:uid="{00000000-0005-0000-0000-00008B0A0000}"/>
    <cellStyle name="Percentuale 61 4" xfId="1825" xr:uid="{00000000-0005-0000-0000-00008C0A0000}"/>
    <cellStyle name="Percentuale 61 4 2" xfId="2513" xr:uid="{00000000-0005-0000-0000-00008D0A0000}"/>
    <cellStyle name="Percentuale 61 5" xfId="1826" xr:uid="{00000000-0005-0000-0000-00008E0A0000}"/>
    <cellStyle name="Percentuale 62" xfId="1827" xr:uid="{00000000-0005-0000-0000-00008F0A0000}"/>
    <cellStyle name="Percentuale 62 2" xfId="1828" xr:uid="{00000000-0005-0000-0000-0000900A0000}"/>
    <cellStyle name="Percentuale 63" xfId="1829" xr:uid="{00000000-0005-0000-0000-0000910A0000}"/>
    <cellStyle name="Percentuale 63 2" xfId="1830" xr:uid="{00000000-0005-0000-0000-0000920A0000}"/>
    <cellStyle name="Percentuale 64" xfId="1831" xr:uid="{00000000-0005-0000-0000-0000930A0000}"/>
    <cellStyle name="Percentuale 64 2" xfId="1832" xr:uid="{00000000-0005-0000-0000-0000940A0000}"/>
    <cellStyle name="Percentuale 65" xfId="1833" xr:uid="{00000000-0005-0000-0000-0000950A0000}"/>
    <cellStyle name="Percentuale 65 2" xfId="1834" xr:uid="{00000000-0005-0000-0000-0000960A0000}"/>
    <cellStyle name="Percentuale 66" xfId="1835" xr:uid="{00000000-0005-0000-0000-0000970A0000}"/>
    <cellStyle name="Percentuale 66 2" xfId="1836" xr:uid="{00000000-0005-0000-0000-0000980A0000}"/>
    <cellStyle name="Percentuale 67" xfId="1837" xr:uid="{00000000-0005-0000-0000-0000990A0000}"/>
    <cellStyle name="Percentuale 67 2" xfId="1838" xr:uid="{00000000-0005-0000-0000-00009A0A0000}"/>
    <cellStyle name="Percentuale 68" xfId="1839" xr:uid="{00000000-0005-0000-0000-00009B0A0000}"/>
    <cellStyle name="Percentuale 68 2" xfId="1840" xr:uid="{00000000-0005-0000-0000-00009C0A0000}"/>
    <cellStyle name="Percentuale 68 3" xfId="1841" xr:uid="{00000000-0005-0000-0000-00009D0A0000}"/>
    <cellStyle name="Percentuale 68 3 2" xfId="1842" xr:uid="{00000000-0005-0000-0000-00009E0A0000}"/>
    <cellStyle name="Percentuale 68 3 2 2" xfId="1843" xr:uid="{00000000-0005-0000-0000-00009F0A0000}"/>
    <cellStyle name="Percentuale 68 4" xfId="1844" xr:uid="{00000000-0005-0000-0000-0000A00A0000}"/>
    <cellStyle name="Percentuale 68 4 2" xfId="2514" xr:uid="{00000000-0005-0000-0000-0000A10A0000}"/>
    <cellStyle name="Percentuale 68 5" xfId="1845" xr:uid="{00000000-0005-0000-0000-0000A20A0000}"/>
    <cellStyle name="Percentuale 69" xfId="1846" xr:uid="{00000000-0005-0000-0000-0000A30A0000}"/>
    <cellStyle name="Percentuale 69 2" xfId="1847" xr:uid="{00000000-0005-0000-0000-0000A40A0000}"/>
    <cellStyle name="Percentuale 69 3" xfId="1848" xr:uid="{00000000-0005-0000-0000-0000A50A0000}"/>
    <cellStyle name="Percentuale 69 3 2" xfId="1849" xr:uid="{00000000-0005-0000-0000-0000A60A0000}"/>
    <cellStyle name="Percentuale 69 3 2 2" xfId="1850" xr:uid="{00000000-0005-0000-0000-0000A70A0000}"/>
    <cellStyle name="Percentuale 69 4" xfId="1851" xr:uid="{00000000-0005-0000-0000-0000A80A0000}"/>
    <cellStyle name="Percentuale 69 4 2" xfId="2515" xr:uid="{00000000-0005-0000-0000-0000A90A0000}"/>
    <cellStyle name="Percentuale 69 5" xfId="1852" xr:uid="{00000000-0005-0000-0000-0000AA0A0000}"/>
    <cellStyle name="Percentuale 7" xfId="1853" xr:uid="{00000000-0005-0000-0000-0000AB0A0000}"/>
    <cellStyle name="Percentuale 7 2" xfId="1854" xr:uid="{00000000-0005-0000-0000-0000AC0A0000}"/>
    <cellStyle name="Percentuale 7 3" xfId="1855" xr:uid="{00000000-0005-0000-0000-0000AD0A0000}"/>
    <cellStyle name="Percentuale 7 3 2" xfId="1856" xr:uid="{00000000-0005-0000-0000-0000AE0A0000}"/>
    <cellStyle name="Percentuale 7 3 2 2" xfId="1857" xr:uid="{00000000-0005-0000-0000-0000AF0A0000}"/>
    <cellStyle name="Percentuale 7 4" xfId="1858" xr:uid="{00000000-0005-0000-0000-0000B00A0000}"/>
    <cellStyle name="Percentuale 7 4 2" xfId="2516" xr:uid="{00000000-0005-0000-0000-0000B10A0000}"/>
    <cellStyle name="Percentuale 7 5" xfId="1859" xr:uid="{00000000-0005-0000-0000-0000B20A0000}"/>
    <cellStyle name="Percentuale 8" xfId="1860" xr:uid="{00000000-0005-0000-0000-0000B30A0000}"/>
    <cellStyle name="Percentuale 8 2" xfId="1861" xr:uid="{00000000-0005-0000-0000-0000B40A0000}"/>
    <cellStyle name="Percentuale 8 3" xfId="1862" xr:uid="{00000000-0005-0000-0000-0000B50A0000}"/>
    <cellStyle name="Percentuale 8 3 2" xfId="1863" xr:uid="{00000000-0005-0000-0000-0000B60A0000}"/>
    <cellStyle name="Percentuale 8 3 2 2" xfId="1864" xr:uid="{00000000-0005-0000-0000-0000B70A0000}"/>
    <cellStyle name="Percentuale 8 4" xfId="1865" xr:uid="{00000000-0005-0000-0000-0000B80A0000}"/>
    <cellStyle name="Percentuale 8 4 2" xfId="2517" xr:uid="{00000000-0005-0000-0000-0000B90A0000}"/>
    <cellStyle name="Percentuale 8 5" xfId="1866" xr:uid="{00000000-0005-0000-0000-0000BA0A0000}"/>
    <cellStyle name="Percentuale 9" xfId="1867" xr:uid="{00000000-0005-0000-0000-0000BB0A0000}"/>
    <cellStyle name="Percentuale 9 2" xfId="1868" xr:uid="{00000000-0005-0000-0000-0000BC0A0000}"/>
    <cellStyle name="Percentuale 9 3" xfId="1869" xr:uid="{00000000-0005-0000-0000-0000BD0A0000}"/>
    <cellStyle name="Percentuale 9 3 2" xfId="1870" xr:uid="{00000000-0005-0000-0000-0000BE0A0000}"/>
    <cellStyle name="Percentuale 9 3 2 2" xfId="1871" xr:uid="{00000000-0005-0000-0000-0000BF0A0000}"/>
    <cellStyle name="Percentuale 9 4" xfId="1872" xr:uid="{00000000-0005-0000-0000-0000C00A0000}"/>
    <cellStyle name="Percentuale 9 4 2" xfId="2518" xr:uid="{00000000-0005-0000-0000-0000C10A0000}"/>
    <cellStyle name="Percentuale 9 5" xfId="1873" xr:uid="{00000000-0005-0000-0000-0000C20A0000}"/>
    <cellStyle name="Procent 2" xfId="1874" xr:uid="{00000000-0005-0000-0000-0000C30A0000}"/>
    <cellStyle name="Procent 2 2" xfId="2519" xr:uid="{00000000-0005-0000-0000-0000C40A0000}"/>
    <cellStyle name="Procent 2 2 2" xfId="2520" xr:uid="{00000000-0005-0000-0000-0000C50A0000}"/>
    <cellStyle name="Procent 3" xfId="2521" xr:uid="{00000000-0005-0000-0000-0000C60A0000}"/>
    <cellStyle name="Procent 3 2" xfId="2522" xr:uid="{00000000-0005-0000-0000-0000C70A0000}"/>
    <cellStyle name="Standard_Sce_D_Extraction" xfId="1875" xr:uid="{00000000-0005-0000-0000-0000C80A0000}"/>
    <cellStyle name="Style 155" xfId="2523" xr:uid="{00000000-0005-0000-0000-0000C90A0000}"/>
    <cellStyle name="Style 156" xfId="2524" xr:uid="{00000000-0005-0000-0000-0000CA0A0000}"/>
    <cellStyle name="Style 157" xfId="2525" xr:uid="{00000000-0005-0000-0000-0000CB0A0000}"/>
    <cellStyle name="Style 158" xfId="2526" xr:uid="{00000000-0005-0000-0000-0000CC0A0000}"/>
    <cellStyle name="Style 159" xfId="2527" xr:uid="{00000000-0005-0000-0000-0000CD0A0000}"/>
    <cellStyle name="Style 161" xfId="2528" xr:uid="{00000000-0005-0000-0000-0000CE0A0000}"/>
    <cellStyle name="Style 162" xfId="2529" xr:uid="{00000000-0005-0000-0000-0000CF0A0000}"/>
    <cellStyle name="Style 163" xfId="2530" xr:uid="{00000000-0005-0000-0000-0000D00A0000}"/>
    <cellStyle name="Style 223" xfId="2531" xr:uid="{00000000-0005-0000-0000-0000D10A0000}"/>
    <cellStyle name="Style 224" xfId="2532" xr:uid="{00000000-0005-0000-0000-0000D20A0000}"/>
    <cellStyle name="Style 225" xfId="2533" xr:uid="{00000000-0005-0000-0000-0000D30A0000}"/>
    <cellStyle name="Style 226" xfId="2534" xr:uid="{00000000-0005-0000-0000-0000D40A0000}"/>
    <cellStyle name="Style 227" xfId="2535" xr:uid="{00000000-0005-0000-0000-0000D50A0000}"/>
    <cellStyle name="Style 229" xfId="2536" xr:uid="{00000000-0005-0000-0000-0000D60A0000}"/>
    <cellStyle name="Style 230" xfId="2537" xr:uid="{00000000-0005-0000-0000-0000D70A0000}"/>
    <cellStyle name="Style 231" xfId="2538" xr:uid="{00000000-0005-0000-0000-0000D80A0000}"/>
    <cellStyle name="Style 257" xfId="2539" xr:uid="{00000000-0005-0000-0000-0000D90A0000}"/>
    <cellStyle name="Style 258" xfId="2540" xr:uid="{00000000-0005-0000-0000-0000DA0A0000}"/>
    <cellStyle name="Style 259" xfId="2541" xr:uid="{00000000-0005-0000-0000-0000DB0A0000}"/>
    <cellStyle name="Style 260" xfId="2542" xr:uid="{00000000-0005-0000-0000-0000DC0A0000}"/>
    <cellStyle name="Style 261" xfId="2543" xr:uid="{00000000-0005-0000-0000-0000DD0A0000}"/>
    <cellStyle name="Style 263" xfId="2544" xr:uid="{00000000-0005-0000-0000-0000DE0A0000}"/>
    <cellStyle name="Style 264" xfId="2545" xr:uid="{00000000-0005-0000-0000-0000DF0A0000}"/>
    <cellStyle name="Style 265" xfId="2546" xr:uid="{00000000-0005-0000-0000-0000E00A0000}"/>
    <cellStyle name="Style 461" xfId="2547" xr:uid="{00000000-0005-0000-0000-0000E10A0000}"/>
    <cellStyle name="Style 467" xfId="2548" xr:uid="{00000000-0005-0000-0000-0000E20A0000}"/>
    <cellStyle name="Style 468" xfId="2549" xr:uid="{00000000-0005-0000-0000-0000E30A0000}"/>
    <cellStyle name="Style 469" xfId="2550" xr:uid="{00000000-0005-0000-0000-0000E40A0000}"/>
    <cellStyle name="Style 478" xfId="2551" xr:uid="{00000000-0005-0000-0000-0000E50A0000}"/>
    <cellStyle name="Style 479" xfId="2552" xr:uid="{00000000-0005-0000-0000-0000E60A0000}"/>
    <cellStyle name="Style 480" xfId="2553" xr:uid="{00000000-0005-0000-0000-0000E70A0000}"/>
    <cellStyle name="Style 481" xfId="2554" xr:uid="{00000000-0005-0000-0000-0000E80A0000}"/>
    <cellStyle name="Style 482" xfId="2555" xr:uid="{00000000-0005-0000-0000-0000E90A0000}"/>
    <cellStyle name="Style 484" xfId="2556" xr:uid="{00000000-0005-0000-0000-0000EA0A0000}"/>
    <cellStyle name="Style 485" xfId="2557" xr:uid="{00000000-0005-0000-0000-0000EB0A0000}"/>
    <cellStyle name="Style 486" xfId="2558" xr:uid="{00000000-0005-0000-0000-0000EC0A0000}"/>
    <cellStyle name="Style 495" xfId="2559" xr:uid="{00000000-0005-0000-0000-0000ED0A0000}"/>
    <cellStyle name="Style 496" xfId="2560" xr:uid="{00000000-0005-0000-0000-0000EE0A0000}"/>
    <cellStyle name="Style 497" xfId="2561" xr:uid="{00000000-0005-0000-0000-0000EF0A0000}"/>
    <cellStyle name="Style 498" xfId="2562" xr:uid="{00000000-0005-0000-0000-0000F00A0000}"/>
    <cellStyle name="Style 499" xfId="2563" xr:uid="{00000000-0005-0000-0000-0000F10A0000}"/>
    <cellStyle name="Style 501" xfId="2564" xr:uid="{00000000-0005-0000-0000-0000F20A0000}"/>
    <cellStyle name="Style 502" xfId="2565" xr:uid="{00000000-0005-0000-0000-0000F30A0000}"/>
    <cellStyle name="Style 503" xfId="2566" xr:uid="{00000000-0005-0000-0000-0000F40A0000}"/>
    <cellStyle name="Style 580" xfId="2567" xr:uid="{00000000-0005-0000-0000-0000F50A0000}"/>
    <cellStyle name="Style 581" xfId="2568" xr:uid="{00000000-0005-0000-0000-0000F60A0000}"/>
    <cellStyle name="Style 582" xfId="2569" xr:uid="{00000000-0005-0000-0000-0000F70A0000}"/>
    <cellStyle name="Style 583" xfId="2570" xr:uid="{00000000-0005-0000-0000-0000F80A0000}"/>
    <cellStyle name="Style 584" xfId="2571" xr:uid="{00000000-0005-0000-0000-0000F90A0000}"/>
    <cellStyle name="Style 586" xfId="2572" xr:uid="{00000000-0005-0000-0000-0000FA0A0000}"/>
    <cellStyle name="Style 587" xfId="2573" xr:uid="{00000000-0005-0000-0000-0000FB0A0000}"/>
    <cellStyle name="Style 588" xfId="2574" xr:uid="{00000000-0005-0000-0000-0000FC0A0000}"/>
    <cellStyle name="Testo avviso" xfId="1876" xr:uid="{00000000-0005-0000-0000-0000FD0A0000}"/>
    <cellStyle name="Testo descrittivo" xfId="1877" xr:uid="{00000000-0005-0000-0000-0000FE0A0000}"/>
    <cellStyle name="Titolo" xfId="1878" xr:uid="{00000000-0005-0000-0000-0000FF0A0000}"/>
    <cellStyle name="Titolo 1" xfId="1879" xr:uid="{00000000-0005-0000-0000-0000000B0000}"/>
    <cellStyle name="Titolo 1 2" xfId="1880" xr:uid="{00000000-0005-0000-0000-0000010B0000}"/>
    <cellStyle name="Titolo 2" xfId="1881" xr:uid="{00000000-0005-0000-0000-0000020B0000}"/>
    <cellStyle name="Titolo 2 2" xfId="1882" xr:uid="{00000000-0005-0000-0000-0000030B0000}"/>
    <cellStyle name="Titolo 3" xfId="1883" xr:uid="{00000000-0005-0000-0000-0000040B0000}"/>
    <cellStyle name="Titolo 3 2" xfId="1884" xr:uid="{00000000-0005-0000-0000-0000050B0000}"/>
    <cellStyle name="Titolo 4" xfId="1885" xr:uid="{00000000-0005-0000-0000-0000060B0000}"/>
    <cellStyle name="Total 2" xfId="2575" xr:uid="{00000000-0005-0000-0000-0000070B0000}"/>
    <cellStyle name="Total 2 2" xfId="2576" xr:uid="{00000000-0005-0000-0000-0000080B0000}"/>
    <cellStyle name="Totale" xfId="1886" xr:uid="{00000000-0005-0000-0000-0000090B0000}"/>
    <cellStyle name="Totale 2" xfId="1887" xr:uid="{00000000-0005-0000-0000-00000A0B0000}"/>
    <cellStyle name="Totale 2 2" xfId="2577" xr:uid="{00000000-0005-0000-0000-00000B0B0000}"/>
    <cellStyle name="Totale 3" xfId="1888" xr:uid="{00000000-0005-0000-0000-00000C0B0000}"/>
    <cellStyle name="Totale 3 2" xfId="2578" xr:uid="{00000000-0005-0000-0000-00000D0B0000}"/>
    <cellStyle name="Totale 4" xfId="2579" xr:uid="{00000000-0005-0000-0000-00000E0B0000}"/>
    <cellStyle name="Valore non valido" xfId="1889" xr:uid="{00000000-0005-0000-0000-00000F0B0000}"/>
    <cellStyle name="Valore valido" xfId="1890" xr:uid="{00000000-0005-0000-0000-0000100B0000}"/>
    <cellStyle name="Обычный_CRF2002 (1)" xfId="1891" xr:uid="{00000000-0005-0000-0000-0000110B0000}"/>
  </cellStyles>
  <dxfs count="2">
    <dxf>
      <font>
        <color rgb="FF006100"/>
      </font>
      <fill>
        <patternFill>
          <bgColor rgb="FFC6EFCE"/>
        </patternFill>
      </fill>
    </dxf>
    <dxf>
      <font>
        <color rgb="FF9C0006"/>
      </font>
      <fill>
        <patternFill>
          <bgColor rgb="FFFFC7CE"/>
        </patternFill>
      </fill>
    </dxf>
  </dxfs>
  <tableStyles count="0" defaultTableStyle="TableStyleMedium9"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externalLink" Target="externalLinks/externalLink12.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3"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externalLink" Target="externalLinks/externalLink6.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17</xdr:row>
      <xdr:rowOff>0</xdr:rowOff>
    </xdr:from>
    <xdr:to>
      <xdr:col>30</xdr:col>
      <xdr:colOff>581025</xdr:colOff>
      <xdr:row>23</xdr:row>
      <xdr:rowOff>47625</xdr:rowOff>
    </xdr:to>
    <xdr:sp macro="" textlink="">
      <xdr:nvSpPr>
        <xdr:cNvPr id="2" name="TextBox 1">
          <a:extLst>
            <a:ext uri="{FF2B5EF4-FFF2-40B4-BE49-F238E27FC236}">
              <a16:creationId xmlns:a16="http://schemas.microsoft.com/office/drawing/2014/main" id="{872BEF03-68CB-4AF1-90E2-582E931E018D}"/>
            </a:ext>
          </a:extLst>
        </xdr:cNvPr>
        <xdr:cNvSpPr txBox="1"/>
      </xdr:nvSpPr>
      <xdr:spPr>
        <a:xfrm>
          <a:off x="20329524" y="8274050"/>
          <a:ext cx="5397501" cy="10382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6</xdr:row>
      <xdr:rowOff>0</xdr:rowOff>
    </xdr:from>
    <xdr:to>
      <xdr:col>31</xdr:col>
      <xdr:colOff>0</xdr:colOff>
      <xdr:row>14</xdr:row>
      <xdr:rowOff>76200</xdr:rowOff>
    </xdr:to>
    <xdr:sp macro="" textlink="">
      <xdr:nvSpPr>
        <xdr:cNvPr id="3" name="TextBox 2">
          <a:extLst>
            <a:ext uri="{FF2B5EF4-FFF2-40B4-BE49-F238E27FC236}">
              <a16:creationId xmlns:a16="http://schemas.microsoft.com/office/drawing/2014/main" id="{D31FC22E-E19D-401E-9ACD-04FD8F487B7B}"/>
            </a:ext>
          </a:extLst>
        </xdr:cNvPr>
        <xdr:cNvSpPr txBox="1"/>
      </xdr:nvSpPr>
      <xdr:spPr>
        <a:xfrm>
          <a:off x="20281899" y="6200775"/>
          <a:ext cx="5473701" cy="1654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37</xdr:row>
      <xdr:rowOff>0</xdr:rowOff>
    </xdr:from>
    <xdr:to>
      <xdr:col>30</xdr:col>
      <xdr:colOff>581025</xdr:colOff>
      <xdr:row>43</xdr:row>
      <xdr:rowOff>47625</xdr:rowOff>
    </xdr:to>
    <xdr:sp macro="" textlink="">
      <xdr:nvSpPr>
        <xdr:cNvPr id="4" name="TextBox 3">
          <a:extLst>
            <a:ext uri="{FF2B5EF4-FFF2-40B4-BE49-F238E27FC236}">
              <a16:creationId xmlns:a16="http://schemas.microsoft.com/office/drawing/2014/main" id="{A03AC280-6307-459E-B47C-5FAE711C3B25}"/>
            </a:ext>
          </a:extLst>
        </xdr:cNvPr>
        <xdr:cNvSpPr txBox="1"/>
      </xdr:nvSpPr>
      <xdr:spPr>
        <a:xfrm>
          <a:off x="20329524" y="11576050"/>
          <a:ext cx="5397501" cy="10382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495300</xdr:colOff>
      <xdr:row>97</xdr:row>
      <xdr:rowOff>28574</xdr:rowOff>
    </xdr:from>
    <xdr:to>
      <xdr:col>24</xdr:col>
      <xdr:colOff>19050</xdr:colOff>
      <xdr:row>112</xdr:row>
      <xdr:rowOff>95249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2506325" y="13563599"/>
          <a:ext cx="7381875" cy="2543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mn-lt"/>
              <a:ea typeface="+mn-ea"/>
              <a:cs typeface="+mn-cs"/>
            </a:rPr>
            <a:t>Comm-IN</a:t>
          </a:r>
          <a:r>
            <a:rPr lang="da-DK"/>
            <a:t> - commodity or commodities going into the process</a:t>
          </a:r>
          <a:endParaRPr lang="da-DK" sz="1100" b="0" i="0" u="none" strike="noStrike">
            <a:solidFill>
              <a:schemeClr val="dk1"/>
            </a:solidFill>
            <a:effectLst/>
            <a:latin typeface="+mn-lt"/>
            <a:ea typeface="+mn-ea"/>
            <a:cs typeface="+mn-cs"/>
          </a:endParaRPr>
        </a:p>
        <a:p>
          <a:r>
            <a:rPr lang="da-DK" sz="1100" b="0" i="0" u="none" strike="noStrike">
              <a:solidFill>
                <a:schemeClr val="dk1"/>
              </a:solidFill>
              <a:effectLst/>
              <a:latin typeface="+mn-lt"/>
              <a:ea typeface="+mn-ea"/>
              <a:cs typeface="+mn-cs"/>
            </a:rPr>
            <a:t>Comm-OUT - commodity or commodities going out of the process</a:t>
          </a:r>
        </a:p>
        <a:p>
          <a:r>
            <a:rPr lang="da-DK" sz="1100" b="0" i="0" u="none" strike="noStrike">
              <a:solidFill>
                <a:schemeClr val="dk1"/>
              </a:solidFill>
              <a:effectLst/>
              <a:latin typeface="+mn-lt"/>
              <a:ea typeface="+mn-ea"/>
              <a:cs typeface="+mn-cs"/>
            </a:rPr>
            <a:t>                        commodity RESHBDB</a:t>
          </a:r>
          <a:r>
            <a:rPr lang="da-DK"/>
            <a:t>  is</a:t>
          </a:r>
          <a:r>
            <a:rPr lang="da-DK" baseline="0"/>
            <a:t> RESidential Heating from Boilers  </a:t>
          </a:r>
          <a:r>
            <a:rPr lang="da-DK" sz="1100" b="0" i="0" u="none" strike="noStrike" baseline="0">
              <a:solidFill>
                <a:schemeClr val="dk1"/>
              </a:solidFill>
              <a:effectLst/>
              <a:latin typeface="+mn-lt"/>
              <a:ea typeface="+mn-ea"/>
              <a:cs typeface="+mn-cs"/>
            </a:rPr>
            <a:t>  </a:t>
          </a:r>
        </a:p>
        <a:p>
          <a:r>
            <a:rPr lang="da-DK" sz="1100" b="0" i="0" u="none" strike="noStrike" baseline="0">
              <a:solidFill>
                <a:schemeClr val="dk1"/>
              </a:solidFill>
              <a:effectLst/>
              <a:latin typeface="+mn-lt"/>
              <a:ea typeface="+mn-ea"/>
              <a:cs typeface="+mn-cs"/>
            </a:rPr>
            <a:t>                        </a:t>
          </a:r>
          <a:r>
            <a:rPr lang="da-DK" baseline="0"/>
            <a:t>to Detached (single-family) Buidlings </a:t>
          </a:r>
        </a:p>
        <a:p>
          <a:r>
            <a:rPr lang="da-DK" sz="1100" b="0" i="0" u="none" strike="noStrike">
              <a:solidFill>
                <a:schemeClr val="dk1"/>
              </a:solidFill>
              <a:effectLst/>
              <a:latin typeface="+mn-lt"/>
              <a:ea typeface="+mn-ea"/>
              <a:cs typeface="+mn-cs"/>
            </a:rPr>
            <a:t>                        commodity</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RESHXCD</a:t>
          </a:r>
          <a:r>
            <a:rPr lang="da-DK"/>
            <a:t>  is </a:t>
          </a:r>
          <a:r>
            <a:rPr lang="da-DK" sz="1100" baseline="0">
              <a:solidFill>
                <a:schemeClr val="dk1"/>
              </a:solidFill>
              <a:effectLst/>
              <a:latin typeface="+mn-lt"/>
              <a:ea typeface="+mn-ea"/>
              <a:cs typeface="+mn-cs"/>
            </a:rPr>
            <a:t>RESidential Heating from heat eXchanger (district heating) in Centralized Deatched areas </a:t>
          </a:r>
          <a:endParaRPr lang="da-DK" sz="1100" b="0" i="0" u="none" strike="noStrike">
            <a:solidFill>
              <a:schemeClr val="dk1"/>
            </a:solidFill>
            <a:effectLst/>
            <a:latin typeface="+mn-lt"/>
            <a:ea typeface="+mn-ea"/>
            <a:cs typeface="+mn-cs"/>
          </a:endParaRPr>
        </a:p>
        <a:p>
          <a:r>
            <a:rPr lang="da-DK"/>
            <a:t> YEAR - a</a:t>
          </a:r>
          <a:r>
            <a:rPr lang="da-DK" baseline="0"/>
            <a:t> year for which the parameters are specified</a:t>
          </a:r>
          <a:endParaRPr lang="da-DK"/>
        </a:p>
        <a:p>
          <a:r>
            <a:rPr lang="da-DK"/>
            <a:t>START - a year from which</a:t>
          </a:r>
          <a:r>
            <a:rPr lang="da-DK" baseline="0"/>
            <a:t> it can be invested in a technology</a:t>
          </a:r>
          <a:endParaRPr lang="da-DK"/>
        </a:p>
        <a:p>
          <a:r>
            <a:rPr lang="da-DK"/>
            <a:t> EFF - efficiency</a:t>
          </a:r>
          <a:r>
            <a:rPr lang="da-DK" baseline="0"/>
            <a:t> (output/input)</a:t>
          </a:r>
          <a:endParaRPr lang="da-DK"/>
        </a:p>
        <a:p>
          <a:r>
            <a:rPr lang="da-DK"/>
            <a:t> LIFE - technical lifetime</a:t>
          </a:r>
        </a:p>
        <a:p>
          <a:r>
            <a:rPr lang="da-DK"/>
            <a:t> INVCOST - investment costs</a:t>
          </a:r>
        </a:p>
        <a:p>
          <a:r>
            <a:rPr lang="da-DK"/>
            <a:t> FIXOM - Fixed O&amp;M costs</a:t>
          </a:r>
        </a:p>
        <a:p>
          <a:r>
            <a:rPr lang="da-DK"/>
            <a:t>VAROM  - Variable O&amp;M</a:t>
          </a:r>
          <a:r>
            <a:rPr lang="da-DK" baseline="0"/>
            <a:t> costs</a:t>
          </a:r>
          <a:endParaRPr lang="da-DK"/>
        </a:p>
        <a:p>
          <a:r>
            <a:rPr lang="da-DK"/>
            <a:t>CAP2ACT - coefficient which converts capacity to activity (MW to PJ)</a:t>
          </a:r>
        </a:p>
        <a:p>
          <a:r>
            <a:rPr lang="da-DK"/>
            <a:t>AFA - annual availablity factor (maximum</a:t>
          </a:r>
          <a:r>
            <a:rPr lang="da-DK" baseline="0"/>
            <a:t> number of working hours per yera)</a:t>
          </a:r>
          <a:endParaRPr lang="da-DK"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114300</xdr:colOff>
      <xdr:row>90</xdr:row>
      <xdr:rowOff>57150</xdr:rowOff>
    </xdr:from>
    <xdr:to>
      <xdr:col>23</xdr:col>
      <xdr:colOff>438150</xdr:colOff>
      <xdr:row>100</xdr:row>
      <xdr:rowOff>171450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2649200" y="13544550"/>
          <a:ext cx="7524750" cy="2543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mn-lt"/>
              <a:ea typeface="+mn-ea"/>
              <a:cs typeface="+mn-cs"/>
            </a:rPr>
            <a:t>Comm-IN</a:t>
          </a:r>
          <a:r>
            <a:rPr lang="da-DK"/>
            <a:t> - commodity or commodities going into the process</a:t>
          </a:r>
          <a:endParaRPr lang="da-DK" sz="1100" b="0" i="0" u="none" strike="noStrike">
            <a:solidFill>
              <a:schemeClr val="dk1"/>
            </a:solidFill>
            <a:effectLst/>
            <a:latin typeface="+mn-lt"/>
            <a:ea typeface="+mn-ea"/>
            <a:cs typeface="+mn-cs"/>
          </a:endParaRPr>
        </a:p>
        <a:p>
          <a:r>
            <a:rPr lang="da-DK" sz="1100" b="0" i="0" u="none" strike="noStrike">
              <a:solidFill>
                <a:schemeClr val="dk1"/>
              </a:solidFill>
              <a:effectLst/>
              <a:latin typeface="+mn-lt"/>
              <a:ea typeface="+mn-ea"/>
              <a:cs typeface="+mn-cs"/>
            </a:rPr>
            <a:t>Comm-OUT - commodity or commodities going out of the process</a:t>
          </a:r>
        </a:p>
        <a:p>
          <a:r>
            <a:rPr lang="da-DK" sz="1100" b="0" i="0" u="none" strike="noStrike">
              <a:solidFill>
                <a:schemeClr val="dk1"/>
              </a:solidFill>
              <a:effectLst/>
              <a:latin typeface="+mn-lt"/>
              <a:ea typeface="+mn-ea"/>
              <a:cs typeface="+mn-cs"/>
            </a:rPr>
            <a:t>                        commodity RESHBDB</a:t>
          </a:r>
          <a:r>
            <a:rPr lang="da-DK"/>
            <a:t>  is</a:t>
          </a:r>
          <a:r>
            <a:rPr lang="da-DK" baseline="0"/>
            <a:t> RESidential Heating from Boilers  </a:t>
          </a:r>
          <a:r>
            <a:rPr lang="da-DK" sz="1100" b="0" i="0" u="none" strike="noStrike" baseline="0">
              <a:solidFill>
                <a:schemeClr val="dk1"/>
              </a:solidFill>
              <a:effectLst/>
              <a:latin typeface="+mn-lt"/>
              <a:ea typeface="+mn-ea"/>
              <a:cs typeface="+mn-cs"/>
            </a:rPr>
            <a:t>  </a:t>
          </a:r>
        </a:p>
        <a:p>
          <a:r>
            <a:rPr lang="da-DK" sz="1100" b="0" i="0" u="none" strike="noStrike" baseline="0">
              <a:solidFill>
                <a:schemeClr val="dk1"/>
              </a:solidFill>
              <a:effectLst/>
              <a:latin typeface="+mn-lt"/>
              <a:ea typeface="+mn-ea"/>
              <a:cs typeface="+mn-cs"/>
            </a:rPr>
            <a:t>                        </a:t>
          </a:r>
          <a:r>
            <a:rPr lang="da-DK" baseline="0"/>
            <a:t>to Multistorey (Multi-family) Buildings </a:t>
          </a:r>
        </a:p>
        <a:p>
          <a:r>
            <a:rPr lang="da-DK" sz="1100" b="0" i="0" u="none" strike="noStrike">
              <a:solidFill>
                <a:schemeClr val="dk1"/>
              </a:solidFill>
              <a:effectLst/>
              <a:latin typeface="+mn-lt"/>
              <a:ea typeface="+mn-ea"/>
              <a:cs typeface="+mn-cs"/>
            </a:rPr>
            <a:t>                        commodity</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RESHXCM</a:t>
          </a:r>
          <a:r>
            <a:rPr lang="da-DK"/>
            <a:t>  is </a:t>
          </a:r>
          <a:r>
            <a:rPr lang="da-DK" sz="1100" baseline="0">
              <a:solidFill>
                <a:schemeClr val="dk1"/>
              </a:solidFill>
              <a:effectLst/>
              <a:latin typeface="+mn-lt"/>
              <a:ea typeface="+mn-ea"/>
              <a:cs typeface="+mn-cs"/>
            </a:rPr>
            <a:t>RESidential Heating from heat eXchanger (district heating) in Centralized Multistorey areas </a:t>
          </a:r>
          <a:endParaRPr lang="da-DK" sz="1100" b="0" i="0" u="none" strike="noStrike">
            <a:solidFill>
              <a:schemeClr val="dk1"/>
            </a:solidFill>
            <a:effectLst/>
            <a:latin typeface="+mn-lt"/>
            <a:ea typeface="+mn-ea"/>
            <a:cs typeface="+mn-cs"/>
          </a:endParaRPr>
        </a:p>
        <a:p>
          <a:r>
            <a:rPr lang="da-DK"/>
            <a:t> YEAR - a</a:t>
          </a:r>
          <a:r>
            <a:rPr lang="da-DK" baseline="0"/>
            <a:t> year for which the parameters are specified</a:t>
          </a:r>
          <a:endParaRPr lang="da-DK"/>
        </a:p>
        <a:p>
          <a:r>
            <a:rPr lang="da-DK"/>
            <a:t>START - a year from which</a:t>
          </a:r>
          <a:r>
            <a:rPr lang="da-DK" baseline="0"/>
            <a:t> it can be invested in a technology</a:t>
          </a:r>
          <a:endParaRPr lang="da-DK"/>
        </a:p>
        <a:p>
          <a:r>
            <a:rPr lang="da-DK"/>
            <a:t> EFF - efficiency</a:t>
          </a:r>
          <a:r>
            <a:rPr lang="da-DK" baseline="0"/>
            <a:t> (output/input)</a:t>
          </a:r>
          <a:endParaRPr lang="da-DK"/>
        </a:p>
        <a:p>
          <a:r>
            <a:rPr lang="da-DK"/>
            <a:t> LIFE - technical lifetime</a:t>
          </a:r>
        </a:p>
        <a:p>
          <a:r>
            <a:rPr lang="da-DK"/>
            <a:t> INVCOST - investment costs</a:t>
          </a:r>
        </a:p>
        <a:p>
          <a:r>
            <a:rPr lang="da-DK"/>
            <a:t> FIXOM - Fixed O&amp;M costs</a:t>
          </a:r>
        </a:p>
        <a:p>
          <a:r>
            <a:rPr lang="da-DK"/>
            <a:t>VAROM  - Variable O&amp;M</a:t>
          </a:r>
          <a:r>
            <a:rPr lang="da-DK" baseline="0"/>
            <a:t> costs</a:t>
          </a:r>
          <a:endParaRPr lang="da-DK"/>
        </a:p>
        <a:p>
          <a:r>
            <a:rPr lang="da-DK"/>
            <a:t>CAP2ACT - coefficient which converts capacity to activity (MW to PJ)</a:t>
          </a:r>
        </a:p>
        <a:p>
          <a:r>
            <a:rPr lang="da-DK"/>
            <a:t>AFA - annual availablity factor (maximum</a:t>
          </a:r>
          <a:r>
            <a:rPr lang="da-DK" baseline="0"/>
            <a:t> number of working hours per year)</a:t>
          </a:r>
          <a:endParaRPr lang="da-DK"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2" name="TextBox 1">
          <a:extLst>
            <a:ext uri="{FF2B5EF4-FFF2-40B4-BE49-F238E27FC236}">
              <a16:creationId xmlns:a16="http://schemas.microsoft.com/office/drawing/2014/main" id="{6B0DE909-E172-4E98-8AA5-CDD6A6561DD8}"/>
            </a:ext>
          </a:extLst>
        </xdr:cNvPr>
        <xdr:cNvSpPr txBox="1"/>
      </xdr:nvSpPr>
      <xdr:spPr>
        <a:xfrm>
          <a:off x="27928863" y="1671638"/>
          <a:ext cx="1219200"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3" name="TextBox 2">
          <a:extLst>
            <a:ext uri="{FF2B5EF4-FFF2-40B4-BE49-F238E27FC236}">
              <a16:creationId xmlns:a16="http://schemas.microsoft.com/office/drawing/2014/main" id="{B7726416-68D1-43F9-957B-DFA2C62028E4}"/>
            </a:ext>
          </a:extLst>
        </xdr:cNvPr>
        <xdr:cNvSpPr txBox="1"/>
      </xdr:nvSpPr>
      <xdr:spPr>
        <a:xfrm>
          <a:off x="28935339" y="1986963"/>
          <a:ext cx="1022350"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4" name="TextBox 3">
          <a:extLst>
            <a:ext uri="{FF2B5EF4-FFF2-40B4-BE49-F238E27FC236}">
              <a16:creationId xmlns:a16="http://schemas.microsoft.com/office/drawing/2014/main" id="{E4E02FE8-A3B6-406D-9642-BB95A6A3B089}"/>
            </a:ext>
          </a:extLst>
        </xdr:cNvPr>
        <xdr:cNvSpPr txBox="1"/>
      </xdr:nvSpPr>
      <xdr:spPr>
        <a:xfrm>
          <a:off x="30675237" y="1986963"/>
          <a:ext cx="1752602"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5" name="TextBox 4">
          <a:extLst>
            <a:ext uri="{FF2B5EF4-FFF2-40B4-BE49-F238E27FC236}">
              <a16:creationId xmlns:a16="http://schemas.microsoft.com/office/drawing/2014/main" id="{46F0EC7F-25D1-4F64-87AE-6927E36FD4AA}"/>
            </a:ext>
          </a:extLst>
        </xdr:cNvPr>
        <xdr:cNvSpPr txBox="1"/>
      </xdr:nvSpPr>
      <xdr:spPr>
        <a:xfrm>
          <a:off x="35672688" y="1962150"/>
          <a:ext cx="1438276" cy="14843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6" name="Straight Connector 5">
          <a:extLst>
            <a:ext uri="{FF2B5EF4-FFF2-40B4-BE49-F238E27FC236}">
              <a16:creationId xmlns:a16="http://schemas.microsoft.com/office/drawing/2014/main" id="{E2E0ED40-FB0C-4BBA-8C48-3BAD31AA00D7}"/>
            </a:ext>
          </a:extLst>
        </xdr:cNvPr>
        <xdr:cNvCxnSpPr/>
      </xdr:nvCxnSpPr>
      <xdr:spPr bwMode="auto">
        <a:xfrm flipH="1">
          <a:off x="28530526" y="1962150"/>
          <a:ext cx="0" cy="18684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7" name="TextBox 6">
          <a:extLst>
            <a:ext uri="{FF2B5EF4-FFF2-40B4-BE49-F238E27FC236}">
              <a16:creationId xmlns:a16="http://schemas.microsoft.com/office/drawing/2014/main" id="{0A213FFC-EF5F-477C-B192-00D47C8A1A24}"/>
            </a:ext>
          </a:extLst>
        </xdr:cNvPr>
        <xdr:cNvSpPr txBox="1"/>
      </xdr:nvSpPr>
      <xdr:spPr>
        <a:xfrm>
          <a:off x="29668763" y="1644650"/>
          <a:ext cx="1428751" cy="317500"/>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8" name="Straight Connector 7">
          <a:extLst>
            <a:ext uri="{FF2B5EF4-FFF2-40B4-BE49-F238E27FC236}">
              <a16:creationId xmlns:a16="http://schemas.microsoft.com/office/drawing/2014/main" id="{ACB9083D-6661-4FA1-A08E-571A4F505472}"/>
            </a:ext>
          </a:extLst>
        </xdr:cNvPr>
        <xdr:cNvCxnSpPr/>
      </xdr:nvCxnSpPr>
      <xdr:spPr bwMode="auto">
        <a:xfrm flipH="1">
          <a:off x="30373613" y="1962150"/>
          <a:ext cx="0" cy="18557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9" name="TextBox 8">
          <a:extLst>
            <a:ext uri="{FF2B5EF4-FFF2-40B4-BE49-F238E27FC236}">
              <a16:creationId xmlns:a16="http://schemas.microsoft.com/office/drawing/2014/main" id="{D70E138A-E722-47FF-919D-10DE48266622}"/>
            </a:ext>
          </a:extLst>
        </xdr:cNvPr>
        <xdr:cNvSpPr txBox="1"/>
      </xdr:nvSpPr>
      <xdr:spPr>
        <a:xfrm>
          <a:off x="32091288" y="1727204"/>
          <a:ext cx="1428751" cy="234946"/>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0" name="Straight Connector 9">
          <a:extLst>
            <a:ext uri="{FF2B5EF4-FFF2-40B4-BE49-F238E27FC236}">
              <a16:creationId xmlns:a16="http://schemas.microsoft.com/office/drawing/2014/main" id="{853A9EDF-BBD5-40C5-819B-F997B74C30FB}"/>
            </a:ext>
          </a:extLst>
        </xdr:cNvPr>
        <xdr:cNvCxnSpPr/>
      </xdr:nvCxnSpPr>
      <xdr:spPr bwMode="auto">
        <a:xfrm flipH="1">
          <a:off x="32797726" y="1962150"/>
          <a:ext cx="0" cy="18684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1" name="TextBox 10">
          <a:extLst>
            <a:ext uri="{FF2B5EF4-FFF2-40B4-BE49-F238E27FC236}">
              <a16:creationId xmlns:a16="http://schemas.microsoft.com/office/drawing/2014/main" id="{2B8706AD-95FA-4C64-814B-0D96D6DFEB13}"/>
            </a:ext>
          </a:extLst>
        </xdr:cNvPr>
        <xdr:cNvSpPr txBox="1"/>
      </xdr:nvSpPr>
      <xdr:spPr>
        <a:xfrm>
          <a:off x="33269213" y="1962150"/>
          <a:ext cx="1546226" cy="14779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2" name="TextBox 11">
          <a:extLst>
            <a:ext uri="{FF2B5EF4-FFF2-40B4-BE49-F238E27FC236}">
              <a16:creationId xmlns:a16="http://schemas.microsoft.com/office/drawing/2014/main" id="{0C299F66-BCD5-45F2-8DD4-09154A42F1B4}"/>
            </a:ext>
          </a:extLst>
        </xdr:cNvPr>
        <xdr:cNvSpPr txBox="1"/>
      </xdr:nvSpPr>
      <xdr:spPr>
        <a:xfrm>
          <a:off x="33608939" y="1644650"/>
          <a:ext cx="3251199" cy="314321"/>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3" name="Straight Connector 12">
          <a:extLst>
            <a:ext uri="{FF2B5EF4-FFF2-40B4-BE49-F238E27FC236}">
              <a16:creationId xmlns:a16="http://schemas.microsoft.com/office/drawing/2014/main" id="{36F8E587-80FA-4E03-A0C0-BDC84C55FB74}"/>
            </a:ext>
          </a:extLst>
        </xdr:cNvPr>
        <xdr:cNvCxnSpPr/>
      </xdr:nvCxnSpPr>
      <xdr:spPr bwMode="auto">
        <a:xfrm flipH="1">
          <a:off x="35232952" y="1962150"/>
          <a:ext cx="0" cy="1849439"/>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14" name="Straight Connector 13">
          <a:extLst>
            <a:ext uri="{FF2B5EF4-FFF2-40B4-BE49-F238E27FC236}">
              <a16:creationId xmlns:a16="http://schemas.microsoft.com/office/drawing/2014/main" id="{5D525B2D-244F-45DC-B439-9CD5BD888780}"/>
            </a:ext>
          </a:extLst>
        </xdr:cNvPr>
        <xdr:cNvCxnSpPr>
          <a:cxnSpLocks/>
          <a:endCxn id="3" idx="1"/>
        </xdr:cNvCxnSpPr>
      </xdr:nvCxnSpPr>
      <xdr:spPr bwMode="auto">
        <a:xfrm>
          <a:off x="28538463" y="2105025"/>
          <a:ext cx="39687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15" name="Straight Connector 14">
          <a:extLst>
            <a:ext uri="{FF2B5EF4-FFF2-40B4-BE49-F238E27FC236}">
              <a16:creationId xmlns:a16="http://schemas.microsoft.com/office/drawing/2014/main" id="{27DC3DD1-4406-42E9-8012-7A9535C87580}"/>
            </a:ext>
          </a:extLst>
        </xdr:cNvPr>
        <xdr:cNvCxnSpPr>
          <a:cxnSpLocks/>
          <a:stCxn id="3" idx="3"/>
        </xdr:cNvCxnSpPr>
      </xdr:nvCxnSpPr>
      <xdr:spPr bwMode="auto">
        <a:xfrm>
          <a:off x="29957689" y="2106613"/>
          <a:ext cx="431799"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16" name="Straight Connector 15">
          <a:extLst>
            <a:ext uri="{FF2B5EF4-FFF2-40B4-BE49-F238E27FC236}">
              <a16:creationId xmlns:a16="http://schemas.microsoft.com/office/drawing/2014/main" id="{5FC98776-F992-4AC4-9A62-FDE98BABE6AA}"/>
            </a:ext>
          </a:extLst>
        </xdr:cNvPr>
        <xdr:cNvCxnSpPr>
          <a:cxnSpLocks/>
          <a:endCxn id="4" idx="1"/>
        </xdr:cNvCxnSpPr>
      </xdr:nvCxnSpPr>
      <xdr:spPr bwMode="auto">
        <a:xfrm>
          <a:off x="30381551" y="2105025"/>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17" name="Straight Connector 16">
          <a:extLst>
            <a:ext uri="{FF2B5EF4-FFF2-40B4-BE49-F238E27FC236}">
              <a16:creationId xmlns:a16="http://schemas.microsoft.com/office/drawing/2014/main" id="{C41537BB-6147-4E22-8B2A-D1332C255989}"/>
            </a:ext>
          </a:extLst>
        </xdr:cNvPr>
        <xdr:cNvCxnSpPr/>
      </xdr:nvCxnSpPr>
      <xdr:spPr bwMode="auto">
        <a:xfrm flipV="1">
          <a:off x="32418336" y="2097088"/>
          <a:ext cx="393677"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18" name="Straight Connector 17">
          <a:extLst>
            <a:ext uri="{FF2B5EF4-FFF2-40B4-BE49-F238E27FC236}">
              <a16:creationId xmlns:a16="http://schemas.microsoft.com/office/drawing/2014/main" id="{8607B5CB-97FF-4128-A635-75ACE50C2E1B}"/>
            </a:ext>
          </a:extLst>
        </xdr:cNvPr>
        <xdr:cNvCxnSpPr>
          <a:cxnSpLocks/>
          <a:endCxn id="11" idx="1"/>
        </xdr:cNvCxnSpPr>
      </xdr:nvCxnSpPr>
      <xdr:spPr bwMode="auto">
        <a:xfrm>
          <a:off x="32792986" y="2100262"/>
          <a:ext cx="476227"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19" name="Straight Connector 18">
          <a:extLst>
            <a:ext uri="{FF2B5EF4-FFF2-40B4-BE49-F238E27FC236}">
              <a16:creationId xmlns:a16="http://schemas.microsoft.com/office/drawing/2014/main" id="{AC929420-D27B-4D48-B154-3955C92F5C68}"/>
            </a:ext>
          </a:extLst>
        </xdr:cNvPr>
        <xdr:cNvCxnSpPr/>
      </xdr:nvCxnSpPr>
      <xdr:spPr bwMode="auto">
        <a:xfrm flipV="1">
          <a:off x="34812286" y="2105026"/>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20" name="Straight Connector 19">
          <a:extLst>
            <a:ext uri="{FF2B5EF4-FFF2-40B4-BE49-F238E27FC236}">
              <a16:creationId xmlns:a16="http://schemas.microsoft.com/office/drawing/2014/main" id="{FE38BC22-5731-4B08-A09E-F7B8706BE7A0}"/>
            </a:ext>
          </a:extLst>
        </xdr:cNvPr>
        <xdr:cNvCxnSpPr/>
      </xdr:nvCxnSpPr>
      <xdr:spPr bwMode="auto">
        <a:xfrm>
          <a:off x="35226624" y="2103436"/>
          <a:ext cx="446065"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21" name="TextBox 20">
          <a:extLst>
            <a:ext uri="{FF2B5EF4-FFF2-40B4-BE49-F238E27FC236}">
              <a16:creationId xmlns:a16="http://schemas.microsoft.com/office/drawing/2014/main" id="{16645441-0767-4DE6-B9CD-F3F658B71F65}"/>
            </a:ext>
          </a:extLst>
        </xdr:cNvPr>
        <xdr:cNvSpPr txBox="1"/>
      </xdr:nvSpPr>
      <xdr:spPr>
        <a:xfrm>
          <a:off x="35690142" y="3900520"/>
          <a:ext cx="1438276" cy="1111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22" name="Straight Connector 21">
          <a:extLst>
            <a:ext uri="{FF2B5EF4-FFF2-40B4-BE49-F238E27FC236}">
              <a16:creationId xmlns:a16="http://schemas.microsoft.com/office/drawing/2014/main" id="{AE1A7979-9DC1-4DCB-9DF7-81CFB7D2564F}"/>
            </a:ext>
          </a:extLst>
        </xdr:cNvPr>
        <xdr:cNvCxnSpPr/>
      </xdr:nvCxnSpPr>
      <xdr:spPr bwMode="auto">
        <a:xfrm>
          <a:off x="35244078" y="4557744"/>
          <a:ext cx="446065"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31</xdr:row>
      <xdr:rowOff>50863</xdr:rowOff>
    </xdr:to>
    <xdr:sp macro="" textlink="">
      <xdr:nvSpPr>
        <xdr:cNvPr id="23" name="TextBox 22">
          <a:extLst>
            <a:ext uri="{FF2B5EF4-FFF2-40B4-BE49-F238E27FC236}">
              <a16:creationId xmlns:a16="http://schemas.microsoft.com/office/drawing/2014/main" id="{E4ABA5AA-2399-4E93-A37B-0EF9E41661D7}"/>
            </a:ext>
          </a:extLst>
        </xdr:cNvPr>
        <xdr:cNvSpPr txBox="1"/>
      </xdr:nvSpPr>
      <xdr:spPr>
        <a:xfrm>
          <a:off x="35699658" y="5105400"/>
          <a:ext cx="1438276" cy="10033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24" name="Straight Connector 23">
          <a:extLst>
            <a:ext uri="{FF2B5EF4-FFF2-40B4-BE49-F238E27FC236}">
              <a16:creationId xmlns:a16="http://schemas.microsoft.com/office/drawing/2014/main" id="{123AAADA-8F0A-4838-84DF-07FE6AA7553D}"/>
            </a:ext>
          </a:extLst>
        </xdr:cNvPr>
        <xdr:cNvCxnSpPr/>
      </xdr:nvCxnSpPr>
      <xdr:spPr bwMode="auto">
        <a:xfrm>
          <a:off x="35252006" y="5829361"/>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30</xdr:row>
      <xdr:rowOff>166687</xdr:rowOff>
    </xdr:to>
    <xdr:cxnSp macro="">
      <xdr:nvCxnSpPr>
        <xdr:cNvPr id="25" name="Straight Connector 24">
          <a:extLst>
            <a:ext uri="{FF2B5EF4-FFF2-40B4-BE49-F238E27FC236}">
              <a16:creationId xmlns:a16="http://schemas.microsoft.com/office/drawing/2014/main" id="{DED8B803-CC61-4780-8716-FA32D6ECACFC}"/>
            </a:ext>
          </a:extLst>
        </xdr:cNvPr>
        <xdr:cNvCxnSpPr/>
      </xdr:nvCxnSpPr>
      <xdr:spPr bwMode="auto">
        <a:xfrm>
          <a:off x="37680877" y="1966914"/>
          <a:ext cx="23" cy="4067173"/>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26" name="Straight Connector 25">
          <a:extLst>
            <a:ext uri="{FF2B5EF4-FFF2-40B4-BE49-F238E27FC236}">
              <a16:creationId xmlns:a16="http://schemas.microsoft.com/office/drawing/2014/main" id="{43C5E141-903F-4B6E-A076-C22F6D0E0F70}"/>
            </a:ext>
          </a:extLst>
        </xdr:cNvPr>
        <xdr:cNvCxnSpPr>
          <a:cxnSpLocks/>
          <a:endCxn id="27" idx="1"/>
        </xdr:cNvCxnSpPr>
      </xdr:nvCxnSpPr>
      <xdr:spPr bwMode="auto">
        <a:xfrm>
          <a:off x="37674549" y="4311649"/>
          <a:ext cx="447787" cy="23338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27" name="TextBox 26">
          <a:extLst>
            <a:ext uri="{FF2B5EF4-FFF2-40B4-BE49-F238E27FC236}">
              <a16:creationId xmlns:a16="http://schemas.microsoft.com/office/drawing/2014/main" id="{EEECBC7B-1BF4-4F30-917C-2E18C3C354EB}"/>
            </a:ext>
          </a:extLst>
        </xdr:cNvPr>
        <xdr:cNvSpPr txBox="1"/>
      </xdr:nvSpPr>
      <xdr:spPr>
        <a:xfrm>
          <a:off x="38122336" y="3878284"/>
          <a:ext cx="1438276" cy="1111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28" name="TextBox 27">
          <a:extLst>
            <a:ext uri="{FF2B5EF4-FFF2-40B4-BE49-F238E27FC236}">
              <a16:creationId xmlns:a16="http://schemas.microsoft.com/office/drawing/2014/main" id="{15CEA179-6682-4351-9D11-14822510038F}"/>
            </a:ext>
          </a:extLst>
        </xdr:cNvPr>
        <xdr:cNvSpPr txBox="1"/>
      </xdr:nvSpPr>
      <xdr:spPr>
        <a:xfrm>
          <a:off x="37041128" y="1824042"/>
          <a:ext cx="1304926" cy="13810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29" name="Straight Connector 28">
          <a:extLst>
            <a:ext uri="{FF2B5EF4-FFF2-40B4-BE49-F238E27FC236}">
              <a16:creationId xmlns:a16="http://schemas.microsoft.com/office/drawing/2014/main" id="{D44DFC84-B358-489E-85D9-60CCD34837E7}"/>
            </a:ext>
          </a:extLst>
        </xdr:cNvPr>
        <xdr:cNvCxnSpPr>
          <a:cxnSpLocks/>
          <a:stCxn id="5" idx="3"/>
        </xdr:cNvCxnSpPr>
      </xdr:nvCxnSpPr>
      <xdr:spPr bwMode="auto">
        <a:xfrm flipV="1">
          <a:off x="37110964" y="2112962"/>
          <a:ext cx="585811"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30" name="Straight Connector 29">
          <a:extLst>
            <a:ext uri="{FF2B5EF4-FFF2-40B4-BE49-F238E27FC236}">
              <a16:creationId xmlns:a16="http://schemas.microsoft.com/office/drawing/2014/main" id="{49B99052-1122-43E9-952F-A17B4AA9CAA0}"/>
            </a:ext>
          </a:extLst>
        </xdr:cNvPr>
        <xdr:cNvCxnSpPr>
          <a:cxnSpLocks/>
          <a:stCxn id="21" idx="3"/>
        </xdr:cNvCxnSpPr>
      </xdr:nvCxnSpPr>
      <xdr:spPr bwMode="auto">
        <a:xfrm flipV="1">
          <a:off x="37128418" y="4565651"/>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30</xdr:row>
      <xdr:rowOff>3238</xdr:rowOff>
    </xdr:to>
    <xdr:cxnSp macro="">
      <xdr:nvCxnSpPr>
        <xdr:cNvPr id="31" name="Straight Connector 30">
          <a:extLst>
            <a:ext uri="{FF2B5EF4-FFF2-40B4-BE49-F238E27FC236}">
              <a16:creationId xmlns:a16="http://schemas.microsoft.com/office/drawing/2014/main" id="{6A8B2298-8785-4284-BA3D-32EBB1CB5453}"/>
            </a:ext>
          </a:extLst>
        </xdr:cNvPr>
        <xdr:cNvCxnSpPr>
          <a:cxnSpLocks/>
          <a:stCxn id="23" idx="3"/>
        </xdr:cNvCxnSpPr>
      </xdr:nvCxnSpPr>
      <xdr:spPr bwMode="auto">
        <a:xfrm flipV="1">
          <a:off x="37137934" y="5827712"/>
          <a:ext cx="574716" cy="4292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35</xdr:row>
      <xdr:rowOff>7937</xdr:rowOff>
    </xdr:to>
    <xdr:sp macro="" textlink="">
      <xdr:nvSpPr>
        <xdr:cNvPr id="32" name="Rectangle 31">
          <a:extLst>
            <a:ext uri="{FF2B5EF4-FFF2-40B4-BE49-F238E27FC236}">
              <a16:creationId xmlns:a16="http://schemas.microsoft.com/office/drawing/2014/main" id="{C3C0C8D7-36EB-49D0-B846-C7E51E2D4C5F}"/>
            </a:ext>
          </a:extLst>
        </xdr:cNvPr>
        <xdr:cNvSpPr/>
      </xdr:nvSpPr>
      <xdr:spPr bwMode="auto">
        <a:xfrm>
          <a:off x="27857450" y="1646928"/>
          <a:ext cx="11787188" cy="5180909"/>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0</xdr:row>
      <xdr:rowOff>238125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924800" y="0"/>
          <a:ext cx="5610225" cy="2381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14</xdr:col>
      <xdr:colOff>276225</xdr:colOff>
      <xdr:row>45</xdr:row>
      <xdr:rowOff>171450</xdr:rowOff>
    </xdr:from>
    <xdr:to>
      <xdr:col>22</xdr:col>
      <xdr:colOff>286616</xdr:colOff>
      <xdr:row>68</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11858625" y="9286875"/>
              <a:ext cx="4887191" cy="45529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𝑉𝐴𝑅𝑂𝑀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It includes</a:t>
              </a:r>
              <a:r>
                <a:rPr lang="da-DK" sz="1100" baseline="0">
                  <a:latin typeface="Times New Roman" panose="02020603050405020304" pitchFamily="18" charset="0"/>
                  <a:cs typeface="Times New Roman" panose="02020603050405020304" pitchFamily="18" charset="0"/>
                </a:rPr>
                <a:t> the cost of appliance (row 22) and the cost of installation (row 23).  </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 (row 10)</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5" name="TextBox 4"/>
            <xdr:cNvSpPr txBox="1"/>
          </xdr:nvSpPr>
          <xdr:spPr>
            <a:xfrm>
              <a:off x="11858625" y="9286875"/>
              <a:ext cx="4887191" cy="45529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a:t>
              </a:r>
              <a:r>
                <a:rPr lang="da-DK" sz="1100" b="0" i="0">
                  <a:solidFill>
                    <a:schemeClr val="dk1"/>
                  </a:solidFill>
                  <a:effectLst/>
                  <a:latin typeface="+mn-lt"/>
                  <a:ea typeface="+mn-ea"/>
                  <a:cs typeface="+mn-cs"/>
                </a:rPr>
                <a:t> [</a:t>
              </a:r>
              <a:r>
                <a:rPr lang="en-GB" sz="1100" b="0" i="0">
                  <a:solidFill>
                    <a:schemeClr val="dk1"/>
                  </a:solidFill>
                  <a:effectLst/>
                  <a:latin typeface="+mn-lt"/>
                  <a:ea typeface="+mn-ea"/>
                  <a:cs typeface="+mn-cs"/>
                </a:rPr>
                <a:t>𝑘𝑊</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a:t>
              </a:r>
              <a:r>
                <a:rPr lang="da-DK" sz="1100" b="0" i="0">
                  <a:solidFill>
                    <a:schemeClr val="dk1"/>
                  </a:solidFill>
                  <a:effectLst/>
                  <a:latin typeface="Cambria Math"/>
                  <a:ea typeface="+mn-ea"/>
                  <a:cs typeface="+mn-cs"/>
                </a:rPr>
                <a:t> )</a:t>
              </a: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𝐺𝐽]</a:t>
              </a:r>
              <a:r>
                <a:rPr lang="da-DK" sz="1100" i="0">
                  <a:solidFill>
                    <a:schemeClr val="dk1"/>
                  </a:solidFill>
                  <a:effectLst/>
                  <a:latin typeface="Cambria Math"/>
                  <a:ea typeface="+mn-ea"/>
                  <a:cs typeface="+mn-cs"/>
                </a:rPr>
                <a:t>=(</a:t>
              </a:r>
              <a:r>
                <a:rPr lang="en-GB" sz="1100" b="0" i="0">
                  <a:solidFill>
                    <a:schemeClr val="dk1"/>
                  </a:solidFill>
                  <a:effectLst/>
                  <a:latin typeface="+mn-lt"/>
                  <a:ea typeface="+mn-ea"/>
                  <a:cs typeface="+mn-cs"/>
                </a:rPr>
                <a:t>𝑉𝐴𝑅𝑂𝑀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𝑝𝑟𝑜𝑑</a:t>
              </a:r>
              <a:r>
                <a:rPr lang="da-DK" sz="1100" b="0" i="0">
                  <a:solidFill>
                    <a:schemeClr val="dk1"/>
                  </a:solidFill>
                  <a:effectLst/>
                  <a:latin typeface="Cambria Math"/>
                  <a:ea typeface="+mn-ea"/>
                  <a:cs typeface="+mn-cs"/>
                </a:rPr>
                <a:t>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It includes</a:t>
              </a:r>
              <a:r>
                <a:rPr lang="da-DK" sz="1100" baseline="0">
                  <a:latin typeface="Times New Roman" panose="02020603050405020304" pitchFamily="18" charset="0"/>
                  <a:cs typeface="Times New Roman" panose="02020603050405020304" pitchFamily="18" charset="0"/>
                </a:rPr>
                <a:t> the cost of appliance (row 22) and the cost of installation (row 23).  </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 (row 10)</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twoCellAnchor>
    <xdr:from>
      <xdr:col>8</xdr:col>
      <xdr:colOff>0</xdr:colOff>
      <xdr:row>54</xdr:row>
      <xdr:rowOff>66675</xdr:rowOff>
    </xdr:from>
    <xdr:to>
      <xdr:col>14</xdr:col>
      <xdr:colOff>266700</xdr:colOff>
      <xdr:row>58</xdr:row>
      <xdr:rowOff>104775</xdr:rowOff>
    </xdr:to>
    <xdr:cxnSp macro="">
      <xdr:nvCxnSpPr>
        <xdr:cNvPr id="6" name="Elbow Connector 5">
          <a:extLst>
            <a:ext uri="{FF2B5EF4-FFF2-40B4-BE49-F238E27FC236}">
              <a16:creationId xmlns:a16="http://schemas.microsoft.com/office/drawing/2014/main" id="{00000000-0008-0000-0500-000006000000}"/>
            </a:ext>
          </a:extLst>
        </xdr:cNvPr>
        <xdr:cNvCxnSpPr/>
      </xdr:nvCxnSpPr>
      <xdr:spPr>
        <a:xfrm flipV="1">
          <a:off x="7924800" y="10982325"/>
          <a:ext cx="3924300" cy="847725"/>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209550</xdr:colOff>
      <xdr:row>70</xdr:row>
      <xdr:rowOff>19050</xdr:rowOff>
    </xdr:from>
    <xdr:to>
      <xdr:col>11</xdr:col>
      <xdr:colOff>457200</xdr:colOff>
      <xdr:row>86</xdr:row>
      <xdr:rowOff>171450</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10" name="TextBox 9"/>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4</xdr:col>
      <xdr:colOff>209550</xdr:colOff>
      <xdr:row>70</xdr:row>
      <xdr:rowOff>19050</xdr:rowOff>
    </xdr:from>
    <xdr:to>
      <xdr:col>11</xdr:col>
      <xdr:colOff>457200</xdr:colOff>
      <xdr:row>86</xdr:row>
      <xdr:rowOff>171450</xdr:rowOff>
    </xdr:to>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0500-00000B000000}"/>
                </a:ext>
              </a:extLst>
            </xdr:cNvPr>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11" name="TextBox 10"/>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9</xdr:col>
      <xdr:colOff>0</xdr:colOff>
      <xdr:row>52</xdr:row>
      <xdr:rowOff>0</xdr:rowOff>
    </xdr:from>
    <xdr:to>
      <xdr:col>12</xdr:col>
      <xdr:colOff>571500</xdr:colOff>
      <xdr:row>54</xdr:row>
      <xdr:rowOff>71871</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7324725" y="12839700"/>
          <a:ext cx="4629150" cy="4719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457200</xdr:colOff>
      <xdr:row>0</xdr:row>
      <xdr:rowOff>0</xdr:rowOff>
    </xdr:from>
    <xdr:to>
      <xdr:col>17</xdr:col>
      <xdr:colOff>142875</xdr:colOff>
      <xdr:row>2</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7124700" y="0"/>
          <a:ext cx="6543675" cy="4095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16</xdr:col>
      <xdr:colOff>28575</xdr:colOff>
      <xdr:row>47</xdr:row>
      <xdr:rowOff>0</xdr:rowOff>
    </xdr:from>
    <xdr:to>
      <xdr:col>24</xdr:col>
      <xdr:colOff>38966</xdr:colOff>
      <xdr:row>50</xdr:row>
      <xdr:rowOff>104775</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600-00000A000000}"/>
                </a:ext>
              </a:extLst>
            </xdr:cNvPr>
            <xdr:cNvSpPr txBox="1"/>
          </xdr:nvSpPr>
          <xdr:spPr>
            <a:xfrm>
              <a:off x="12944475" y="8810625"/>
              <a:ext cx="4887191" cy="43243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eaLnBrk="1" fontAlgn="auto" latinLnBrk="0" hangingPunct="1"/>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a:effectLst/>
              </a:endParaRPr>
            </a:p>
            <a:p>
              <a:pPr eaLnBrk="1" fontAlgn="auto" latinLnBrk="0" hangingPunct="1"/>
              <a:r>
                <a:rPr lang="en-GB" sz="1100" b="0">
                  <a:solidFill>
                    <a:schemeClr val="dk1"/>
                  </a:solidFill>
                  <a:effectLst/>
                  <a:latin typeface="+mn-l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 (row 37)</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𝑉𝐴𝑅𝑂𝑀</m:t>
                  </m:r>
                </m:oMath>
              </a14:m>
              <a:r>
                <a:rPr lang="da-DK" sz="1100">
                  <a:solidFill>
                    <a:schemeClr val="dk1"/>
                  </a:solidFill>
                  <a:effectLst/>
                  <a:latin typeface="+mn-lt"/>
                  <a:ea typeface="+mn-ea"/>
                  <a:cs typeface="+mn-cs"/>
                </a:rPr>
                <a:t>- Variable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10" name="TextBox 9"/>
            <xdr:cNvSpPr txBox="1"/>
          </xdr:nvSpPr>
          <xdr:spPr>
            <a:xfrm>
              <a:off x="12944475" y="8810625"/>
              <a:ext cx="4887191" cy="43243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eaLnBrk="1" fontAlgn="auto" latinLnBrk="0" hangingPunct="1"/>
              <a:r>
                <a:rPr lang="en-GB" sz="1100" b="0" i="0">
                  <a:solidFill>
                    <a:schemeClr val="dk1"/>
                  </a:solidFill>
                  <a:effectLst/>
                  <a:latin typeface="+mn-lt"/>
                  <a:ea typeface="+mn-ea"/>
                  <a:cs typeface="+mn-cs"/>
                </a:rPr>
                <a:t>𝐹𝐼𝑋𝑂𝑀</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𝐷𝐾𝐾</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𝑘𝑊∙𝑦𝑒𝑎𝑟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a:t>
              </a:r>
              <a:r>
                <a:rPr lang="da-DK" sz="1100" b="0" i="0">
                  <a:solidFill>
                    <a:schemeClr val="dk1"/>
                  </a:solidFill>
                  <a:effectLst/>
                  <a:latin typeface="+mn-lt"/>
                  <a:ea typeface="+mn-ea"/>
                  <a:cs typeface="+mn-cs"/>
                </a:rPr>
                <a:t> [</a:t>
              </a:r>
              <a:r>
                <a:rPr lang="en-GB" sz="1100" b="0" i="0">
                  <a:solidFill>
                    <a:schemeClr val="dk1"/>
                  </a:solidFill>
                  <a:effectLst/>
                  <a:latin typeface="+mn-lt"/>
                  <a:ea typeface="+mn-ea"/>
                  <a:cs typeface="+mn-cs"/>
                </a:rPr>
                <a:t>𝑘𝑊</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 </a:t>
              </a:r>
              <a:r>
                <a:rPr lang="da-DK" sz="1100" b="0" i="0">
                  <a:solidFill>
                    <a:schemeClr val="dk1"/>
                  </a:solidFill>
                  <a:effectLst/>
                  <a:latin typeface="+mn-lt"/>
                  <a:ea typeface="+mn-ea"/>
                  <a:cs typeface="+mn-cs"/>
                </a:rPr>
                <a:t>)</a:t>
              </a:r>
              <a:endParaRPr lang="da-DK">
                <a:effectLst/>
              </a:endParaRPr>
            </a:p>
            <a:p>
              <a:pPr eaLnBrk="1" fontAlgn="auto" latinLnBrk="0" hangingPunct="1"/>
              <a:r>
                <a:rPr lang="en-GB" sz="1100" b="0">
                  <a:solidFill>
                    <a:schemeClr val="dk1"/>
                  </a:solidFill>
                  <a:effectLst/>
                  <a:latin typeface="+mn-lt"/>
                  <a:ea typeface="+mn-ea"/>
                  <a:cs typeface="+mn-cs"/>
                </a:rPr>
                <a:t>VAR</a:t>
              </a:r>
              <a:r>
                <a:rPr lang="en-GB" sz="1100" b="0" i="0">
                  <a:solidFill>
                    <a:schemeClr val="dk1"/>
                  </a:solidFill>
                  <a:effectLst/>
                  <a:latin typeface="+mn-lt"/>
                  <a:ea typeface="+mn-ea"/>
                  <a:cs typeface="+mn-cs"/>
                </a:rPr>
                <a:t>𝑂𝑀</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𝐷𝐾𝐾</a:t>
              </a:r>
              <a:r>
                <a:rPr lang="da-DK" sz="1100" b="0" i="0">
                  <a:solidFill>
                    <a:schemeClr val="dk1"/>
                  </a:solidFill>
                  <a:effectLst/>
                  <a:latin typeface="+mn-lt"/>
                  <a:ea typeface="+mn-ea"/>
                  <a:cs typeface="+mn-cs"/>
                </a:rPr>
                <a:t>/</a:t>
              </a:r>
              <a:r>
                <a:rPr lang="en-GB" sz="1100" b="0" i="0">
                  <a:solidFill>
                    <a:schemeClr val="dk1"/>
                  </a:solidFill>
                  <a:effectLst/>
                  <a:latin typeface="Cambria Math"/>
                  <a:ea typeface="+mn-ea"/>
                  <a:cs typeface="+mn-cs"/>
                </a:rPr>
                <a:t>𝐺𝐽</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 (row 37)</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p>
            <a:p>
              <a:pPr eaLnBrk="1" fontAlgn="auto" latinLnBrk="0" hangingPunct="1"/>
              <a:r>
                <a:rPr lang="en-GB" sz="1100" b="0" i="0">
                  <a:solidFill>
                    <a:schemeClr val="dk1"/>
                  </a:solidFill>
                  <a:effectLst/>
                  <a:latin typeface="+mn-lt"/>
                  <a:ea typeface="+mn-ea"/>
                  <a:cs typeface="+mn-cs"/>
                </a:rPr>
                <a:t>𝑉𝐴𝑅𝑂𝑀</a:t>
              </a:r>
              <a:r>
                <a:rPr lang="da-DK" sz="1100">
                  <a:solidFill>
                    <a:schemeClr val="dk1"/>
                  </a:solidFill>
                  <a:effectLst/>
                  <a:latin typeface="+mn-lt"/>
                  <a:ea typeface="+mn-ea"/>
                  <a:cs typeface="+mn-cs"/>
                </a:rPr>
                <a:t>- Variable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57150</xdr:colOff>
      <xdr:row>0</xdr:row>
      <xdr:rowOff>0</xdr:rowOff>
    </xdr:from>
    <xdr:to>
      <xdr:col>17</xdr:col>
      <xdr:colOff>400050</xdr:colOff>
      <xdr:row>5</xdr:row>
      <xdr:rowOff>28575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8324850" y="0"/>
          <a:ext cx="5800725" cy="981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561976</xdr:colOff>
      <xdr:row>0</xdr:row>
      <xdr:rowOff>0</xdr:rowOff>
    </xdr:from>
    <xdr:to>
      <xdr:col>18</xdr:col>
      <xdr:colOff>123826</xdr:colOff>
      <xdr:row>1</xdr:row>
      <xdr:rowOff>180975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6086476" y="0"/>
          <a:ext cx="6877050" cy="3714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9524</xdr:colOff>
      <xdr:row>0</xdr:row>
      <xdr:rowOff>57149</xdr:rowOff>
    </xdr:from>
    <xdr:to>
      <xdr:col>15</xdr:col>
      <xdr:colOff>180974</xdr:colOff>
      <xdr:row>1</xdr:row>
      <xdr:rowOff>152400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067049" y="57149"/>
          <a:ext cx="8258175" cy="28575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a:p>
      </xdr:txBody>
    </xdr:sp>
    <xdr:clientData/>
  </xdr:twoCellAnchor>
  <xdr:twoCellAnchor>
    <xdr:from>
      <xdr:col>38</xdr:col>
      <xdr:colOff>9524</xdr:colOff>
      <xdr:row>0</xdr:row>
      <xdr:rowOff>57149</xdr:rowOff>
    </xdr:from>
    <xdr:to>
      <xdr:col>51</xdr:col>
      <xdr:colOff>180974</xdr:colOff>
      <xdr:row>1</xdr:row>
      <xdr:rowOff>152400</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067049" y="57149"/>
          <a:ext cx="9458325" cy="29527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590549</xdr:colOff>
      <xdr:row>0</xdr:row>
      <xdr:rowOff>0</xdr:rowOff>
    </xdr:from>
    <xdr:to>
      <xdr:col>23</xdr:col>
      <xdr:colOff>523875</xdr:colOff>
      <xdr:row>2</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848349" y="0"/>
          <a:ext cx="11639551" cy="542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r>
            <a:rPr lang="da-DK" sz="1100" u="sng">
              <a:solidFill>
                <a:srgbClr val="0070C0"/>
              </a:solidFill>
              <a:effectLst/>
              <a:latin typeface="+mn-lt"/>
              <a:ea typeface="+mn-ea"/>
              <a:cs typeface="+mn-cs"/>
            </a:rPr>
            <a:t>31/8 august  - data from the new not publiched</a:t>
          </a:r>
          <a:r>
            <a:rPr lang="da-DK" sz="1100" u="sng" baseline="0">
              <a:solidFill>
                <a:srgbClr val="0070C0"/>
              </a:solidFill>
              <a:effectLst/>
              <a:latin typeface="+mn-lt"/>
              <a:ea typeface="+mn-ea"/>
              <a:cs typeface="+mn-cs"/>
            </a:rPr>
            <a:t> catalog is used  </a:t>
          </a:r>
          <a:endParaRPr lang="da-DK" sz="1100" u="sng">
            <a:solidFill>
              <a:srgbClr val="0070C0"/>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19050</xdr:colOff>
      <xdr:row>0</xdr:row>
      <xdr:rowOff>1</xdr:rowOff>
    </xdr:from>
    <xdr:to>
      <xdr:col>16</xdr:col>
      <xdr:colOff>142875</xdr:colOff>
      <xdr:row>3</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734175" y="1"/>
          <a:ext cx="5610225" cy="666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504824</xdr:colOff>
      <xdr:row>0</xdr:row>
      <xdr:rowOff>0</xdr:rowOff>
    </xdr:from>
    <xdr:to>
      <xdr:col>21</xdr:col>
      <xdr:colOff>9524</xdr:colOff>
      <xdr:row>2</xdr:row>
      <xdr:rowOff>28575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8658224" y="0"/>
          <a:ext cx="7324725" cy="600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11</xdr:col>
      <xdr:colOff>238125</xdr:colOff>
      <xdr:row>52</xdr:row>
      <xdr:rowOff>171449</xdr:rowOff>
    </xdr:from>
    <xdr:to>
      <xdr:col>15</xdr:col>
      <xdr:colOff>428625</xdr:colOff>
      <xdr:row>79</xdr:row>
      <xdr:rowOff>28574</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0115550" y="19392899"/>
              <a:ext cx="4048125" cy="5000625"/>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m:oMathPara>
              </a14:m>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3" name="TextBox 2"/>
            <xdr:cNvSpPr txBox="1"/>
          </xdr:nvSpPr>
          <xdr:spPr>
            <a:xfrm>
              <a:off x="10115550" y="19392899"/>
              <a:ext cx="4048125" cy="5000625"/>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twoCellAnchor>
    <xdr:from>
      <xdr:col>6</xdr:col>
      <xdr:colOff>566303</xdr:colOff>
      <xdr:row>53</xdr:row>
      <xdr:rowOff>57150</xdr:rowOff>
    </xdr:from>
    <xdr:to>
      <xdr:col>11</xdr:col>
      <xdr:colOff>47624</xdr:colOff>
      <xdr:row>59</xdr:row>
      <xdr:rowOff>18184</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7500503" y="19469100"/>
          <a:ext cx="2424546" cy="110403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4</xdr:col>
      <xdr:colOff>628650</xdr:colOff>
      <xdr:row>56</xdr:row>
      <xdr:rowOff>99580</xdr:rowOff>
    </xdr:from>
    <xdr:to>
      <xdr:col>6</xdr:col>
      <xdr:colOff>566303</xdr:colOff>
      <xdr:row>66</xdr:row>
      <xdr:rowOff>123825</xdr:rowOff>
    </xdr:to>
    <xdr:cxnSp macro="">
      <xdr:nvCxnSpPr>
        <xdr:cNvPr id="5" name="Elbow Connector 4">
          <a:extLst>
            <a:ext uri="{FF2B5EF4-FFF2-40B4-BE49-F238E27FC236}">
              <a16:creationId xmlns:a16="http://schemas.microsoft.com/office/drawing/2014/main" id="{00000000-0008-0000-0C00-000005000000}"/>
            </a:ext>
          </a:extLst>
        </xdr:cNvPr>
        <xdr:cNvCxnSpPr>
          <a:endCxn id="4" idx="1"/>
        </xdr:cNvCxnSpPr>
      </xdr:nvCxnSpPr>
      <xdr:spPr>
        <a:xfrm flipV="1">
          <a:off x="5943600" y="20083030"/>
          <a:ext cx="1556903" cy="1929245"/>
        </a:xfrm>
        <a:prstGeom prst="bentConnector3">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219075</xdr:colOff>
      <xdr:row>55</xdr:row>
      <xdr:rowOff>85725</xdr:rowOff>
    </xdr:from>
    <xdr:to>
      <xdr:col>15</xdr:col>
      <xdr:colOff>361950</xdr:colOff>
      <xdr:row>67</xdr:row>
      <xdr:rowOff>38100</xdr:rowOff>
    </xdr:to>
    <xdr:cxnSp macro="">
      <xdr:nvCxnSpPr>
        <xdr:cNvPr id="7" name="Elbow Connector 6">
          <a:extLst>
            <a:ext uri="{FF2B5EF4-FFF2-40B4-BE49-F238E27FC236}">
              <a16:creationId xmlns:a16="http://schemas.microsoft.com/office/drawing/2014/main" id="{00000000-0008-0000-0C00-000007000000}"/>
            </a:ext>
          </a:extLst>
        </xdr:cNvPr>
        <xdr:cNvCxnSpPr/>
      </xdr:nvCxnSpPr>
      <xdr:spPr>
        <a:xfrm flipV="1">
          <a:off x="11315700" y="19878675"/>
          <a:ext cx="2781300" cy="2238375"/>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1562101</xdr:colOff>
      <xdr:row>0</xdr:row>
      <xdr:rowOff>1</xdr:rowOff>
    </xdr:from>
    <xdr:to>
      <xdr:col>17</xdr:col>
      <xdr:colOff>228601</xdr:colOff>
      <xdr:row>2</xdr:row>
      <xdr:rowOff>1</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2171701" y="1"/>
          <a:ext cx="11449050" cy="3810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6</xdr:col>
      <xdr:colOff>733425</xdr:colOff>
      <xdr:row>56</xdr:row>
      <xdr:rowOff>95250</xdr:rowOff>
    </xdr:from>
    <xdr:to>
      <xdr:col>9</xdr:col>
      <xdr:colOff>838200</xdr:colOff>
      <xdr:row>60</xdr:row>
      <xdr:rowOff>19050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6457950" y="11430000"/>
          <a:ext cx="2400300" cy="6858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4</xdr:col>
      <xdr:colOff>609600</xdr:colOff>
      <xdr:row>57</xdr:row>
      <xdr:rowOff>185738</xdr:rowOff>
    </xdr:from>
    <xdr:to>
      <xdr:col>6</xdr:col>
      <xdr:colOff>733425</xdr:colOff>
      <xdr:row>61</xdr:row>
      <xdr:rowOff>66675</xdr:rowOff>
    </xdr:to>
    <xdr:cxnSp macro="">
      <xdr:nvCxnSpPr>
        <xdr:cNvPr id="7" name="Elbow Connector 6">
          <a:extLst>
            <a:ext uri="{FF2B5EF4-FFF2-40B4-BE49-F238E27FC236}">
              <a16:creationId xmlns:a16="http://schemas.microsoft.com/office/drawing/2014/main" id="{00000000-0008-0000-0D00-000007000000}"/>
            </a:ext>
          </a:extLst>
        </xdr:cNvPr>
        <xdr:cNvCxnSpPr>
          <a:endCxn id="3" idx="1"/>
        </xdr:cNvCxnSpPr>
      </xdr:nvCxnSpPr>
      <xdr:spPr>
        <a:xfrm flipV="1">
          <a:off x="5000625" y="11710988"/>
          <a:ext cx="1457325" cy="642937"/>
        </a:xfrm>
        <a:prstGeom prst="bentConnector3">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333375</xdr:colOff>
      <xdr:row>54</xdr:row>
      <xdr:rowOff>114298</xdr:rowOff>
    </xdr:from>
    <xdr:to>
      <xdr:col>13</xdr:col>
      <xdr:colOff>1819275</xdr:colOff>
      <xdr:row>83</xdr:row>
      <xdr:rowOff>19049</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9401175" y="11068048"/>
              <a:ext cx="3314700" cy="5429251"/>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6" name="TextBox 5"/>
            <xdr:cNvSpPr txBox="1"/>
          </xdr:nvSpPr>
          <xdr:spPr>
            <a:xfrm>
              <a:off x="9401175" y="11068048"/>
              <a:ext cx="3314700" cy="5429251"/>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en-US" sz="1100" i="0">
                  <a:solidFill>
                    <a:schemeClr val="dk1"/>
                  </a:solidFill>
                  <a:effectLst/>
                  <a:latin typeface="Times New Roman" panose="02020603050405020304" pitchFamily="18" charset="0"/>
                  <a:ea typeface="+mn-ea"/>
                  <a:cs typeface="Times New Roman" panose="02020603050405020304" pitchFamily="18" charset="0"/>
                </a:rPr>
                <a:t>"</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13</xdr:col>
      <xdr:colOff>85725</xdr:colOff>
      <xdr:row>57</xdr:row>
      <xdr:rowOff>161925</xdr:rowOff>
    </xdr:from>
    <xdr:to>
      <xdr:col>15</xdr:col>
      <xdr:colOff>333375</xdr:colOff>
      <xdr:row>65</xdr:row>
      <xdr:rowOff>19050</xdr:rowOff>
    </xdr:to>
    <xdr:cxnSp macro="">
      <xdr:nvCxnSpPr>
        <xdr:cNvPr id="24" name="Elbow Connector 23">
          <a:extLst>
            <a:ext uri="{FF2B5EF4-FFF2-40B4-BE49-F238E27FC236}">
              <a16:creationId xmlns:a16="http://schemas.microsoft.com/office/drawing/2014/main" id="{00000000-0008-0000-0D00-000018000000}"/>
            </a:ext>
          </a:extLst>
        </xdr:cNvPr>
        <xdr:cNvCxnSpPr/>
      </xdr:nvCxnSpPr>
      <xdr:spPr>
        <a:xfrm flipV="1">
          <a:off x="10982325" y="11687175"/>
          <a:ext cx="3752850" cy="1381125"/>
        </a:xfrm>
        <a:prstGeom prst="bentConnector3">
          <a:avLst>
            <a:gd name="adj1" fmla="val 88579"/>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114300</xdr:colOff>
      <xdr:row>2</xdr:row>
      <xdr:rowOff>47625</xdr:rowOff>
    </xdr:from>
    <xdr:to>
      <xdr:col>20</xdr:col>
      <xdr:colOff>76200</xdr:colOff>
      <xdr:row>5</xdr:row>
      <xdr:rowOff>114300</xdr:rowOff>
    </xdr:to>
    <xdr:sp macro="" textlink="">
      <xdr:nvSpPr>
        <xdr:cNvPr id="44" name="TextBox 43">
          <a:extLst>
            <a:ext uri="{FF2B5EF4-FFF2-40B4-BE49-F238E27FC236}">
              <a16:creationId xmlns:a16="http://schemas.microsoft.com/office/drawing/2014/main" id="{00000000-0008-0000-0D00-00002C000000}"/>
            </a:ext>
          </a:extLst>
        </xdr:cNvPr>
        <xdr:cNvSpPr txBox="1"/>
      </xdr:nvSpPr>
      <xdr:spPr>
        <a:xfrm>
          <a:off x="12896850" y="428625"/>
          <a:ext cx="2400300" cy="7905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HOU_Multi Boil sheet and later</a:t>
          </a:r>
          <a:r>
            <a:rPr lang="da-DK" sz="1100" baseline="0"/>
            <a:t> used in TIMES</a:t>
          </a:r>
          <a:r>
            <a:rPr lang="da-DK" sz="1100"/>
            <a:t>-DK</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0</xdr:colOff>
      <xdr:row>0</xdr:row>
      <xdr:rowOff>0</xdr:rowOff>
    </xdr:from>
    <xdr:to>
      <xdr:col>26</xdr:col>
      <xdr:colOff>222250</xdr:colOff>
      <xdr:row>1</xdr:row>
      <xdr:rowOff>169333</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6783917" y="0"/>
          <a:ext cx="11990916" cy="35983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xdr:col>
      <xdr:colOff>520602</xdr:colOff>
      <xdr:row>71</xdr:row>
      <xdr:rowOff>139219</xdr:rowOff>
    </xdr:from>
    <xdr:to>
      <xdr:col>2</xdr:col>
      <xdr:colOff>408420</xdr:colOff>
      <xdr:row>77</xdr:row>
      <xdr:rowOff>95248</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642435" y="15125219"/>
          <a:ext cx="2332568" cy="109902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7</xdr:col>
      <xdr:colOff>443922</xdr:colOff>
      <xdr:row>64</xdr:row>
      <xdr:rowOff>44450</xdr:rowOff>
    </xdr:from>
    <xdr:to>
      <xdr:col>15</xdr:col>
      <xdr:colOff>376189</xdr:colOff>
      <xdr:row>73</xdr:row>
      <xdr:rowOff>179917</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7227839" y="13696950"/>
              <a:ext cx="4948767" cy="1849967"/>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𝑉𝐴𝑅𝑂𝑀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𝑉𝐴𝑅𝑂𝑀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Variable O&amp;M costs</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(in GJ)</a:t>
              </a:r>
            </a:p>
          </xdr:txBody>
        </xdr:sp>
      </mc:Choice>
      <mc:Fallback xmlns="">
        <xdr:sp macro="" textlink="">
          <xdr:nvSpPr>
            <xdr:cNvPr id="5" name="TextBox 4"/>
            <xdr:cNvSpPr txBox="1"/>
          </xdr:nvSpPr>
          <xdr:spPr>
            <a:xfrm>
              <a:off x="7227839" y="13696950"/>
              <a:ext cx="4948767" cy="1849967"/>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en-US"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𝐺𝐽]</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𝑉𝐴𝑅𝑂𝑀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𝑉𝐴𝑅𝑂𝑀</a:t>
              </a:r>
              <a:r>
                <a:rPr lang="da-DK" sz="1100">
                  <a:solidFill>
                    <a:schemeClr val="dk1"/>
                  </a:solidFill>
                  <a:effectLst/>
                  <a:latin typeface="Times New Roman" panose="02020603050405020304" pitchFamily="18" charset="0"/>
                  <a:ea typeface="+mn-ea"/>
                  <a:cs typeface="Times New Roman" panose="02020603050405020304" pitchFamily="18" charset="0"/>
                </a:rPr>
                <a:t> - Variable O&amp;M costs</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(in GJ)</a:t>
              </a:r>
            </a:p>
          </xdr:txBody>
        </xdr:sp>
      </mc:Fallback>
    </mc:AlternateContent>
    <xdr:clientData/>
  </xdr:twoCellAnchor>
  <xdr:twoCellAnchor>
    <xdr:from>
      <xdr:col>1</xdr:col>
      <xdr:colOff>789902</xdr:colOff>
      <xdr:row>68</xdr:row>
      <xdr:rowOff>103044</xdr:rowOff>
    </xdr:from>
    <xdr:to>
      <xdr:col>7</xdr:col>
      <xdr:colOff>443922</xdr:colOff>
      <xdr:row>72</xdr:row>
      <xdr:rowOff>127000</xdr:rowOff>
    </xdr:to>
    <xdr:cxnSp macro="">
      <xdr:nvCxnSpPr>
        <xdr:cNvPr id="6" name="Elbow Connector 5">
          <a:extLst>
            <a:ext uri="{FF2B5EF4-FFF2-40B4-BE49-F238E27FC236}">
              <a16:creationId xmlns:a16="http://schemas.microsoft.com/office/drawing/2014/main" id="{00000000-0008-0000-0E00-000006000000}"/>
            </a:ext>
          </a:extLst>
        </xdr:cNvPr>
        <xdr:cNvCxnSpPr>
          <a:endCxn id="5" idx="1"/>
        </xdr:cNvCxnSpPr>
      </xdr:nvCxnSpPr>
      <xdr:spPr>
        <a:xfrm flipV="1">
          <a:off x="1911735" y="14517544"/>
          <a:ext cx="5316104" cy="785956"/>
        </a:xfrm>
        <a:prstGeom prst="bentConnector3">
          <a:avLst>
            <a:gd name="adj1" fmla="val 81435"/>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32</xdr:row>
      <xdr:rowOff>28573</xdr:rowOff>
    </xdr:from>
    <xdr:to>
      <xdr:col>0</xdr:col>
      <xdr:colOff>2892136</xdr:colOff>
      <xdr:row>42</xdr:row>
      <xdr:rowOff>17318</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0" y="6029323"/>
              <a:ext cx="2892136" cy="21015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8" name="TextBox 7"/>
            <xdr:cNvSpPr txBox="1"/>
          </xdr:nvSpPr>
          <xdr:spPr>
            <a:xfrm>
              <a:off x="0" y="6029323"/>
              <a:ext cx="2892136" cy="21015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2883477</xdr:colOff>
      <xdr:row>38</xdr:row>
      <xdr:rowOff>112568</xdr:rowOff>
    </xdr:from>
    <xdr:to>
      <xdr:col>2</xdr:col>
      <xdr:colOff>17318</xdr:colOff>
      <xdr:row>38</xdr:row>
      <xdr:rowOff>177513</xdr:rowOff>
    </xdr:to>
    <xdr:cxnSp macro="">
      <xdr:nvCxnSpPr>
        <xdr:cNvPr id="9" name="Elbow Connector 8">
          <a:extLst>
            <a:ext uri="{FF2B5EF4-FFF2-40B4-BE49-F238E27FC236}">
              <a16:creationId xmlns:a16="http://schemas.microsoft.com/office/drawing/2014/main" id="{00000000-0008-0000-0E00-000009000000}"/>
            </a:ext>
          </a:extLst>
        </xdr:cNvPr>
        <xdr:cNvCxnSpPr/>
      </xdr:nvCxnSpPr>
      <xdr:spPr>
        <a:xfrm flipV="1">
          <a:off x="2883477" y="7412182"/>
          <a:ext cx="2545773"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250151</xdr:colOff>
      <xdr:row>72</xdr:row>
      <xdr:rowOff>84666</xdr:rowOff>
    </xdr:from>
    <xdr:to>
      <xdr:col>1</xdr:col>
      <xdr:colOff>520602</xdr:colOff>
      <xdr:row>74</xdr:row>
      <xdr:rowOff>117234</xdr:rowOff>
    </xdr:to>
    <xdr:cxnSp macro="">
      <xdr:nvCxnSpPr>
        <xdr:cNvPr id="36" name="Elbow Connector 35">
          <a:extLst>
            <a:ext uri="{FF2B5EF4-FFF2-40B4-BE49-F238E27FC236}">
              <a16:creationId xmlns:a16="http://schemas.microsoft.com/office/drawing/2014/main" id="{00000000-0008-0000-0E00-000024000000}"/>
            </a:ext>
          </a:extLst>
        </xdr:cNvPr>
        <xdr:cNvCxnSpPr>
          <a:endCxn id="3" idx="1"/>
        </xdr:cNvCxnSpPr>
      </xdr:nvCxnSpPr>
      <xdr:spPr>
        <a:xfrm>
          <a:off x="250151" y="15261166"/>
          <a:ext cx="1392284" cy="413568"/>
        </a:xfrm>
        <a:prstGeom prst="bentConnector3">
          <a:avLst>
            <a:gd name="adj1" fmla="val 5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93350</xdr:colOff>
      <xdr:row>0</xdr:row>
      <xdr:rowOff>144320</xdr:rowOff>
    </xdr:from>
    <xdr:to>
      <xdr:col>8</xdr:col>
      <xdr:colOff>350044</xdr:colOff>
      <xdr:row>3</xdr:row>
      <xdr:rowOff>200121</xdr:rowOff>
    </xdr:to>
    <xdr:sp macro="" textlink="">
      <xdr:nvSpPr>
        <xdr:cNvPr id="51" name="TextBox 50">
          <a:extLst>
            <a:ext uri="{FF2B5EF4-FFF2-40B4-BE49-F238E27FC236}">
              <a16:creationId xmlns:a16="http://schemas.microsoft.com/office/drawing/2014/main" id="{00000000-0008-0000-0E00-000033000000}"/>
            </a:ext>
          </a:extLst>
        </xdr:cNvPr>
        <xdr:cNvSpPr txBox="1"/>
      </xdr:nvSpPr>
      <xdr:spPr>
        <a:xfrm>
          <a:off x="5522600" y="144320"/>
          <a:ext cx="2415694" cy="63788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HOU_Deta Boil sheet and later</a:t>
          </a:r>
          <a:r>
            <a:rPr lang="da-DK" sz="1100" baseline="0"/>
            <a:t> used in TIMES</a:t>
          </a:r>
          <a:r>
            <a:rPr lang="da-DK" sz="1100"/>
            <a:t>-DK</a:t>
          </a:r>
        </a:p>
      </xdr:txBody>
    </xdr:sp>
    <xdr:clientData/>
  </xdr:twoCellAnchor>
  <xdr:twoCellAnchor>
    <xdr:from>
      <xdr:col>16</xdr:col>
      <xdr:colOff>481445</xdr:colOff>
      <xdr:row>49</xdr:row>
      <xdr:rowOff>93497</xdr:rowOff>
    </xdr:from>
    <xdr:to>
      <xdr:col>24</xdr:col>
      <xdr:colOff>519545</xdr:colOff>
      <xdr:row>50</xdr:row>
      <xdr:rowOff>0</xdr:rowOff>
    </xdr:to>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00000000-0008-0000-0E00-000034000000}"/>
                </a:ext>
              </a:extLst>
            </xdr:cNvPr>
            <xdr:cNvSpPr txBox="1"/>
          </xdr:nvSpPr>
          <xdr:spPr>
            <a:xfrm>
              <a:off x="14665036" y="10008156"/>
              <a:ext cx="4887191" cy="4036869"/>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52" name="TextBox 51"/>
            <xdr:cNvSpPr txBox="1"/>
          </xdr:nvSpPr>
          <xdr:spPr>
            <a:xfrm>
              <a:off x="14665036" y="10008156"/>
              <a:ext cx="4887191" cy="4036869"/>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5</xdr:col>
      <xdr:colOff>154902</xdr:colOff>
      <xdr:row>73</xdr:row>
      <xdr:rowOff>127000</xdr:rowOff>
    </xdr:from>
    <xdr:to>
      <xdr:col>7</xdr:col>
      <xdr:colOff>192518</xdr:colOff>
      <xdr:row>73</xdr:row>
      <xdr:rowOff>127000</xdr:rowOff>
    </xdr:to>
    <xdr:cxnSp macro="">
      <xdr:nvCxnSpPr>
        <xdr:cNvPr id="55" name="Elbow Connector 54">
          <a:extLst>
            <a:ext uri="{FF2B5EF4-FFF2-40B4-BE49-F238E27FC236}">
              <a16:creationId xmlns:a16="http://schemas.microsoft.com/office/drawing/2014/main" id="{00000000-0008-0000-0E00-000037000000}"/>
            </a:ext>
          </a:extLst>
        </xdr:cNvPr>
        <xdr:cNvCxnSpPr/>
      </xdr:nvCxnSpPr>
      <xdr:spPr>
        <a:xfrm rot="5400000" flipH="1" flipV="1">
          <a:off x="6280294" y="14797858"/>
          <a:ext cx="0" cy="1392283"/>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2271567</xdr:colOff>
      <xdr:row>75</xdr:row>
      <xdr:rowOff>57728</xdr:rowOff>
    </xdr:from>
    <xdr:to>
      <xdr:col>5</xdr:col>
      <xdr:colOff>396200</xdr:colOff>
      <xdr:row>76</xdr:row>
      <xdr:rowOff>42333</xdr:rowOff>
    </xdr:to>
    <xdr:sp macro="" textlink="">
      <xdr:nvSpPr>
        <xdr:cNvPr id="22" name="TextBox 21">
          <a:extLst>
            <a:ext uri="{FF2B5EF4-FFF2-40B4-BE49-F238E27FC236}">
              <a16:creationId xmlns:a16="http://schemas.microsoft.com/office/drawing/2014/main" id="{00000000-0008-0000-0E00-000016000000}"/>
            </a:ext>
          </a:extLst>
        </xdr:cNvPr>
        <xdr:cNvSpPr txBox="1"/>
      </xdr:nvSpPr>
      <xdr:spPr>
        <a:xfrm>
          <a:off x="3393400" y="15805728"/>
          <a:ext cx="2432050" cy="17510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HOU_Multi Boil sheet and later</a:t>
          </a:r>
          <a:r>
            <a:rPr lang="da-DK" sz="1100" baseline="0"/>
            <a:t> used in TIMES</a:t>
          </a:r>
          <a:r>
            <a:rPr lang="da-DK" sz="1100"/>
            <a:t>-DK</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238126</xdr:colOff>
      <xdr:row>0</xdr:row>
      <xdr:rowOff>1</xdr:rowOff>
    </xdr:from>
    <xdr:to>
      <xdr:col>23</xdr:col>
      <xdr:colOff>323851</xdr:colOff>
      <xdr:row>1</xdr:row>
      <xdr:rowOff>76201</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3295651" y="1"/>
          <a:ext cx="13620750" cy="2667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4</xdr:col>
      <xdr:colOff>209550</xdr:colOff>
      <xdr:row>136</xdr:row>
      <xdr:rowOff>19050</xdr:rowOff>
    </xdr:from>
    <xdr:to>
      <xdr:col>11</xdr:col>
      <xdr:colOff>457200</xdr:colOff>
      <xdr:row>152</xdr:row>
      <xdr:rowOff>171450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4819650" y="276129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3" name="TextBox 2"/>
            <xdr:cNvSpPr txBox="1"/>
          </xdr:nvSpPr>
          <xdr:spPr>
            <a:xfrm>
              <a:off x="4819650" y="276129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9</xdr:col>
      <xdr:colOff>0</xdr:colOff>
      <xdr:row>118</xdr:row>
      <xdr:rowOff>0</xdr:rowOff>
    </xdr:from>
    <xdr:to>
      <xdr:col>12</xdr:col>
      <xdr:colOff>571500</xdr:colOff>
      <xdr:row>120</xdr:row>
      <xdr:rowOff>71871</xdr:rowOff>
    </xdr:to>
    <xdr:sp macro="" textlink="">
      <xdr:nvSpPr>
        <xdr:cNvPr id="6" name="TextBox 5">
          <a:extLst>
            <a:ext uri="{FF2B5EF4-FFF2-40B4-BE49-F238E27FC236}">
              <a16:creationId xmlns:a16="http://schemas.microsoft.com/office/drawing/2014/main" id="{00000000-0008-0000-0F00-000006000000}"/>
            </a:ext>
          </a:extLst>
        </xdr:cNvPr>
        <xdr:cNvSpPr txBox="1"/>
      </xdr:nvSpPr>
      <xdr:spPr>
        <a:xfrm>
          <a:off x="7553325" y="9486900"/>
          <a:ext cx="2400300" cy="61479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twoCellAnchor>
    <xdr:from>
      <xdr:col>4</xdr:col>
      <xdr:colOff>209550</xdr:colOff>
      <xdr:row>136</xdr:row>
      <xdr:rowOff>19050</xdr:rowOff>
    </xdr:from>
    <xdr:to>
      <xdr:col>11</xdr:col>
      <xdr:colOff>457200</xdr:colOff>
      <xdr:row>152</xdr:row>
      <xdr:rowOff>171450</xdr:rowOff>
    </xdr:to>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F00-000007000000}"/>
                </a:ext>
              </a:extLst>
            </xdr:cNvPr>
            <xdr:cNvSpPr txBox="1"/>
          </xdr:nvSpPr>
          <xdr:spPr>
            <a:xfrm>
              <a:off x="4486275" y="16430625"/>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7" name="TextBox 6"/>
            <xdr:cNvSpPr txBox="1"/>
          </xdr:nvSpPr>
          <xdr:spPr>
            <a:xfrm>
              <a:off x="4486275" y="16430625"/>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5</xdr:col>
      <xdr:colOff>571501</xdr:colOff>
      <xdr:row>0</xdr:row>
      <xdr:rowOff>1</xdr:rowOff>
    </xdr:from>
    <xdr:to>
      <xdr:col>24</xdr:col>
      <xdr:colOff>133351</xdr:colOff>
      <xdr:row>1</xdr:row>
      <xdr:rowOff>95251</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5457826" y="1"/>
          <a:ext cx="13373100" cy="285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4</xdr:col>
      <xdr:colOff>209550</xdr:colOff>
      <xdr:row>128</xdr:row>
      <xdr:rowOff>19050</xdr:rowOff>
    </xdr:from>
    <xdr:to>
      <xdr:col>11</xdr:col>
      <xdr:colOff>457200</xdr:colOff>
      <xdr:row>144</xdr:row>
      <xdr:rowOff>171450</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4819650" y="164115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6" name="TextBox 5"/>
            <xdr:cNvSpPr txBox="1"/>
          </xdr:nvSpPr>
          <xdr:spPr>
            <a:xfrm>
              <a:off x="4819650" y="164115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4</xdr:col>
      <xdr:colOff>209550</xdr:colOff>
      <xdr:row>128</xdr:row>
      <xdr:rowOff>19050</xdr:rowOff>
    </xdr:from>
    <xdr:to>
      <xdr:col>11</xdr:col>
      <xdr:colOff>457200</xdr:colOff>
      <xdr:row>144</xdr:row>
      <xdr:rowOff>171450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1000-000009000000}"/>
                </a:ext>
              </a:extLst>
            </xdr:cNvPr>
            <xdr:cNvSpPr txBox="1"/>
          </xdr:nvSpPr>
          <xdr:spPr>
            <a:xfrm>
              <a:off x="2647950" y="26269950"/>
              <a:ext cx="451485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9" name="TextBox 8"/>
            <xdr:cNvSpPr txBox="1"/>
          </xdr:nvSpPr>
          <xdr:spPr>
            <a:xfrm>
              <a:off x="2647950" y="26269950"/>
              <a:ext cx="451485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12</xdr:col>
      <xdr:colOff>219075</xdr:colOff>
      <xdr:row>26</xdr:row>
      <xdr:rowOff>228600</xdr:rowOff>
    </xdr:from>
    <xdr:to>
      <xdr:col>19</xdr:col>
      <xdr:colOff>581025</xdr:colOff>
      <xdr:row>29</xdr:row>
      <xdr:rowOff>5196</xdr:rowOff>
    </xdr:to>
    <xdr:sp macro="" textlink="">
      <xdr:nvSpPr>
        <xdr:cNvPr id="10" name="TextBox 9">
          <a:extLst>
            <a:ext uri="{FF2B5EF4-FFF2-40B4-BE49-F238E27FC236}">
              <a16:creationId xmlns:a16="http://schemas.microsoft.com/office/drawing/2014/main" id="{00000000-0008-0000-1000-00000A000000}"/>
            </a:ext>
          </a:extLst>
        </xdr:cNvPr>
        <xdr:cNvSpPr txBox="1"/>
      </xdr:nvSpPr>
      <xdr:spPr>
        <a:xfrm>
          <a:off x="11601450" y="4876800"/>
          <a:ext cx="4629150" cy="6624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HOU_Deta Boil sheet </a:t>
          </a:r>
          <a:r>
            <a:rPr lang="da-DK" sz="1100"/>
            <a:t>and later</a:t>
          </a:r>
          <a:r>
            <a:rPr lang="da-DK" sz="1100" baseline="0"/>
            <a:t> used in TIMES</a:t>
          </a:r>
          <a:r>
            <a:rPr lang="da-DK" sz="1100"/>
            <a:t>-DK</a:t>
          </a:r>
        </a:p>
      </xdr:txBody>
    </xdr:sp>
    <xdr:clientData/>
  </xdr:twoCellAnchor>
  <xdr:twoCellAnchor>
    <xdr:from>
      <xdr:col>9</xdr:col>
      <xdr:colOff>0</xdr:colOff>
      <xdr:row>110</xdr:row>
      <xdr:rowOff>0</xdr:rowOff>
    </xdr:from>
    <xdr:to>
      <xdr:col>12</xdr:col>
      <xdr:colOff>571500</xdr:colOff>
      <xdr:row>112</xdr:row>
      <xdr:rowOff>71871</xdr:rowOff>
    </xdr:to>
    <xdr:sp macro="" textlink="">
      <xdr:nvSpPr>
        <xdr:cNvPr id="11" name="TextBox 10">
          <a:extLst>
            <a:ext uri="{FF2B5EF4-FFF2-40B4-BE49-F238E27FC236}">
              <a16:creationId xmlns:a16="http://schemas.microsoft.com/office/drawing/2014/main" id="{00000000-0008-0000-1000-00000B000000}"/>
            </a:ext>
          </a:extLst>
        </xdr:cNvPr>
        <xdr:cNvSpPr txBox="1"/>
      </xdr:nvSpPr>
      <xdr:spPr>
        <a:xfrm>
          <a:off x="5486400" y="22707600"/>
          <a:ext cx="2400300" cy="4719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0</xdr:colOff>
      <xdr:row>0</xdr:row>
      <xdr:rowOff>9525</xdr:rowOff>
    </xdr:from>
    <xdr:to>
      <xdr:col>17</xdr:col>
      <xdr:colOff>123825</xdr:colOff>
      <xdr:row>6</xdr:row>
      <xdr:rowOff>161925</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6715125" y="9525"/>
          <a:ext cx="5610225" cy="12858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2428875</xdr:colOff>
      <xdr:row>0</xdr:row>
      <xdr:rowOff>1</xdr:rowOff>
    </xdr:from>
    <xdr:to>
      <xdr:col>23</xdr:col>
      <xdr:colOff>314325</xdr:colOff>
      <xdr:row>2</xdr:row>
      <xdr:rowOff>57151</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3038475" y="1"/>
          <a:ext cx="13134975" cy="4381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381000</xdr:colOff>
      <xdr:row>0</xdr:row>
      <xdr:rowOff>19050</xdr:rowOff>
    </xdr:from>
    <xdr:to>
      <xdr:col>20</xdr:col>
      <xdr:colOff>504825</xdr:colOff>
      <xdr:row>1</xdr:row>
      <xdr:rowOff>219075</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2172950" y="19050"/>
          <a:ext cx="5610225" cy="3905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9</xdr:col>
      <xdr:colOff>0</xdr:colOff>
      <xdr:row>0</xdr:row>
      <xdr:rowOff>1</xdr:rowOff>
    </xdr:from>
    <xdr:to>
      <xdr:col>14</xdr:col>
      <xdr:colOff>295275</xdr:colOff>
      <xdr:row>2</xdr:row>
      <xdr:rowOff>19051</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8229600" y="1"/>
          <a:ext cx="5610225" cy="571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0</xdr:col>
      <xdr:colOff>295274</xdr:colOff>
      <xdr:row>29</xdr:row>
      <xdr:rowOff>57149</xdr:rowOff>
    </xdr:from>
    <xdr:to>
      <xdr:col>1</xdr:col>
      <xdr:colOff>590550</xdr:colOff>
      <xdr:row>44</xdr:row>
      <xdr:rowOff>42862</xdr:rowOff>
    </xdr:to>
    <xdr:grpSp>
      <xdr:nvGrpSpPr>
        <xdr:cNvPr id="20" name="Group 19">
          <a:extLst>
            <a:ext uri="{FF2B5EF4-FFF2-40B4-BE49-F238E27FC236}">
              <a16:creationId xmlns:a16="http://schemas.microsoft.com/office/drawing/2014/main" id="{00000000-0008-0000-1400-000014000000}"/>
            </a:ext>
          </a:extLst>
        </xdr:cNvPr>
        <xdr:cNvGrpSpPr/>
      </xdr:nvGrpSpPr>
      <xdr:grpSpPr>
        <a:xfrm>
          <a:off x="295274" y="6216649"/>
          <a:ext cx="968376" cy="2995613"/>
          <a:chOff x="295274" y="4600574"/>
          <a:chExt cx="904876" cy="3081338"/>
        </a:xfrm>
      </xdr:grpSpPr>
      <xdr:cxnSp macro="">
        <xdr:nvCxnSpPr>
          <xdr:cNvPr id="11" name="Elbow Connector 10">
            <a:extLst>
              <a:ext uri="{FF2B5EF4-FFF2-40B4-BE49-F238E27FC236}">
                <a16:creationId xmlns:a16="http://schemas.microsoft.com/office/drawing/2014/main" id="{00000000-0008-0000-1400-00000B000000}"/>
              </a:ext>
            </a:extLst>
          </xdr:cNvPr>
          <xdr:cNvCxnSpPr/>
        </xdr:nvCxnSpPr>
        <xdr:spPr>
          <a:xfrm rot="16200000" flipH="1">
            <a:off x="-792957" y="5688805"/>
            <a:ext cx="3081338" cy="90487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00000000-0008-0000-1400-000011000000}"/>
              </a:ext>
            </a:extLst>
          </xdr:cNvPr>
          <xdr:cNvCxnSpPr/>
        </xdr:nvCxnSpPr>
        <xdr:spPr>
          <a:xfrm>
            <a:off x="304800" y="4610100"/>
            <a:ext cx="30480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9525</xdr:colOff>
      <xdr:row>0</xdr:row>
      <xdr:rowOff>0</xdr:rowOff>
    </xdr:from>
    <xdr:to>
      <xdr:col>17</xdr:col>
      <xdr:colOff>133350</xdr:colOff>
      <xdr:row>6</xdr:row>
      <xdr:rowOff>171450</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6724650"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600075</xdr:colOff>
      <xdr:row>0</xdr:row>
      <xdr:rowOff>0</xdr:rowOff>
    </xdr:from>
    <xdr:to>
      <xdr:col>17</xdr:col>
      <xdr:colOff>114300</xdr:colOff>
      <xdr:row>6</xdr:row>
      <xdr:rowOff>171450</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6705600"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9525</xdr:colOff>
      <xdr:row>0</xdr:row>
      <xdr:rowOff>0</xdr:rowOff>
    </xdr:from>
    <xdr:to>
      <xdr:col>17</xdr:col>
      <xdr:colOff>133350</xdr:colOff>
      <xdr:row>7</xdr:row>
      <xdr:rowOff>9525</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6724650" y="0"/>
          <a:ext cx="5610225"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7</xdr:col>
      <xdr:colOff>590550</xdr:colOff>
      <xdr:row>0</xdr:row>
      <xdr:rowOff>0</xdr:rowOff>
    </xdr:from>
    <xdr:to>
      <xdr:col>17</xdr:col>
      <xdr:colOff>104775</xdr:colOff>
      <xdr:row>7</xdr:row>
      <xdr:rowOff>9525</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6696075" y="0"/>
          <a:ext cx="5610225"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TIMES%20Modeller/TIMES-AZ/VT_AZ_RE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VEDA/VEDA_Models/Denmark/TIMES-DK-DEA_ws2016/VT_DK_ELC_v1p1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ppliances&amp;Cooking"/>
      <sheetName val="Cooling"/>
      <sheetName val="Boilers_DR"/>
      <sheetName val="Buildings_DR"/>
      <sheetName val="Dem"/>
      <sheetName val="RES_Fuel"/>
      <sheetName val="Emis"/>
      <sheetName val="Regional split"/>
      <sheetName val="Data manipulation"/>
      <sheetName val="Sources"/>
      <sheetName val="Energy balance"/>
      <sheetName val="Workflow"/>
      <sheetName val="Legend"/>
      <sheetName val="RES"/>
    </sheetNames>
    <sheetDataSet>
      <sheetData sheetId="0"/>
      <sheetData sheetId="1"/>
      <sheetData sheetId="2"/>
      <sheetData sheetId="3"/>
      <sheetData sheetId="4"/>
      <sheetData sheetId="5"/>
      <sheetData sheetId="6"/>
      <sheetData sheetId="7">
        <row r="9">
          <cell r="D9" t="str">
            <v>RESHUDX,RESHUDB,RESHUDBE,RESHUDSL</v>
          </cell>
        </row>
        <row r="10">
          <cell r="D10" t="str">
            <v>RESHUDX,RESHUDB,RESHUDBE,RESHUDSM</v>
          </cell>
        </row>
        <row r="11">
          <cell r="D11" t="str">
            <v>RESHUDX,RESHUDB,RESHUDBE,RESHUDSH</v>
          </cell>
        </row>
        <row r="16">
          <cell r="D16" t="str">
            <v>RESHRDX,RESHRDB,RESHRDBE,RESHRDSL</v>
          </cell>
        </row>
      </sheetData>
      <sheetData sheetId="8"/>
      <sheetData sheetId="9"/>
      <sheetData sheetId="10"/>
      <sheetData sheetId="11"/>
      <sheetData sheetId="12"/>
      <sheetData sheetId="13"/>
      <sheetData sheetId="14"/>
      <sheetData sheetId="15"/>
      <sheetData sheetId="16"/>
      <sheetData sheetId="1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hyperlink" Target="http://www.blauer-engel.de/_downloads/publikationen/erfolgsbilanz/%20Erfolgsbilanz_Heiztechnologien.pdf%20(Rules%20for%20NOX).%20This%20is%20not%20present%20at%20the%20Blauer%20Engel%20Homepage,%20but%20can%20be%20found%20at%20the%20Internet.2011" TargetMode="External"/><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hyperlink" Target="http://salg.naturgas.dk/" TargetMode="Externa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hyperlink" Target="http://www.metrotherm.dk./" TargetMode="External"/><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F65"/>
  <sheetViews>
    <sheetView workbookViewId="0">
      <selection activeCell="A4" sqref="A4:XFD4"/>
    </sheetView>
  </sheetViews>
  <sheetFormatPr baseColWidth="10" defaultColWidth="8.83203125" defaultRowHeight="15"/>
  <cols>
    <col min="1" max="1" width="11.5" customWidth="1"/>
    <col min="2" max="2" width="18.33203125" bestFit="1" customWidth="1"/>
    <col min="3" max="3" width="21" bestFit="1" customWidth="1"/>
    <col min="4" max="4" width="32.33203125" bestFit="1" customWidth="1"/>
    <col min="5" max="5" width="77.1640625" customWidth="1"/>
  </cols>
  <sheetData>
    <row r="3" spans="1:5">
      <c r="A3" s="8" t="s">
        <v>374</v>
      </c>
      <c r="B3" s="8" t="s">
        <v>375</v>
      </c>
      <c r="C3" s="8" t="s">
        <v>376</v>
      </c>
      <c r="D3" s="8" t="s">
        <v>377</v>
      </c>
      <c r="E3" s="8" t="s">
        <v>378</v>
      </c>
    </row>
    <row r="4" spans="1:5" s="821" customFormat="1">
      <c r="A4" s="822"/>
      <c r="B4" s="822"/>
      <c r="C4" s="822"/>
      <c r="D4" s="822"/>
      <c r="E4" s="822"/>
    </row>
    <row r="5" spans="1:5" s="117" customFormat="1">
      <c r="A5" s="118">
        <v>43042</v>
      </c>
      <c r="B5" s="829" t="s">
        <v>843</v>
      </c>
      <c r="C5" s="117" t="s">
        <v>417</v>
      </c>
      <c r="D5" s="117" t="str">
        <f>ADDRESS(ROW('Wood stove'!J8),COLUMN('Wood stove'!J8),4,1)&amp;","&amp;ADDRESS(ROW('Wood stove'!J9),COLUMN('Wood stove'!J9),4,1)&amp;","&amp;ADDRESS(ROW('Wood stove'!J10),COLUMN('Wood stove'!J10),4,1)&amp;","&amp;ADDRESS(ROW('Wood stove'!J11),COLUMN('Wood stove'!J11),4,1)</f>
        <v>J8,J9,J10,J11</v>
      </c>
      <c r="E5" s="117" t="s">
        <v>854</v>
      </c>
    </row>
    <row r="6" spans="1:5" s="117" customFormat="1">
      <c r="A6" s="118">
        <v>43042</v>
      </c>
      <c r="B6" s="829" t="s">
        <v>843</v>
      </c>
      <c r="C6" s="117" t="s">
        <v>412</v>
      </c>
      <c r="D6" s="117" t="str">
        <f>ADDRESS(ROW('Oil-fired boiler'!J8),COLUMN('Oil-fired boiler'!J8),4,1)&amp;","&amp;ADDRESS(ROW('Oil-fired boiler'!J9),COLUMN('Oil-fired boiler'!J9),4,1)&amp;","&amp;ADDRESS(ROW('Oil-fired boiler'!J10),COLUMN('Oil-fired boiler'!J10),4,1)&amp;","&amp;ADDRESS(ROW('Oil-fired boiler'!J11),COLUMN('Oil-fired boiler'!J11),4,1)</f>
        <v>J8,J9,J10,J11</v>
      </c>
      <c r="E6" s="117" t="s">
        <v>855</v>
      </c>
    </row>
    <row r="7" spans="1:5" s="117" customFormat="1">
      <c r="A7" s="118">
        <v>43042</v>
      </c>
      <c r="B7" s="829" t="s">
        <v>843</v>
      </c>
      <c r="C7" s="117" t="s">
        <v>57</v>
      </c>
      <c r="D7" s="117" t="str">
        <f>ADDRESS(ROW('Heat pump, air-to-air'!J9),COLUMN('Heat pump, air-to-air'!J9),4,1)&amp;","&amp;ADDRESS(ROW('Heat pump, air-to-air'!J10),COLUMN('Heat pump, air-to-air'!J10),4,1)&amp;","&amp;ADDRESS(ROW('Heat pump, air-to-air'!J11),COLUMN('Heat pump, air-to-air'!J11),4,1)&amp;","&amp;ADDRESS(ROW('Heat pump, air-to-air'!J12),COLUMN('Heat pump, air-to-air'!J12),4,1)</f>
        <v>J9,J10,J11,J12</v>
      </c>
      <c r="E7" s="117" t="s">
        <v>854</v>
      </c>
    </row>
    <row r="8" spans="1:5" s="117" customFormat="1">
      <c r="A8" s="118">
        <v>43042</v>
      </c>
      <c r="B8" s="829" t="s">
        <v>843</v>
      </c>
      <c r="C8" s="117" t="s">
        <v>380</v>
      </c>
      <c r="D8" s="117" t="str">
        <f>ADDRESS(ROW('HOU_Deta Boil'!P50),COLUMN('HOU_Deta Boil'!P50),4,1)&amp;","&amp;ADDRESS(ROW('HOU_Deta Boil'!P51),COLUMN('HOU_Deta Boil'!P51),4,1)&amp;","&amp;ADDRESS(ROW('HOU_Deta Boil'!P52),COLUMN('HOU_Deta Boil'!P52),4,1)&amp;","&amp;ADDRESS(ROW('HOU_Deta Boil'!P53),COLUMN('HOU_Deta Boil'!P53),4,1)</f>
        <v>P50,P51,P52,P53</v>
      </c>
      <c r="E8" s="117" t="s">
        <v>856</v>
      </c>
    </row>
    <row r="9" spans="1:5" s="821" customFormat="1">
      <c r="A9" s="869">
        <v>43031</v>
      </c>
      <c r="B9" s="829" t="s">
        <v>843</v>
      </c>
      <c r="C9" s="829" t="s">
        <v>423</v>
      </c>
      <c r="D9" s="829"/>
      <c r="E9" s="829" t="s">
        <v>849</v>
      </c>
    </row>
    <row r="10" spans="1:5" s="829" customFormat="1">
      <c r="A10" s="869">
        <v>43021</v>
      </c>
      <c r="B10" s="829" t="s">
        <v>843</v>
      </c>
      <c r="C10" s="829" t="s">
        <v>844</v>
      </c>
      <c r="E10" s="829" t="s">
        <v>845</v>
      </c>
    </row>
    <row r="11" spans="1:5" s="821" customFormat="1">
      <c r="A11" s="846">
        <v>42705</v>
      </c>
      <c r="B11" s="117" t="s">
        <v>448</v>
      </c>
      <c r="C11" s="829" t="s">
        <v>543</v>
      </c>
      <c r="D11" s="829" t="s">
        <v>798</v>
      </c>
      <c r="E11" s="829" t="s">
        <v>799</v>
      </c>
    </row>
    <row r="12" spans="1:5" s="821" customFormat="1">
      <c r="A12" s="118">
        <v>42705</v>
      </c>
      <c r="B12" s="117" t="s">
        <v>448</v>
      </c>
      <c r="C12" s="829" t="s">
        <v>543</v>
      </c>
      <c r="D12" s="822" t="s">
        <v>796</v>
      </c>
      <c r="E12" s="829" t="s">
        <v>797</v>
      </c>
    </row>
    <row r="13" spans="1:5" s="821" customFormat="1">
      <c r="A13" s="118">
        <v>42705</v>
      </c>
      <c r="B13" s="117" t="s">
        <v>448</v>
      </c>
      <c r="C13" s="117" t="s">
        <v>382</v>
      </c>
      <c r="D13" s="822" t="s">
        <v>790</v>
      </c>
      <c r="E13" s="829" t="s">
        <v>791</v>
      </c>
    </row>
    <row r="14" spans="1:5" s="821" customFormat="1">
      <c r="A14" s="118">
        <v>42703</v>
      </c>
      <c r="B14" s="117" t="s">
        <v>448</v>
      </c>
      <c r="C14" s="829" t="s">
        <v>543</v>
      </c>
      <c r="D14" s="829" t="s">
        <v>788</v>
      </c>
      <c r="E14" s="829" t="s">
        <v>789</v>
      </c>
    </row>
    <row r="15" spans="1:5" s="117" customFormat="1">
      <c r="A15" s="118">
        <v>42684</v>
      </c>
      <c r="B15" s="117" t="s">
        <v>464</v>
      </c>
      <c r="C15" s="117" t="s">
        <v>382</v>
      </c>
      <c r="D15" s="117" t="str">
        <f>ADDRESS(ROW('HOU_Multi Boil'!K26),COLUMN('HOU_Multi Boil'!K26),4,1)&amp;":"&amp;ADDRESS(ROW('HOU_Multi Boil'!K33),COLUMN('HOU_Multi Boil'!K33),4,1)</f>
        <v>K26:K33</v>
      </c>
      <c r="E15" s="117" t="s">
        <v>787</v>
      </c>
    </row>
    <row r="16" spans="1:5" s="117" customFormat="1">
      <c r="A16" s="118">
        <v>42684</v>
      </c>
      <c r="B16" s="117" t="s">
        <v>464</v>
      </c>
      <c r="C16" s="117" t="s">
        <v>380</v>
      </c>
      <c r="D16" s="117" t="str">
        <f>ADDRESS(ROW('HOU_Deta Boil'!K26),COLUMN('HOU_Deta Boil'!K26),4,1)&amp;":"&amp;ADDRESS(ROW('HOU_Deta Boil'!K37),COLUMN('HOU_Deta Boil'!K37),4,1)</f>
        <v>K26:K37</v>
      </c>
      <c r="E16" s="117" t="s">
        <v>787</v>
      </c>
    </row>
    <row r="17" spans="1:6" s="821" customFormat="1">
      <c r="A17" s="118">
        <v>42676</v>
      </c>
      <c r="B17" s="117" t="s">
        <v>448</v>
      </c>
      <c r="C17" s="822" t="s">
        <v>380</v>
      </c>
      <c r="D17" s="822" t="s">
        <v>785</v>
      </c>
      <c r="E17" s="821" t="s">
        <v>784</v>
      </c>
    </row>
    <row r="18" spans="1:6" s="821" customFormat="1">
      <c r="A18" s="118">
        <v>42676</v>
      </c>
      <c r="B18" s="117" t="s">
        <v>448</v>
      </c>
      <c r="C18" s="117" t="s">
        <v>382</v>
      </c>
      <c r="D18" s="829" t="s">
        <v>782</v>
      </c>
      <c r="E18" s="829" t="s">
        <v>781</v>
      </c>
    </row>
    <row r="19" spans="1:6" s="821" customFormat="1">
      <c r="A19" s="118">
        <v>42676</v>
      </c>
      <c r="B19" s="117" t="s">
        <v>448</v>
      </c>
      <c r="C19" s="829" t="s">
        <v>718</v>
      </c>
      <c r="D19" s="822" t="s">
        <v>780</v>
      </c>
      <c r="E19" s="821" t="s">
        <v>779</v>
      </c>
    </row>
    <row r="20" spans="1:6" s="821" customFormat="1">
      <c r="A20" s="118">
        <v>42676</v>
      </c>
      <c r="B20" s="117" t="s">
        <v>448</v>
      </c>
      <c r="C20" s="117" t="s">
        <v>382</v>
      </c>
      <c r="D20" s="822" t="s">
        <v>772</v>
      </c>
      <c r="E20" s="117" t="s">
        <v>776</v>
      </c>
    </row>
    <row r="21" spans="1:6" s="821" customFormat="1">
      <c r="A21" s="118">
        <v>42676</v>
      </c>
      <c r="B21" s="117" t="s">
        <v>448</v>
      </c>
      <c r="C21" s="822" t="s">
        <v>380</v>
      </c>
      <c r="D21" s="822" t="s">
        <v>773</v>
      </c>
      <c r="E21" s="117" t="s">
        <v>775</v>
      </c>
    </row>
    <row r="22" spans="1:6" s="821" customFormat="1">
      <c r="A22" s="118">
        <v>42677</v>
      </c>
      <c r="B22" s="117" t="s">
        <v>448</v>
      </c>
      <c r="C22" s="822" t="s">
        <v>414</v>
      </c>
      <c r="D22" s="822" t="s">
        <v>777</v>
      </c>
      <c r="E22" s="117" t="s">
        <v>778</v>
      </c>
    </row>
    <row r="23" spans="1:6" s="117" customFormat="1">
      <c r="A23" s="118">
        <v>42674</v>
      </c>
      <c r="B23" s="117" t="s">
        <v>448</v>
      </c>
      <c r="C23" s="117" t="s">
        <v>380</v>
      </c>
      <c r="D23" s="117" t="str">
        <f>ADDRESS(ROW('HOU_Deta Boil'!C18),COLUMN('HOU_Deta Boil'!C18),4,1)&amp;":"&amp;ADDRESS(ROW('HOU_Deta Boil'!V21),COLUMN('HOU_Deta Boil'!V21),4,1)</f>
        <v>C18:V21</v>
      </c>
      <c r="E23" s="117" t="s">
        <v>774</v>
      </c>
    </row>
    <row r="24" spans="1:6" s="117" customFormat="1">
      <c r="A24" s="118">
        <v>42639</v>
      </c>
      <c r="B24" s="117" t="s">
        <v>464</v>
      </c>
      <c r="C24" s="117" t="s">
        <v>382</v>
      </c>
      <c r="D24" s="117" t="str">
        <f>ADDRESS(ROW('HOU_Multi Boil'!C54),COLUMN('HOU_Multi Boil'!C54),4,1)&amp;":"&amp;ADDRESS(ROW('HOU_Multi Boil'!C61),COLUMN('HOU_Multi Boil'!C61),4,1)</f>
        <v>C54:C61</v>
      </c>
      <c r="E24" s="117" t="s">
        <v>725</v>
      </c>
    </row>
    <row r="25" spans="1:6" s="117" customFormat="1">
      <c r="A25" s="118">
        <v>42639</v>
      </c>
      <c r="B25" s="117" t="s">
        <v>464</v>
      </c>
      <c r="C25" s="117" t="s">
        <v>380</v>
      </c>
      <c r="D25" s="117" t="str">
        <f>ADDRESS(ROW('HOU_Deta Boil'!H3),COLUMN('HOU_Deta Boil'!H3),4,1)&amp;":"&amp;ADDRESS(ROW('HOU_Deta Boil'!I3),COLUMN('HOU_Deta Boil'!I3),4,1)</f>
        <v>H3:I3</v>
      </c>
      <c r="E25" s="117" t="s">
        <v>724</v>
      </c>
    </row>
    <row r="26" spans="1:6" s="117" customFormat="1">
      <c r="A26" s="118">
        <v>42639</v>
      </c>
      <c r="B26" s="117" t="s">
        <v>464</v>
      </c>
      <c r="C26" s="117" t="s">
        <v>382</v>
      </c>
      <c r="D26" s="117" t="str">
        <f>ADDRESS(ROW('HOU_Multi Boil'!H3),COLUMN('HOU_Multi Boil'!H3),4,1)</f>
        <v>H3</v>
      </c>
      <c r="E26" s="117" t="s">
        <v>723</v>
      </c>
    </row>
    <row r="27" spans="1:6" s="562" customFormat="1">
      <c r="A27" s="118">
        <v>42633</v>
      </c>
      <c r="B27" s="522" t="s">
        <v>448</v>
      </c>
      <c r="C27" s="522" t="s">
        <v>718</v>
      </c>
      <c r="D27" s="562" t="s">
        <v>719</v>
      </c>
      <c r="E27" s="522" t="s">
        <v>720</v>
      </c>
    </row>
    <row r="28" spans="1:6" s="562" customFormat="1">
      <c r="A28" s="118">
        <v>42624</v>
      </c>
      <c r="B28" s="522" t="s">
        <v>448</v>
      </c>
      <c r="C28" s="522" t="s">
        <v>686</v>
      </c>
      <c r="D28" s="522"/>
      <c r="E28" s="522" t="s">
        <v>687</v>
      </c>
      <c r="F28" s="522"/>
    </row>
    <row r="29" spans="1:6" s="562" customFormat="1">
      <c r="A29" s="118">
        <v>42635</v>
      </c>
      <c r="B29" s="522" t="s">
        <v>448</v>
      </c>
      <c r="C29" s="117" t="s">
        <v>412</v>
      </c>
      <c r="D29" s="522" t="s">
        <v>684</v>
      </c>
      <c r="E29" s="522" t="s">
        <v>722</v>
      </c>
      <c r="F29" s="522"/>
    </row>
    <row r="30" spans="1:6" s="562" customFormat="1">
      <c r="A30" s="118">
        <v>42621</v>
      </c>
      <c r="B30" s="522" t="s">
        <v>448</v>
      </c>
      <c r="C30" s="117" t="s">
        <v>382</v>
      </c>
      <c r="D30" s="522" t="s">
        <v>660</v>
      </c>
      <c r="E30" s="522" t="s">
        <v>661</v>
      </c>
      <c r="F30" s="522"/>
    </row>
    <row r="31" spans="1:6" s="562" customFormat="1">
      <c r="A31" s="118">
        <v>42622</v>
      </c>
      <c r="B31" s="522" t="s">
        <v>448</v>
      </c>
      <c r="C31" s="117" t="s">
        <v>382</v>
      </c>
      <c r="D31" s="522" t="s">
        <v>621</v>
      </c>
      <c r="E31" s="522" t="s">
        <v>663</v>
      </c>
      <c r="F31" s="522"/>
    </row>
    <row r="32" spans="1:6" s="556" customFormat="1">
      <c r="A32" s="118">
        <v>42618</v>
      </c>
      <c r="B32" s="522" t="s">
        <v>448</v>
      </c>
      <c r="C32" s="117" t="s">
        <v>543</v>
      </c>
      <c r="D32" s="522" t="s">
        <v>606</v>
      </c>
      <c r="E32" s="522" t="s">
        <v>607</v>
      </c>
    </row>
    <row r="33" spans="1:5" s="117" customFormat="1">
      <c r="A33" s="118">
        <v>42618</v>
      </c>
      <c r="B33" s="117" t="s">
        <v>464</v>
      </c>
      <c r="C33" s="117" t="s">
        <v>380</v>
      </c>
      <c r="D33" s="117" t="str">
        <f>ADDRESS(ROW('HOU_Deta Boil'!I75),COLUMN('HOU_Deta Boil'!I75),4,1)&amp;":"&amp;ADDRESS(ROW('HOU_Deta Boil'!I77),COLUMN('HOU_Deta Boil'!I77),4,1)&amp;","&amp;ADDRESS(ROW('HOU_Deta Boil'!I83),COLUMN('HOU_Deta Boil'!I83),4,1)&amp;":"&amp;ADDRESS(ROW('HOU_Deta Boil'!I85),COLUMN('HOU_Deta Boil'!I85),4,1)</f>
        <v>I75:I77,I83:I85</v>
      </c>
      <c r="E33" s="117" t="s">
        <v>569</v>
      </c>
    </row>
    <row r="34" spans="1:5" s="511" customFormat="1">
      <c r="A34" s="118">
        <v>42618</v>
      </c>
      <c r="B34" s="522" t="s">
        <v>448</v>
      </c>
      <c r="C34" s="117" t="s">
        <v>412</v>
      </c>
      <c r="D34" s="522" t="s">
        <v>565</v>
      </c>
      <c r="E34" s="522" t="s">
        <v>568</v>
      </c>
    </row>
    <row r="35" spans="1:5" s="511" customFormat="1">
      <c r="A35" s="118">
        <v>42617</v>
      </c>
      <c r="B35" s="522" t="s">
        <v>448</v>
      </c>
      <c r="C35" s="117" t="s">
        <v>382</v>
      </c>
      <c r="D35" s="522" t="s">
        <v>566</v>
      </c>
      <c r="E35" s="522" t="s">
        <v>567</v>
      </c>
    </row>
    <row r="36" spans="1:5" s="511" customFormat="1">
      <c r="A36" s="118">
        <v>42617</v>
      </c>
      <c r="B36" s="522" t="s">
        <v>448</v>
      </c>
      <c r="C36" s="117" t="s">
        <v>382</v>
      </c>
      <c r="D36" s="522" t="s">
        <v>563</v>
      </c>
      <c r="E36" s="522" t="s">
        <v>564</v>
      </c>
    </row>
    <row r="37" spans="1:5" s="511" customFormat="1">
      <c r="A37" s="118">
        <v>42617</v>
      </c>
      <c r="B37" s="522" t="s">
        <v>448</v>
      </c>
      <c r="C37" s="117" t="s">
        <v>73</v>
      </c>
      <c r="D37" s="522" t="s">
        <v>565</v>
      </c>
      <c r="E37" s="522" t="s">
        <v>562</v>
      </c>
    </row>
    <row r="38" spans="1:5" s="427" customFormat="1">
      <c r="A38" s="118">
        <v>42617</v>
      </c>
      <c r="B38" s="440" t="s">
        <v>448</v>
      </c>
      <c r="C38" s="117" t="s">
        <v>414</v>
      </c>
      <c r="D38" s="440" t="s">
        <v>549</v>
      </c>
      <c r="E38" s="440" t="s">
        <v>721</v>
      </c>
    </row>
    <row r="39" spans="1:5" s="427" customFormat="1">
      <c r="A39" s="118">
        <v>42612</v>
      </c>
      <c r="B39" s="440" t="s">
        <v>448</v>
      </c>
      <c r="C39" s="117" t="s">
        <v>73</v>
      </c>
      <c r="D39" s="440" t="s">
        <v>547</v>
      </c>
      <c r="E39" s="440" t="s">
        <v>548</v>
      </c>
    </row>
    <row r="40" spans="1:5" s="427" customFormat="1">
      <c r="A40" s="118">
        <v>42613</v>
      </c>
      <c r="B40" s="440" t="s">
        <v>448</v>
      </c>
      <c r="C40" s="117" t="s">
        <v>415</v>
      </c>
      <c r="D40" s="440" t="s">
        <v>547</v>
      </c>
      <c r="E40" s="440" t="s">
        <v>548</v>
      </c>
    </row>
    <row r="41" spans="1:5" s="427" customFormat="1">
      <c r="A41" s="118">
        <v>42614</v>
      </c>
      <c r="B41" s="440" t="s">
        <v>448</v>
      </c>
      <c r="C41" s="117" t="s">
        <v>414</v>
      </c>
      <c r="D41" s="440" t="s">
        <v>547</v>
      </c>
      <c r="E41" s="440" t="s">
        <v>548</v>
      </c>
    </row>
    <row r="42" spans="1:5" s="427" customFormat="1">
      <c r="A42" s="118">
        <v>42615</v>
      </c>
      <c r="B42" s="440" t="s">
        <v>448</v>
      </c>
      <c r="C42" s="117" t="s">
        <v>546</v>
      </c>
      <c r="D42" s="440" t="s">
        <v>547</v>
      </c>
      <c r="E42" s="440" t="s">
        <v>548</v>
      </c>
    </row>
    <row r="43" spans="1:5" s="427" customFormat="1">
      <c r="A43" s="118">
        <v>42616</v>
      </c>
      <c r="B43" s="440" t="s">
        <v>448</v>
      </c>
      <c r="C43" s="117" t="s">
        <v>412</v>
      </c>
      <c r="D43" s="440" t="s">
        <v>547</v>
      </c>
      <c r="E43" s="440" t="s">
        <v>548</v>
      </c>
    </row>
    <row r="44" spans="1:5" s="427" customFormat="1">
      <c r="A44" s="118">
        <v>42617</v>
      </c>
      <c r="B44" s="440" t="s">
        <v>448</v>
      </c>
      <c r="C44" s="117" t="s">
        <v>543</v>
      </c>
      <c r="D44" s="440" t="s">
        <v>544</v>
      </c>
      <c r="E44" s="440" t="s">
        <v>545</v>
      </c>
    </row>
    <row r="45" spans="1:5" s="186" customFormat="1">
      <c r="A45" s="118">
        <v>42607</v>
      </c>
      <c r="B45" s="190" t="s">
        <v>448</v>
      </c>
      <c r="C45" s="117" t="s">
        <v>380</v>
      </c>
      <c r="D45" s="190" t="s">
        <v>483</v>
      </c>
      <c r="E45" s="190" t="s">
        <v>484</v>
      </c>
    </row>
    <row r="46" spans="1:5" s="117" customFormat="1">
      <c r="A46" s="118">
        <v>42607</v>
      </c>
      <c r="B46" s="117" t="s">
        <v>464</v>
      </c>
      <c r="C46" s="117" t="s">
        <v>380</v>
      </c>
      <c r="D46" s="117" t="str">
        <f>ADDRESS(ROW(Processes!D73),COLUMN(Processes!D73),4,1)</f>
        <v>D73</v>
      </c>
      <c r="E46" s="117" t="s">
        <v>465</v>
      </c>
    </row>
    <row r="47" spans="1:5" s="117" customFormat="1">
      <c r="A47" s="118">
        <v>42607</v>
      </c>
      <c r="B47" s="117" t="s">
        <v>464</v>
      </c>
      <c r="C47" s="117" t="s">
        <v>382</v>
      </c>
      <c r="D47" s="117" t="str">
        <f>ADDRESS(ROW(Processes!D94),COLUMN(Processes!D94),4,1)</f>
        <v>D94</v>
      </c>
      <c r="E47" s="117" t="s">
        <v>726</v>
      </c>
    </row>
    <row r="48" spans="1:5" s="111" customFormat="1">
      <c r="A48" s="118">
        <v>42606</v>
      </c>
      <c r="B48" s="169" t="s">
        <v>448</v>
      </c>
      <c r="C48" s="169" t="s">
        <v>461</v>
      </c>
      <c r="D48" s="169" t="s">
        <v>462</v>
      </c>
      <c r="E48" s="169" t="s">
        <v>463</v>
      </c>
    </row>
    <row r="49" spans="1:5" s="111" customFormat="1">
      <c r="A49" s="118">
        <v>42606</v>
      </c>
      <c r="B49" s="169" t="s">
        <v>448</v>
      </c>
      <c r="C49" s="117" t="s">
        <v>380</v>
      </c>
      <c r="D49" s="169" t="s">
        <v>460</v>
      </c>
      <c r="E49" s="169" t="s">
        <v>466</v>
      </c>
    </row>
    <row r="50" spans="1:5" s="111" customFormat="1">
      <c r="A50" s="118">
        <v>42606</v>
      </c>
      <c r="B50" s="169" t="s">
        <v>448</v>
      </c>
      <c r="C50" s="169" t="s">
        <v>458</v>
      </c>
      <c r="D50" s="169" t="s">
        <v>459</v>
      </c>
      <c r="E50" s="111" t="s">
        <v>457</v>
      </c>
    </row>
    <row r="51" spans="1:5" s="111" customFormat="1">
      <c r="A51" s="118">
        <v>42572</v>
      </c>
      <c r="B51" s="169" t="s">
        <v>451</v>
      </c>
      <c r="C51" s="169" t="s">
        <v>454</v>
      </c>
      <c r="D51" s="169" t="s">
        <v>455</v>
      </c>
      <c r="E51" s="169" t="s">
        <v>456</v>
      </c>
    </row>
    <row r="52" spans="1:5" s="111" customFormat="1">
      <c r="A52" s="118">
        <v>42572</v>
      </c>
      <c r="B52" s="169" t="s">
        <v>451</v>
      </c>
      <c r="C52" s="169" t="s">
        <v>452</v>
      </c>
      <c r="D52" s="169" t="s">
        <v>453</v>
      </c>
      <c r="E52" s="169" t="s">
        <v>450</v>
      </c>
    </row>
    <row r="53" spans="1:5" s="117" customFormat="1">
      <c r="A53" s="118">
        <v>42536</v>
      </c>
      <c r="B53" s="117" t="s">
        <v>448</v>
      </c>
      <c r="C53" s="117" t="s">
        <v>382</v>
      </c>
      <c r="D53" s="117" t="str">
        <f>ADDRESS(ROW('HOU_Multi Boil'!J46),COLUMN('HOU_Multi Boil'!J46),4,1)&amp;":"&amp;ADDRESS(ROW('HOU_Multi Boil'!J65),COLUMN('HOU_Multi Boil'!J65),4,1)</f>
        <v>J46:J65</v>
      </c>
      <c r="E53" s="117" t="s">
        <v>449</v>
      </c>
    </row>
    <row r="54" spans="1:5" s="117" customFormat="1">
      <c r="A54" s="118">
        <v>42536</v>
      </c>
      <c r="B54" s="117" t="s">
        <v>448</v>
      </c>
      <c r="C54" s="117" t="s">
        <v>380</v>
      </c>
      <c r="D54" s="117" t="str">
        <f>ADDRESS(ROW('HOU_Deta Boil'!J54),COLUMN('HOU_Deta Boil'!J54),4,1)</f>
        <v>J54</v>
      </c>
      <c r="E54" s="117" t="s">
        <v>449</v>
      </c>
    </row>
    <row r="55" spans="1:5" s="117" customFormat="1">
      <c r="A55" s="118">
        <v>42310</v>
      </c>
      <c r="B55" s="117" t="s">
        <v>379</v>
      </c>
      <c r="C55" s="117" t="s">
        <v>380</v>
      </c>
      <c r="D55" s="117" t="str">
        <f>ADDRESS(ROW('HOU_Deta Boil'!P50),COLUMN('HOU_Deta Boil'!P50),4,1)</f>
        <v>P50</v>
      </c>
      <c r="E55" s="117" t="s">
        <v>397</v>
      </c>
    </row>
    <row r="56" spans="1:5" s="117" customFormat="1" ht="16">
      <c r="A56" s="118">
        <v>41909</v>
      </c>
      <c r="B56" s="117" t="s">
        <v>394</v>
      </c>
      <c r="C56" s="117" t="s">
        <v>382</v>
      </c>
      <c r="D56" s="117" t="e">
        <f>ADDRESS(ROW('HOU_Multi Boil'!E6),COLUMN('HOU_Multi Boil'!E6),4,1)&amp;","&amp;ADDRESS(ROW('HOU_Multi Boil'!E10),COLUMN('HOU_Multi Boil'!E10),4,1)&amp;","&amp;ADDRESS(ROW('HOU_Multi Boil'!#REF!),COLUMN('HOU_Multi Boil'!#REF!),4,1)&amp;","&amp;ADDRESS(ROW('HOU_Multi Boil'!E42),COLUMN('HOU_Multi Boil'!E42),4,1)&amp;","&amp;ADDRESS(ROW('HOU_Multi Boil'!E46),COLUMN('HOU_Multi Boil'!E46),4,1)&amp;","&amp;ADDRESS(ROW('HOU_Multi Boil'!E50),COLUMN('HOU_Multi Boil'!E50),4,1)&amp;","&amp;ADDRESS(ROW('HOU_Multi Boil'!E54),COLUMN('HOU_Multi Boil'!E54),4,1)</f>
        <v>#REF!</v>
      </c>
      <c r="E56" s="130" t="s">
        <v>395</v>
      </c>
    </row>
    <row r="57" spans="1:5" s="117" customFormat="1" ht="16">
      <c r="A57" s="118">
        <v>41909</v>
      </c>
      <c r="B57" s="117" t="s">
        <v>394</v>
      </c>
      <c r="C57" s="117" t="s">
        <v>380</v>
      </c>
      <c r="D57" s="117" t="str">
        <f>ADDRESS(ROW('HOU_Deta Boil'!E6),COLUMN('HOU_Deta Boil'!E6),4,1)&amp;","&amp;ADDRESS(ROW('HOU_Deta Boil'!E10),COLUMN('HOU_Deta Boil'!E10),4,1)&amp;","&amp;ADDRESS(ROW('HOU_Deta Boil'!E54),COLUMN('HOU_Deta Boil'!E54),4,1)&amp;","&amp;ADDRESS(ROW('HOU_Deta Boil'!E58),COLUMN('HOU_Deta Boil'!E58),4,1)&amp;","&amp;ADDRESS(ROW('HOU_Deta Boil'!E61),COLUMN('HOU_Deta Boil'!E61),4,1)&amp;":"&amp;ADDRESS(ROW('HOU_Deta Boil'!E62),COLUMN('HOU_Deta Boil'!E62),4,1)&amp;","&amp;ADDRESS(ROW('HOU_Deta Boil'!E61),COLUMN('HOU_Deta Boil'!E61),4,1)&amp;","&amp;ADDRESS(ROW('HOU_Deta Boil'!E66),COLUMN('HOU_Deta Boil'!E66),4,1)&amp;","&amp;ADDRESS(ROW('HOU_Deta Boil'!E70),COLUMN('HOU_Deta Boil'!E70),4,1)</f>
        <v>E6,E10,E54,E58,E61:E62,E61,E66,E70</v>
      </c>
      <c r="E57" s="130" t="s">
        <v>395</v>
      </c>
    </row>
    <row r="58" spans="1:5" s="117" customFormat="1" ht="16">
      <c r="A58" s="118">
        <v>41907</v>
      </c>
      <c r="B58" s="117" t="s">
        <v>379</v>
      </c>
      <c r="C58" s="117" t="s">
        <v>382</v>
      </c>
      <c r="D58" s="117" t="str">
        <f>ADDRESS(ROW('HOU_Multi Boil'!L66),COLUMN('HOU_Multi Boil'!L66),4,1)&amp;":"&amp;ADDRESS(ROW('HOU_Multi Boil'!L74),COLUMN('HOU_Multi Boil'!L74),4,1)</f>
        <v>L66:L74</v>
      </c>
      <c r="E58" s="130" t="s">
        <v>392</v>
      </c>
    </row>
    <row r="59" spans="1:5" s="117" customFormat="1" ht="16">
      <c r="A59" s="118">
        <v>41907</v>
      </c>
      <c r="B59" s="117" t="s">
        <v>379</v>
      </c>
      <c r="C59" s="117" t="s">
        <v>380</v>
      </c>
      <c r="D59" s="117" t="str">
        <f>ADDRESS(ROW('HOU_Deta Boil'!L74),COLUMN('HOU_Deta Boil'!L74),4,1)&amp;","&amp;ADDRESS(ROW('HOU_Deta Boil'!L82),COLUMN('HOU_Deta Boil'!L82),4,1)</f>
        <v>L74,L82</v>
      </c>
      <c r="E59" s="130" t="s">
        <v>392</v>
      </c>
    </row>
    <row r="60" spans="1:5" s="117" customFormat="1" ht="16">
      <c r="A60" s="118">
        <v>41907</v>
      </c>
      <c r="B60" s="117" t="s">
        <v>379</v>
      </c>
      <c r="C60" s="117" t="s">
        <v>382</v>
      </c>
      <c r="D60" s="117" t="str">
        <f>ADDRESS(ROW(Processes!D95),COLUMN(Processes!D95),4,1)&amp;","&amp;ADDRESS(ROW(Processes!D97),COLUMN(Processes!D97),4,1)&amp;","&amp;ADDRESS(ROW(Processes!E95),COLUMN(Processes!E95),4,1)&amp;","&amp;ADDRESS(ROW(Processes!E97),COLUMN(Processes!E97),4,1)</f>
        <v>D95,D97,E95,E97</v>
      </c>
      <c r="E60" s="130" t="s">
        <v>381</v>
      </c>
    </row>
    <row r="61" spans="1:5" s="117" customFormat="1" ht="16">
      <c r="A61" s="118">
        <v>41907</v>
      </c>
      <c r="B61" s="117" t="s">
        <v>379</v>
      </c>
      <c r="C61" s="117" t="s">
        <v>380</v>
      </c>
      <c r="D61" s="117" t="str">
        <f>ADDRESS(ROW(Processes!D75),COLUMN(Processes!D75),4,1)&amp;","&amp;ADDRESS(ROW(Processes!D77),COLUMN(Processes!D77),4,1)&amp;","&amp;ADDRESS(ROW(Processes!E77),COLUMN(Processes!E77),4,1)&amp;","&amp;ADDRESS(ROW(Processes!E75),COLUMN(Processes!E75),4,1)</f>
        <v>D75,D77,E77,E75</v>
      </c>
      <c r="E61" s="130" t="s">
        <v>381</v>
      </c>
    </row>
    <row r="62" spans="1:5" ht="16">
      <c r="A62" s="119">
        <v>41841</v>
      </c>
      <c r="B62" t="s">
        <v>371</v>
      </c>
      <c r="C62" t="s">
        <v>372</v>
      </c>
      <c r="D62" s="111" t="s">
        <v>387</v>
      </c>
      <c r="E62" s="44" t="s">
        <v>386</v>
      </c>
    </row>
    <row r="63" spans="1:5" ht="16">
      <c r="A63" s="119">
        <v>41841</v>
      </c>
      <c r="B63" t="s">
        <v>371</v>
      </c>
      <c r="C63" t="s">
        <v>373</v>
      </c>
      <c r="D63" t="s">
        <v>387</v>
      </c>
      <c r="E63" s="44" t="s">
        <v>386</v>
      </c>
    </row>
    <row r="64" spans="1:5">
      <c r="A64" s="119">
        <v>41802</v>
      </c>
      <c r="B64" t="s">
        <v>368</v>
      </c>
      <c r="C64" t="s">
        <v>369</v>
      </c>
      <c r="D64" t="s">
        <v>383</v>
      </c>
      <c r="E64" s="131" t="s">
        <v>384</v>
      </c>
    </row>
    <row r="65" spans="1:5" ht="16">
      <c r="A65" s="119">
        <v>41802</v>
      </c>
      <c r="B65" t="s">
        <v>368</v>
      </c>
      <c r="C65" t="s">
        <v>370</v>
      </c>
      <c r="D65" t="s">
        <v>383</v>
      </c>
      <c r="E65" s="44" t="s">
        <v>385</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B1:C39"/>
  <sheetViews>
    <sheetView workbookViewId="0">
      <selection activeCell="C3" sqref="C3"/>
    </sheetView>
  </sheetViews>
  <sheetFormatPr baseColWidth="10" defaultColWidth="9.1640625" defaultRowHeight="14"/>
  <cols>
    <col min="1" max="1" width="9.1640625" style="162"/>
    <col min="2" max="2" width="24" style="162" bestFit="1" customWidth="1"/>
    <col min="3" max="3" width="138.5" style="162" customWidth="1"/>
    <col min="4" max="16384" width="9.1640625" style="162"/>
  </cols>
  <sheetData>
    <row r="1" spans="2:3" ht="19">
      <c r="B1" s="161" t="s">
        <v>398</v>
      </c>
    </row>
    <row r="2" spans="2:3">
      <c r="B2" s="162" t="s">
        <v>447</v>
      </c>
    </row>
    <row r="3" spans="2:3" ht="15">
      <c r="B3" s="163" t="s">
        <v>399</v>
      </c>
      <c r="C3" s="162" t="s">
        <v>970</v>
      </c>
    </row>
    <row r="4" spans="2:3" ht="15">
      <c r="B4" s="163" t="s">
        <v>400</v>
      </c>
      <c r="C4" s="162" t="s">
        <v>405</v>
      </c>
    </row>
    <row r="5" spans="2:3" ht="15">
      <c r="B5" s="163"/>
    </row>
    <row r="6" spans="2:3" ht="15">
      <c r="B6" s="163" t="s">
        <v>401</v>
      </c>
      <c r="C6" s="162" t="s">
        <v>942</v>
      </c>
    </row>
    <row r="7" spans="2:3" ht="15">
      <c r="B7" s="163"/>
    </row>
    <row r="8" spans="2:3" ht="15">
      <c r="B8" s="164" t="s">
        <v>402</v>
      </c>
    </row>
    <row r="9" spans="2:3" ht="15">
      <c r="B9" s="163"/>
    </row>
    <row r="10" spans="2:3" ht="15">
      <c r="B10" s="168" t="s">
        <v>406</v>
      </c>
      <c r="C10" s="165" t="s">
        <v>407</v>
      </c>
    </row>
    <row r="11" spans="2:3" ht="15">
      <c r="B11" s="166" t="s">
        <v>410</v>
      </c>
      <c r="C11" s="165" t="s">
        <v>408</v>
      </c>
    </row>
    <row r="12" spans="2:3" ht="15">
      <c r="B12" s="166" t="s">
        <v>409</v>
      </c>
      <c r="C12" s="165" t="s">
        <v>411</v>
      </c>
    </row>
    <row r="13" spans="2:3" ht="15">
      <c r="B13" s="166" t="s">
        <v>412</v>
      </c>
      <c r="C13" s="165" t="s">
        <v>403</v>
      </c>
    </row>
    <row r="14" spans="2:3" ht="15">
      <c r="B14" s="166" t="s">
        <v>413</v>
      </c>
      <c r="C14" s="165" t="s">
        <v>404</v>
      </c>
    </row>
    <row r="15" spans="2:3" ht="15">
      <c r="B15" s="167" t="s">
        <v>414</v>
      </c>
      <c r="C15" s="165" t="s">
        <v>428</v>
      </c>
    </row>
    <row r="16" spans="2:3" ht="15">
      <c r="B16" s="167" t="s">
        <v>415</v>
      </c>
      <c r="C16" s="165" t="s">
        <v>429</v>
      </c>
    </row>
    <row r="17" spans="2:3" ht="15">
      <c r="B17" s="167" t="s">
        <v>416</v>
      </c>
      <c r="C17" s="165" t="s">
        <v>430</v>
      </c>
    </row>
    <row r="18" spans="2:3" ht="15">
      <c r="B18" s="167" t="s">
        <v>417</v>
      </c>
      <c r="C18" s="165" t="s">
        <v>431</v>
      </c>
    </row>
    <row r="19" spans="2:3" ht="15">
      <c r="B19" s="167" t="s">
        <v>57</v>
      </c>
      <c r="C19" s="165" t="s">
        <v>432</v>
      </c>
    </row>
    <row r="20" spans="2:3" ht="15">
      <c r="B20" s="167" t="s">
        <v>418</v>
      </c>
      <c r="C20" s="165" t="s">
        <v>433</v>
      </c>
    </row>
    <row r="21" spans="2:3" ht="15">
      <c r="B21" s="167" t="s">
        <v>419</v>
      </c>
      <c r="C21" s="165" t="s">
        <v>434</v>
      </c>
    </row>
    <row r="22" spans="2:3" ht="15">
      <c r="B22" s="167" t="s">
        <v>420</v>
      </c>
      <c r="C22" s="165" t="s">
        <v>435</v>
      </c>
    </row>
    <row r="23" spans="2:3" ht="15">
      <c r="B23" s="167" t="s">
        <v>421</v>
      </c>
      <c r="C23" s="165" t="s">
        <v>436</v>
      </c>
    </row>
    <row r="24" spans="2:3" ht="15">
      <c r="B24" s="167" t="s">
        <v>422</v>
      </c>
      <c r="C24" s="165" t="s">
        <v>437</v>
      </c>
    </row>
    <row r="25" spans="2:3" ht="15">
      <c r="B25" s="167" t="s">
        <v>423</v>
      </c>
      <c r="C25" s="165" t="s">
        <v>438</v>
      </c>
    </row>
    <row r="26" spans="2:3" ht="15">
      <c r="B26" s="167" t="s">
        <v>67</v>
      </c>
      <c r="C26" s="165" t="s">
        <v>439</v>
      </c>
    </row>
    <row r="27" spans="2:3" ht="15">
      <c r="B27" s="167" t="s">
        <v>424</v>
      </c>
      <c r="C27" s="165" t="s">
        <v>440</v>
      </c>
    </row>
    <row r="28" spans="2:3" ht="15">
      <c r="B28" s="167" t="s">
        <v>425</v>
      </c>
      <c r="C28" s="165" t="s">
        <v>441</v>
      </c>
    </row>
    <row r="29" spans="2:3" ht="15">
      <c r="B29" s="167" t="s">
        <v>426</v>
      </c>
      <c r="C29" s="165" t="s">
        <v>442</v>
      </c>
    </row>
    <row r="30" spans="2:3" ht="15">
      <c r="B30" s="167" t="s">
        <v>114</v>
      </c>
      <c r="C30" s="165" t="s">
        <v>443</v>
      </c>
    </row>
    <row r="31" spans="2:3" ht="15">
      <c r="B31" s="167" t="s">
        <v>129</v>
      </c>
      <c r="C31" s="165" t="s">
        <v>444</v>
      </c>
    </row>
    <row r="32" spans="2:3" ht="15">
      <c r="B32" s="167" t="s">
        <v>427</v>
      </c>
      <c r="C32" s="165" t="s">
        <v>445</v>
      </c>
    </row>
    <row r="33" spans="2:3" ht="15">
      <c r="B33" s="167" t="s">
        <v>204</v>
      </c>
      <c r="C33" s="165" t="s">
        <v>446</v>
      </c>
    </row>
    <row r="36" spans="2:3" ht="60">
      <c r="B36" s="162" t="s">
        <v>500</v>
      </c>
      <c r="C36" s="472" t="s">
        <v>550</v>
      </c>
    </row>
    <row r="39" spans="2:3">
      <c r="B39" s="162" t="s">
        <v>501</v>
      </c>
      <c r="C39" s="162">
        <v>7.45</v>
      </c>
    </row>
  </sheetData>
  <conditionalFormatting sqref="C3">
    <cfRule type="cellIs" dxfId="1" priority="1" operator="equal">
      <formula>"No"</formula>
    </cfRule>
    <cfRule type="cellIs" dxfId="0" priority="2" operator="equal">
      <formula>"Yes"</formula>
    </cfRule>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9"/>
  </sheetPr>
  <dimension ref="B16:C19"/>
  <sheetViews>
    <sheetView workbookViewId="0">
      <selection activeCell="B26" sqref="B26"/>
    </sheetView>
  </sheetViews>
  <sheetFormatPr baseColWidth="10" defaultColWidth="8.83203125" defaultRowHeight="15"/>
  <sheetData>
    <row r="16" spans="2:2">
      <c r="B16" t="s">
        <v>850</v>
      </c>
    </row>
    <row r="17" spans="2:3">
      <c r="B17" t="s">
        <v>851</v>
      </c>
      <c r="C17" s="1177">
        <v>0.3</v>
      </c>
    </row>
    <row r="18" spans="2:3">
      <c r="B18" t="s">
        <v>852</v>
      </c>
      <c r="C18" s="1177">
        <v>0.7</v>
      </c>
    </row>
    <row r="19" spans="2:3">
      <c r="B19" t="s">
        <v>853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D2C68-15F9-4C58-9E69-257BB665B652}">
  <dimension ref="B3:J11"/>
  <sheetViews>
    <sheetView workbookViewId="0">
      <selection activeCell="E11" sqref="E11"/>
    </sheetView>
  </sheetViews>
  <sheetFormatPr baseColWidth="10" defaultColWidth="8.83203125" defaultRowHeight="15"/>
  <cols>
    <col min="4" max="4" width="8.1640625" bestFit="1" customWidth="1"/>
    <col min="5" max="5" width="51.6640625" bestFit="1" customWidth="1"/>
  </cols>
  <sheetData>
    <row r="3" spans="2:10">
      <c r="B3" s="97" t="s">
        <v>315</v>
      </c>
      <c r="C3" s="97"/>
      <c r="D3" s="98"/>
      <c r="E3" s="98"/>
      <c r="F3" s="98"/>
      <c r="G3" s="98"/>
      <c r="H3" s="98"/>
      <c r="I3" s="98"/>
      <c r="J3" s="98"/>
    </row>
    <row r="4" spans="2:10" ht="30">
      <c r="B4" s="95" t="s">
        <v>314</v>
      </c>
      <c r="C4" s="95" t="s">
        <v>313</v>
      </c>
      <c r="D4" s="95" t="s">
        <v>312</v>
      </c>
      <c r="E4" s="95" t="s">
        <v>311</v>
      </c>
      <c r="F4" s="95" t="s">
        <v>302</v>
      </c>
      <c r="G4" s="95" t="s">
        <v>310</v>
      </c>
      <c r="H4" s="95" t="s">
        <v>309</v>
      </c>
      <c r="I4" s="95" t="s">
        <v>308</v>
      </c>
      <c r="J4" s="95" t="s">
        <v>307</v>
      </c>
    </row>
    <row r="5" spans="2:10" ht="37" thickBot="1">
      <c r="B5" s="99" t="s">
        <v>306</v>
      </c>
      <c r="C5" s="100" t="s">
        <v>305</v>
      </c>
      <c r="D5" s="100" t="s">
        <v>304</v>
      </c>
      <c r="E5" s="100" t="s">
        <v>303</v>
      </c>
      <c r="F5" s="100" t="s">
        <v>302</v>
      </c>
      <c r="G5" s="100" t="s">
        <v>301</v>
      </c>
      <c r="H5" s="100" t="s">
        <v>300</v>
      </c>
      <c r="I5" s="100" t="s">
        <v>299</v>
      </c>
      <c r="J5" s="100" t="s">
        <v>298</v>
      </c>
    </row>
    <row r="6" spans="2:10">
      <c r="B6" s="101" t="s">
        <v>297</v>
      </c>
      <c r="C6" s="102"/>
      <c r="D6" s="1239" t="s">
        <v>944</v>
      </c>
      <c r="E6" s="103" t="s">
        <v>949</v>
      </c>
      <c r="F6" s="104" t="s">
        <v>272</v>
      </c>
      <c r="G6" s="96"/>
      <c r="H6" s="96"/>
      <c r="I6" s="96"/>
      <c r="J6" s="96"/>
    </row>
    <row r="7" spans="2:10">
      <c r="B7" s="98"/>
      <c r="C7" s="98"/>
      <c r="D7" s="1239" t="s">
        <v>945</v>
      </c>
      <c r="E7" s="103" t="s">
        <v>950</v>
      </c>
      <c r="F7" s="104" t="s">
        <v>272</v>
      </c>
      <c r="G7" s="96"/>
      <c r="H7" s="96"/>
      <c r="I7" s="98"/>
      <c r="J7" s="98"/>
    </row>
    <row r="8" spans="2:10">
      <c r="B8" s="98"/>
      <c r="C8" s="98"/>
      <c r="D8" s="1239" t="s">
        <v>946</v>
      </c>
      <c r="E8" s="103" t="s">
        <v>951</v>
      </c>
      <c r="F8" s="104" t="s">
        <v>272</v>
      </c>
      <c r="G8" s="96"/>
      <c r="H8" s="96"/>
      <c r="I8" s="98"/>
      <c r="J8" s="98"/>
    </row>
    <row r="9" spans="2:10">
      <c r="B9" s="98"/>
      <c r="C9" s="98"/>
      <c r="D9" s="1239" t="s">
        <v>947</v>
      </c>
      <c r="E9" s="103" t="s">
        <v>952</v>
      </c>
      <c r="F9" s="104" t="s">
        <v>272</v>
      </c>
      <c r="G9" s="96"/>
      <c r="H9" s="96"/>
      <c r="I9" s="98"/>
      <c r="J9" s="98"/>
    </row>
    <row r="10" spans="2:10">
      <c r="B10" s="98"/>
      <c r="C10" s="98"/>
      <c r="D10" s="1239" t="s">
        <v>948</v>
      </c>
      <c r="E10" s="103" t="s">
        <v>953</v>
      </c>
      <c r="F10" s="104" t="s">
        <v>272</v>
      </c>
      <c r="G10" s="96"/>
      <c r="H10" s="96"/>
      <c r="I10" s="98"/>
      <c r="J10" s="98"/>
    </row>
    <row r="11" spans="2:10">
      <c r="B11" t="s">
        <v>889</v>
      </c>
      <c r="D11" t="str">
        <f>Commodities_VT!C15</f>
        <v>CWFDEM</v>
      </c>
      <c r="E11" s="821" t="str">
        <f>Commodities_VT!D15</f>
        <v>Commercial Water Hot    FT Demand</v>
      </c>
      <c r="F11" s="1247" t="s">
        <v>317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81B0A-04F2-4E8E-9877-7AF7098569C4}">
  <sheetPr>
    <tabColor theme="6" tint="-0.249977111117893"/>
  </sheetPr>
  <dimension ref="B2:T99"/>
  <sheetViews>
    <sheetView zoomScale="80" zoomScaleNormal="80" workbookViewId="0">
      <selection activeCell="E53" sqref="E53"/>
    </sheetView>
  </sheetViews>
  <sheetFormatPr baseColWidth="10" defaultColWidth="8.83203125" defaultRowHeight="13"/>
  <cols>
    <col min="1" max="1" width="5.83203125" style="1185" customWidth="1"/>
    <col min="2" max="2" width="11.6640625" style="1185" bestFit="1" customWidth="1"/>
    <col min="3" max="3" width="11.1640625" style="1185" customWidth="1"/>
    <col min="4" max="4" width="16.6640625" style="1185" customWidth="1"/>
    <col min="5" max="5" width="68.83203125" style="1185" bestFit="1" customWidth="1"/>
    <col min="6" max="6" width="8.83203125" style="1185"/>
    <col min="7" max="7" width="12" style="1185" customWidth="1"/>
    <col min="8" max="8" width="12.83203125" style="1185" customWidth="1"/>
    <col min="9" max="9" width="14" style="1185" customWidth="1"/>
    <col min="10" max="11" width="8.83203125" style="1185"/>
    <col min="12" max="12" width="13.83203125" style="1185" bestFit="1" customWidth="1"/>
    <col min="13" max="13" width="10.33203125" style="1185" bestFit="1" customWidth="1"/>
    <col min="14" max="14" width="8.83203125" style="1185" bestFit="1" customWidth="1"/>
    <col min="15" max="15" width="9.83203125" style="1185" bestFit="1" customWidth="1"/>
    <col min="16" max="16" width="7.6640625" style="1185" bestFit="1" customWidth="1"/>
    <col min="17" max="17" width="19.33203125" style="1185" customWidth="1"/>
    <col min="18" max="18" width="6.1640625" style="1185" bestFit="1" customWidth="1"/>
    <col min="19" max="16384" width="8.83203125" style="1185"/>
  </cols>
  <sheetData>
    <row r="2" spans="2:20" ht="18">
      <c r="B2" s="1184" t="s">
        <v>874</v>
      </c>
      <c r="D2" s="1184" t="s">
        <v>942</v>
      </c>
      <c r="E2" s="1185" t="s">
        <v>943</v>
      </c>
    </row>
    <row r="3" spans="2:20" ht="18">
      <c r="C3" s="1184"/>
      <c r="D3" s="1184"/>
    </row>
    <row r="4" spans="2:20">
      <c r="B4" s="1188" t="s">
        <v>335</v>
      </c>
      <c r="C4" s="1188"/>
      <c r="D4" s="1189"/>
      <c r="E4" s="1189"/>
      <c r="F4" s="1189"/>
      <c r="G4" s="1189"/>
      <c r="H4" s="1189"/>
      <c r="I4" s="1189"/>
      <c r="J4" s="1189"/>
      <c r="K4" s="1189"/>
      <c r="L4" s="1248"/>
      <c r="M4" s="1248"/>
      <c r="N4" s="1248"/>
      <c r="O4" s="1248"/>
      <c r="P4" s="1248"/>
      <c r="Q4" s="1248"/>
      <c r="R4" s="1248"/>
      <c r="S4" s="1248"/>
    </row>
    <row r="5" spans="2:20" ht="45">
      <c r="B5" s="1190" t="s">
        <v>334</v>
      </c>
      <c r="C5" s="1190" t="s">
        <v>313</v>
      </c>
      <c r="D5" s="1190" t="s">
        <v>292</v>
      </c>
      <c r="E5" s="1190" t="s">
        <v>333</v>
      </c>
      <c r="F5" s="1190" t="s">
        <v>332</v>
      </c>
      <c r="G5" s="1190" t="s">
        <v>331</v>
      </c>
      <c r="H5" s="1190" t="s">
        <v>330</v>
      </c>
      <c r="I5" s="1190" t="s">
        <v>329</v>
      </c>
      <c r="J5" s="1190" t="s">
        <v>328</v>
      </c>
      <c r="K5" s="1209"/>
      <c r="L5" s="1192" t="s">
        <v>937</v>
      </c>
      <c r="M5" s="1192" t="s">
        <v>0</v>
      </c>
      <c r="N5" s="1192" t="s">
        <v>876</v>
      </c>
      <c r="O5" s="1192" t="s">
        <v>877</v>
      </c>
      <c r="P5" s="1192" t="s">
        <v>862</v>
      </c>
      <c r="Q5" s="1192" t="s">
        <v>878</v>
      </c>
      <c r="R5" s="1192" t="s">
        <v>879</v>
      </c>
      <c r="S5" s="1192" t="s">
        <v>880</v>
      </c>
    </row>
    <row r="6" spans="2:20" ht="25" thickBot="1">
      <c r="B6" s="1210" t="s">
        <v>327</v>
      </c>
      <c r="C6" s="1210" t="s">
        <v>305</v>
      </c>
      <c r="D6" s="1210" t="s">
        <v>326</v>
      </c>
      <c r="E6" s="1210" t="s">
        <v>325</v>
      </c>
      <c r="F6" s="1210" t="s">
        <v>324</v>
      </c>
      <c r="G6" s="1210" t="s">
        <v>323</v>
      </c>
      <c r="H6" s="1210" t="s">
        <v>322</v>
      </c>
      <c r="I6" s="1210" t="s">
        <v>321</v>
      </c>
      <c r="J6" s="1210" t="s">
        <v>320</v>
      </c>
      <c r="K6" s="1211"/>
      <c r="L6" s="1212" t="s">
        <v>938</v>
      </c>
      <c r="M6" s="1212" t="s">
        <v>938</v>
      </c>
      <c r="N6" s="1212" t="s">
        <v>938</v>
      </c>
      <c r="O6" s="1212" t="s">
        <v>938</v>
      </c>
      <c r="P6" s="1212" t="s">
        <v>938</v>
      </c>
      <c r="Q6" s="1212" t="s">
        <v>938</v>
      </c>
      <c r="R6" s="1212" t="s">
        <v>938</v>
      </c>
      <c r="S6" s="1212" t="s">
        <v>938</v>
      </c>
    </row>
    <row r="7" spans="2:20" ht="14">
      <c r="B7" s="1189" t="s">
        <v>939</v>
      </c>
      <c r="C7" s="1189"/>
      <c r="D7" s="1189" t="str">
        <f>LEFT($D$2,1)&amp;LEFT(L7,1)&amp;LEFT(M7,1)&amp;LEFT(O7,1)&amp;LEFT(N7,1)&amp;P7&amp;LEFT(Q7,1)&amp;R7</f>
        <v>CFTLPGN1</v>
      </c>
      <c r="E7" s="1189" t="str">
        <f t="shared" ref="E7:E40" si="0">$E$2&amp;" "&amp;L7&amp;" "&amp;M7&amp;" "&amp;O7&amp;" "&amp;N7&amp;" - "&amp;T7&amp;" - "&amp;Q7&amp;" "&amp;R7</f>
        <v>Commercial Food (Cooking) Technology   - LPG - New 1</v>
      </c>
      <c r="F7" s="1189" t="s">
        <v>317</v>
      </c>
      <c r="G7" s="1189" t="s">
        <v>316</v>
      </c>
      <c r="H7" s="1202" t="s">
        <v>352</v>
      </c>
      <c r="I7" s="1195"/>
      <c r="J7" s="1189"/>
      <c r="K7" s="1189"/>
      <c r="L7" s="1189" t="s">
        <v>941</v>
      </c>
      <c r="M7" s="1185" t="s">
        <v>0</v>
      </c>
      <c r="P7" s="1185" t="str">
        <f t="shared" ref="P7:P13" si="1">RIGHT(S7,LEN(S7)-3)</f>
        <v>LPG</v>
      </c>
      <c r="Q7" s="1185" t="s">
        <v>940</v>
      </c>
      <c r="R7" s="1185">
        <v>1</v>
      </c>
      <c r="S7" s="1213" t="str">
        <f>Commodities_VT!$C$19</f>
        <v>COMLPG</v>
      </c>
      <c r="T7" s="1185" t="str">
        <f>VLOOKUP(S7,Commodities_VT!$C$18:$R$33,16,FALSE)</f>
        <v>LPG</v>
      </c>
    </row>
    <row r="8" spans="2:20" ht="14">
      <c r="B8" s="1189"/>
      <c r="C8" s="1189"/>
      <c r="D8" s="1189" t="str">
        <f t="shared" ref="D8:D41" si="2">LEFT($D$2,1)&amp;LEFT(L8,1)&amp;LEFT(M8,1)&amp;LEFT(O8,1)&amp;LEFT(N8,1)&amp;P8&amp;LEFT(Q8,1)&amp;R8</f>
        <v>CFTNGAN1</v>
      </c>
      <c r="E8" s="1189" t="str">
        <f t="shared" si="0"/>
        <v>Commercial Food (Cooking) Technology   - Natural Gas - New 1</v>
      </c>
      <c r="F8" s="1189" t="s">
        <v>317</v>
      </c>
      <c r="G8" s="1189" t="s">
        <v>316</v>
      </c>
      <c r="H8" s="1202" t="s">
        <v>352</v>
      </c>
      <c r="I8" s="1195"/>
      <c r="J8" s="1189"/>
      <c r="K8" s="1189"/>
      <c r="L8" s="1189" t="s">
        <v>941</v>
      </c>
      <c r="M8" s="1185" t="s">
        <v>0</v>
      </c>
      <c r="P8" s="1185" t="str">
        <f t="shared" si="1"/>
        <v>NGA</v>
      </c>
      <c r="Q8" s="1185" t="s">
        <v>940</v>
      </c>
      <c r="R8" s="1185">
        <v>1</v>
      </c>
      <c r="S8" s="1213" t="str">
        <f>Commodities_VT!$C$18</f>
        <v>COMNGA</v>
      </c>
      <c r="T8" s="1185" t="str">
        <f>VLOOKUP(S8,Commodities_VT!$C$18:$R$33,16,FALSE)</f>
        <v>Natural Gas</v>
      </c>
    </row>
    <row r="9" spans="2:20" ht="14">
      <c r="B9" s="1189"/>
      <c r="C9" s="1189"/>
      <c r="D9" s="1189" t="str">
        <f t="shared" ref="D9" si="3">LEFT($D$2,1)&amp;LEFT(L9,1)&amp;LEFT(M9,1)&amp;LEFT(O9,1)&amp;LEFT(N9,1)&amp;P9&amp;LEFT(Q9,1)&amp;R9</f>
        <v>CFTELCAN1</v>
      </c>
      <c r="E9" s="1189" t="str">
        <f t="shared" ref="E9" si="4">$E$2&amp;" "&amp;L9&amp;" "&amp;M9&amp;" "&amp;O9&amp;" "&amp;N9&amp;" - "&amp;T9&amp;" - "&amp;Q9&amp;" "&amp;R9</f>
        <v>Commercial Food (Cooking) Technology   - Electricity Appliances - New 1</v>
      </c>
      <c r="F9" s="1189" t="s">
        <v>317</v>
      </c>
      <c r="G9" s="1189" t="s">
        <v>316</v>
      </c>
      <c r="H9" s="1202" t="s">
        <v>352</v>
      </c>
      <c r="I9" s="1195"/>
      <c r="J9" s="1189"/>
      <c r="K9" s="1189"/>
      <c r="L9" s="1189" t="s">
        <v>941</v>
      </c>
      <c r="M9" s="1185" t="s">
        <v>0</v>
      </c>
      <c r="P9" s="1185" t="str">
        <f t="shared" ref="P9" si="5">RIGHT(S9,LEN(S9)-3)</f>
        <v>ELCA</v>
      </c>
      <c r="Q9" s="1185" t="s">
        <v>940</v>
      </c>
      <c r="R9" s="1185">
        <v>1</v>
      </c>
      <c r="S9" s="1213" t="str">
        <f>Commodities_VT!$C$29</f>
        <v>COMELCA</v>
      </c>
      <c r="T9" s="1185" t="str">
        <f>VLOOKUP(S9,Commodities_VT!$C$18:$R$33,16,FALSE)</f>
        <v>Electricity Appliances</v>
      </c>
    </row>
    <row r="10" spans="2:20" ht="14">
      <c r="B10" s="1189"/>
      <c r="C10" s="1189"/>
      <c r="D10" s="1189" t="str">
        <f t="shared" si="2"/>
        <v>CATELCAN1</v>
      </c>
      <c r="E10" s="1189" t="str">
        <f t="shared" si="0"/>
        <v>Commercial Appliances Technology   - Electricity Appliances - New 1</v>
      </c>
      <c r="F10" s="1189" t="s">
        <v>317</v>
      </c>
      <c r="G10" s="1189" t="s">
        <v>316</v>
      </c>
      <c r="H10" s="1202" t="s">
        <v>352</v>
      </c>
      <c r="I10" s="1195"/>
      <c r="J10" s="1189"/>
      <c r="K10" s="1189"/>
      <c r="L10" s="1189" t="s">
        <v>866</v>
      </c>
      <c r="M10" s="1185" t="s">
        <v>0</v>
      </c>
      <c r="P10" s="1185" t="str">
        <f t="shared" si="1"/>
        <v>ELCA</v>
      </c>
      <c r="Q10" s="1185" t="s">
        <v>940</v>
      </c>
      <c r="R10" s="1185">
        <v>1</v>
      </c>
      <c r="S10" s="1213" t="str">
        <f>Commodities_VT!$C$29</f>
        <v>COMELCA</v>
      </c>
      <c r="T10" s="1185" t="str">
        <f>VLOOKUP(S10,Commodities_VT!$C$18:$R$33,16,FALSE)</f>
        <v>Electricity Appliances</v>
      </c>
    </row>
    <row r="11" spans="2:20" ht="14">
      <c r="B11" s="1189"/>
      <c r="C11" s="1189"/>
      <c r="D11" s="1189" t="str">
        <f t="shared" ref="D11" si="6">LEFT($D$2,1)&amp;LEFT(L11,1)&amp;LEFT(M11,1)&amp;LEFT(O11,1)&amp;LEFT(N11,1)&amp;P11&amp;LEFT(Q11,1)&amp;R11</f>
        <v>CWTHETN1</v>
      </c>
      <c r="E11" s="1189" t="str">
        <f>$E$2&amp;" "&amp;L11&amp;" "&amp;M11&amp;" "&amp;O11&amp;" "&amp;N11&amp;" - "&amp;T11&amp;" - "&amp;Q11&amp;" "&amp;R11</f>
        <v>Commercial Water Hot Technology   - HET - New 1</v>
      </c>
      <c r="F11" s="1189" t="s">
        <v>317</v>
      </c>
      <c r="G11" s="1189" t="s">
        <v>316</v>
      </c>
      <c r="H11" s="1202" t="s">
        <v>352</v>
      </c>
      <c r="I11" s="1195"/>
      <c r="J11" s="1189"/>
      <c r="K11" s="1189"/>
      <c r="L11" s="1189" t="s">
        <v>887</v>
      </c>
      <c r="M11" s="1185" t="s">
        <v>0</v>
      </c>
      <c r="P11" s="1185" t="s">
        <v>982</v>
      </c>
      <c r="Q11" s="1185" t="s">
        <v>940</v>
      </c>
      <c r="R11" s="1185">
        <v>1</v>
      </c>
      <c r="S11" s="1213" t="s">
        <v>983</v>
      </c>
      <c r="T11" s="1185" t="s">
        <v>982</v>
      </c>
    </row>
    <row r="12" spans="2:20" ht="14">
      <c r="B12" s="1189" t="s">
        <v>318</v>
      </c>
      <c r="C12" s="1189"/>
      <c r="D12" s="1189" t="str">
        <f t="shared" si="2"/>
        <v>CWTLPGN1</v>
      </c>
      <c r="E12" s="1189" t="str">
        <f t="shared" si="0"/>
        <v>Commercial Water Hot Technology   - LPG - New 1</v>
      </c>
      <c r="F12" s="1189" t="s">
        <v>317</v>
      </c>
      <c r="G12" s="1189" t="s">
        <v>316</v>
      </c>
      <c r="H12" s="1202" t="s">
        <v>352</v>
      </c>
      <c r="I12" s="1195"/>
      <c r="J12" s="1189"/>
      <c r="K12" s="1189"/>
      <c r="L12" s="1189" t="s">
        <v>887</v>
      </c>
      <c r="M12" s="1185" t="s">
        <v>0</v>
      </c>
      <c r="P12" s="1185" t="str">
        <f t="shared" si="1"/>
        <v>LPG</v>
      </c>
      <c r="Q12" s="1185" t="s">
        <v>940</v>
      </c>
      <c r="R12" s="1185">
        <v>1</v>
      </c>
      <c r="S12" s="1213" t="str">
        <f>Commodities_VT!$C$19</f>
        <v>COMLPG</v>
      </c>
      <c r="T12" s="1185" t="str">
        <f>VLOOKUP(S12,Commodities_VT!$C$18:$R$33,16,FALSE)</f>
        <v>LPG</v>
      </c>
    </row>
    <row r="13" spans="2:20" ht="14">
      <c r="B13" s="1197" t="s">
        <v>318</v>
      </c>
      <c r="C13" s="1197"/>
      <c r="D13" s="1197" t="str">
        <f t="shared" si="2"/>
        <v>CWTNGAN1</v>
      </c>
      <c r="E13" s="1197" t="str">
        <f t="shared" si="0"/>
        <v>Commercial Water Hot Technology   - Natural Gas - New 1</v>
      </c>
      <c r="F13" s="1197" t="s">
        <v>317</v>
      </c>
      <c r="G13" s="1197" t="s">
        <v>316</v>
      </c>
      <c r="H13" s="1203" t="s">
        <v>352</v>
      </c>
      <c r="I13" s="1198"/>
      <c r="J13" s="1197"/>
      <c r="K13" s="1197"/>
      <c r="L13" s="1197" t="s">
        <v>887</v>
      </c>
      <c r="M13" s="1214" t="s">
        <v>0</v>
      </c>
      <c r="N13" s="1214"/>
      <c r="O13" s="1214"/>
      <c r="P13" s="1214" t="str">
        <f t="shared" si="1"/>
        <v>NGA</v>
      </c>
      <c r="Q13" s="1185" t="s">
        <v>940</v>
      </c>
      <c r="R13" s="1214">
        <v>1</v>
      </c>
      <c r="S13" s="1215" t="str">
        <f>Commodities_VT!$C$18</f>
        <v>COMNGA</v>
      </c>
      <c r="T13" s="1185" t="str">
        <f>VLOOKUP(S13,Commodities_VT!$C$18:$R$33,16,FALSE)</f>
        <v>Natural Gas</v>
      </c>
    </row>
    <row r="14" spans="2:20" ht="14">
      <c r="B14" s="1189" t="s">
        <v>318</v>
      </c>
      <c r="C14" s="1189"/>
      <c r="D14" s="1189" t="str">
        <f t="shared" si="2"/>
        <v>CHTUDNGAN1</v>
      </c>
      <c r="E14" s="817" t="str">
        <f t="shared" si="0"/>
        <v>Commercial Heating Technology Urban Detached - Natural Gas - New 1</v>
      </c>
      <c r="F14" s="1189" t="s">
        <v>317</v>
      </c>
      <c r="G14" s="1189" t="s">
        <v>316</v>
      </c>
      <c r="H14" s="1202" t="s">
        <v>352</v>
      </c>
      <c r="I14" s="1189"/>
      <c r="J14" s="1189"/>
      <c r="K14" s="1189"/>
      <c r="L14" s="1189" t="s">
        <v>883</v>
      </c>
      <c r="M14" s="1185" t="s">
        <v>0</v>
      </c>
      <c r="N14" s="1185" t="s">
        <v>871</v>
      </c>
      <c r="O14" s="1185" t="s">
        <v>870</v>
      </c>
      <c r="P14" s="1185" t="str">
        <f>RIGHT(S14,LEN(S14)-3)</f>
        <v>NGA</v>
      </c>
      <c r="Q14" s="1185" t="s">
        <v>940</v>
      </c>
      <c r="R14" s="1185">
        <v>1</v>
      </c>
      <c r="S14" s="1213" t="str">
        <f>Commodities_VT!$C$18</f>
        <v>COMNGA</v>
      </c>
      <c r="T14" s="1185" t="str">
        <f>VLOOKUP(S14,Commodities_VT!$C$18:$R$33,16,FALSE)</f>
        <v>Natural Gas</v>
      </c>
    </row>
    <row r="15" spans="2:20" ht="14">
      <c r="B15" s="1189" t="s">
        <v>318</v>
      </c>
      <c r="C15" s="1189"/>
      <c r="D15" s="1189" t="str">
        <f t="shared" si="2"/>
        <v>CHTUDDSLN1</v>
      </c>
      <c r="E15" s="817" t="str">
        <f t="shared" si="0"/>
        <v>Commercial Heating Technology Urban Detached - Diesel - New 1</v>
      </c>
      <c r="F15" s="1189" t="s">
        <v>317</v>
      </c>
      <c r="G15" s="1189" t="s">
        <v>316</v>
      </c>
      <c r="H15" s="1202" t="s">
        <v>352</v>
      </c>
      <c r="I15" s="1189"/>
      <c r="J15" s="1189"/>
      <c r="K15" s="1189"/>
      <c r="L15" s="1189" t="s">
        <v>883</v>
      </c>
      <c r="M15" s="1185" t="s">
        <v>0</v>
      </c>
      <c r="N15" s="1185" t="s">
        <v>871</v>
      </c>
      <c r="O15" s="1185" t="s">
        <v>870</v>
      </c>
      <c r="P15" s="1185" t="str">
        <f t="shared" ref="P15:P33" si="7">RIGHT(S15,LEN(S15)-3)</f>
        <v>DSL</v>
      </c>
      <c r="Q15" s="1185" t="s">
        <v>940</v>
      </c>
      <c r="R15" s="1185">
        <v>1</v>
      </c>
      <c r="S15" s="1213" t="str">
        <f>Commodities_VT!$C$20</f>
        <v>COMDSL</v>
      </c>
      <c r="T15" s="1185" t="str">
        <f>VLOOKUP(S15,Commodities_VT!$C$18:$R$33,16,FALSE)</f>
        <v>Diesel</v>
      </c>
    </row>
    <row r="16" spans="2:20" ht="14">
      <c r="B16" s="1189" t="s">
        <v>318</v>
      </c>
      <c r="C16" s="1189"/>
      <c r="D16" s="1189" t="str">
        <f t="shared" si="2"/>
        <v>CHTUDWPEN1</v>
      </c>
      <c r="E16" s="817" t="str">
        <f t="shared" si="0"/>
        <v>Commercial Heating Technology Urban Detached - Wood pellets - New 1</v>
      </c>
      <c r="F16" s="1189" t="s">
        <v>317</v>
      </c>
      <c r="G16" s="1189" t="s">
        <v>316</v>
      </c>
      <c r="H16" s="1202" t="s">
        <v>352</v>
      </c>
      <c r="I16" s="1189"/>
      <c r="J16" s="1189"/>
      <c r="K16" s="1189"/>
      <c r="L16" s="1189" t="s">
        <v>883</v>
      </c>
      <c r="M16" s="1185" t="s">
        <v>0</v>
      </c>
      <c r="N16" s="1185" t="s">
        <v>871</v>
      </c>
      <c r="O16" s="1185" t="s">
        <v>870</v>
      </c>
      <c r="P16" s="1185" t="str">
        <f t="shared" si="7"/>
        <v>WPE</v>
      </c>
      <c r="Q16" s="1185" t="s">
        <v>940</v>
      </c>
      <c r="R16" s="1185">
        <v>1</v>
      </c>
      <c r="S16" s="1213" t="str">
        <f>Commodities_VT!$C$22</f>
        <v>COMWPE</v>
      </c>
      <c r="T16" s="1185" t="str">
        <f>VLOOKUP(S16,Commodities_VT!$C$18:$R$33,16,FALSE)</f>
        <v>Wood pellets</v>
      </c>
    </row>
    <row r="17" spans="2:20" ht="14">
      <c r="B17" s="1189" t="s">
        <v>318</v>
      </c>
      <c r="C17" s="1189"/>
      <c r="D17" s="1189" t="str">
        <f t="shared" si="2"/>
        <v>CHTUDFIWN1</v>
      </c>
      <c r="E17" s="817" t="str">
        <f t="shared" si="0"/>
        <v>Commercial Heating Technology Urban Detached - Fire wood - New 1</v>
      </c>
      <c r="F17" s="1189" t="s">
        <v>317</v>
      </c>
      <c r="G17" s="1189" t="s">
        <v>316</v>
      </c>
      <c r="H17" s="1202" t="s">
        <v>352</v>
      </c>
      <c r="I17" s="1189"/>
      <c r="J17" s="1189"/>
      <c r="K17" s="1189"/>
      <c r="L17" s="1189" t="s">
        <v>883</v>
      </c>
      <c r="M17" s="1185" t="s">
        <v>0</v>
      </c>
      <c r="N17" s="1185" t="s">
        <v>871</v>
      </c>
      <c r="O17" s="1185" t="s">
        <v>870</v>
      </c>
      <c r="P17" s="1185" t="str">
        <f t="shared" si="7"/>
        <v>FIW</v>
      </c>
      <c r="Q17" s="1185" t="s">
        <v>940</v>
      </c>
      <c r="R17" s="1185">
        <v>1</v>
      </c>
      <c r="S17" s="1213" t="str">
        <f>Commodities_VT!$C$23</f>
        <v>COMFIW</v>
      </c>
      <c r="T17" s="1185" t="str">
        <f>VLOOKUP(S17,Commodities_VT!$C$18:$R$33,16,FALSE)</f>
        <v>Fire wood</v>
      </c>
    </row>
    <row r="18" spans="2:20" ht="14">
      <c r="B18" s="1189" t="s">
        <v>318</v>
      </c>
      <c r="C18" s="1189"/>
      <c r="D18" s="1189" t="str">
        <f t="shared" si="2"/>
        <v>CHTUDSTRN1</v>
      </c>
      <c r="E18" s="817" t="str">
        <f t="shared" si="0"/>
        <v>Commercial Heating Technology Urban Detached - Straw - New 1</v>
      </c>
      <c r="F18" s="1189" t="s">
        <v>317</v>
      </c>
      <c r="G18" s="1189" t="s">
        <v>316</v>
      </c>
      <c r="H18" s="1202" t="s">
        <v>352</v>
      </c>
      <c r="I18" s="1189"/>
      <c r="J18" s="1189"/>
      <c r="K18" s="1189"/>
      <c r="L18" s="1189" t="s">
        <v>883</v>
      </c>
      <c r="M18" s="1185" t="s">
        <v>0</v>
      </c>
      <c r="N18" s="1185" t="s">
        <v>871</v>
      </c>
      <c r="O18" s="1185" t="s">
        <v>870</v>
      </c>
      <c r="P18" s="1185" t="str">
        <f t="shared" si="7"/>
        <v>STR</v>
      </c>
      <c r="Q18" s="1185" t="s">
        <v>940</v>
      </c>
      <c r="R18" s="1185">
        <v>1</v>
      </c>
      <c r="S18" s="1213" t="str">
        <f>Commodities_VT!$C$24</f>
        <v>COMSTR</v>
      </c>
      <c r="T18" s="1185" t="str">
        <f>VLOOKUP(S18,Commodities_VT!$C$18:$R$33,16,FALSE)</f>
        <v>Straw</v>
      </c>
    </row>
    <row r="19" spans="2:20" ht="14">
      <c r="B19" s="1189" t="s">
        <v>318</v>
      </c>
      <c r="C19" s="1189"/>
      <c r="D19" s="1189" t="str">
        <f t="shared" si="2"/>
        <v>CHTUDSOLN1</v>
      </c>
      <c r="E19" s="1216" t="str">
        <f t="shared" si="0"/>
        <v>Commercial Heating Technology Urban Detached - Solar - New 1</v>
      </c>
      <c r="F19" s="1189" t="s">
        <v>317</v>
      </c>
      <c r="G19" s="1189" t="s">
        <v>316</v>
      </c>
      <c r="H19" s="1202" t="s">
        <v>352</v>
      </c>
      <c r="I19" s="1189"/>
      <c r="J19" s="1189"/>
      <c r="K19" s="1189"/>
      <c r="L19" s="1189" t="s">
        <v>883</v>
      </c>
      <c r="M19" s="1185" t="s">
        <v>0</v>
      </c>
      <c r="N19" s="1185" t="s">
        <v>871</v>
      </c>
      <c r="O19" s="1185" t="s">
        <v>870</v>
      </c>
      <c r="P19" s="1185" t="str">
        <f t="shared" si="7"/>
        <v>SOL</v>
      </c>
      <c r="Q19" s="1185" t="s">
        <v>940</v>
      </c>
      <c r="R19" s="1185">
        <v>1</v>
      </c>
      <c r="S19" s="1213" t="str">
        <f>Commodities_VT!$C$26</f>
        <v>COMSOL</v>
      </c>
      <c r="T19" s="1185" t="str">
        <f>VLOOKUP(S19,Commodities_VT!$C$18:$R$33,16,FALSE)</f>
        <v>Solar</v>
      </c>
    </row>
    <row r="20" spans="2:20" ht="14">
      <c r="B20" s="1189" t="s">
        <v>318</v>
      </c>
      <c r="C20" s="1189"/>
      <c r="D20" s="1189" t="str">
        <f t="shared" si="2"/>
        <v>CHTUDELCHN1</v>
      </c>
      <c r="E20" s="1216" t="str">
        <f t="shared" si="0"/>
        <v>Commercial Heating Technology Urban Detached - Electricity Heating - New 1</v>
      </c>
      <c r="F20" s="1189" t="s">
        <v>317</v>
      </c>
      <c r="G20" s="1189" t="s">
        <v>316</v>
      </c>
      <c r="H20" s="1202" t="s">
        <v>352</v>
      </c>
      <c r="I20" s="1189"/>
      <c r="J20" s="1189"/>
      <c r="K20" s="1189"/>
      <c r="L20" s="1189" t="s">
        <v>883</v>
      </c>
      <c r="M20" s="1185" t="s">
        <v>0</v>
      </c>
      <c r="N20" s="1185" t="s">
        <v>871</v>
      </c>
      <c r="O20" s="1185" t="s">
        <v>870</v>
      </c>
      <c r="P20" s="1185" t="str">
        <f t="shared" si="7"/>
        <v>ELCH</v>
      </c>
      <c r="Q20" s="1185" t="s">
        <v>940</v>
      </c>
      <c r="R20" s="1185">
        <v>1</v>
      </c>
      <c r="S20" s="1213" t="str">
        <f>Commodities_VT!$C$27</f>
        <v>COMELCH</v>
      </c>
      <c r="T20" s="1185" t="str">
        <f>VLOOKUP(S20,Commodities_VT!$C$18:$R$33,16,FALSE)</f>
        <v>Electricity Heating</v>
      </c>
    </row>
    <row r="21" spans="2:20" ht="14">
      <c r="B21" s="1189" t="s">
        <v>318</v>
      </c>
      <c r="C21" s="1189"/>
      <c r="D21" s="1189" t="str">
        <f t="shared" si="2"/>
        <v>CHTUDELCHN2</v>
      </c>
      <c r="E21" s="1216" t="e">
        <f t="shared" si="0"/>
        <v>#N/A</v>
      </c>
      <c r="F21" s="1189" t="s">
        <v>317</v>
      </c>
      <c r="G21" s="1189" t="s">
        <v>316</v>
      </c>
      <c r="H21" s="1202" t="s">
        <v>352</v>
      </c>
      <c r="I21" s="1189"/>
      <c r="J21" s="1189"/>
      <c r="K21" s="1189"/>
      <c r="L21" s="1189" t="s">
        <v>883</v>
      </c>
      <c r="M21" s="1185" t="s">
        <v>0</v>
      </c>
      <c r="N21" s="1185" t="s">
        <v>871</v>
      </c>
      <c r="O21" s="1185" t="s">
        <v>870</v>
      </c>
      <c r="P21" s="1185" t="str">
        <f t="shared" si="7"/>
        <v>ELCH</v>
      </c>
      <c r="Q21" s="1185" t="s">
        <v>940</v>
      </c>
      <c r="R21" s="1185">
        <v>2</v>
      </c>
      <c r="S21" s="1213" t="s">
        <v>396</v>
      </c>
      <c r="T21" s="1185" t="e">
        <f>VLOOKUP(S21,Commodities_VT!$C$18:$R$33,16,FALSE)</f>
        <v>#N/A</v>
      </c>
    </row>
    <row r="22" spans="2:20" ht="14">
      <c r="B22" s="1189" t="s">
        <v>318</v>
      </c>
      <c r="C22" s="1189"/>
      <c r="D22" s="1189" t="str">
        <f t="shared" si="2"/>
        <v>CHTUDHCEN1</v>
      </c>
      <c r="E22" s="817" t="str">
        <f t="shared" si="0"/>
        <v>Commercial Heating Technology Urban Detached - District heating Central - New 1</v>
      </c>
      <c r="F22" s="1189" t="s">
        <v>317</v>
      </c>
      <c r="G22" s="1189" t="s">
        <v>316</v>
      </c>
      <c r="H22" s="1202" t="s">
        <v>352</v>
      </c>
      <c r="I22" s="1217"/>
      <c r="J22" s="1189"/>
      <c r="K22" s="1189"/>
      <c r="L22" s="1189" t="s">
        <v>883</v>
      </c>
      <c r="M22" s="1185" t="s">
        <v>0</v>
      </c>
      <c r="N22" s="1185" t="s">
        <v>871</v>
      </c>
      <c r="O22" s="1185" t="s">
        <v>870</v>
      </c>
      <c r="P22" s="1185" t="str">
        <f t="shared" si="7"/>
        <v>HCE</v>
      </c>
      <c r="Q22" s="1185" t="s">
        <v>940</v>
      </c>
      <c r="R22" s="1185">
        <v>1</v>
      </c>
      <c r="S22" s="1213" t="str">
        <f>Commodities_VT!$C$30</f>
        <v>COMHCE</v>
      </c>
      <c r="T22" s="1185" t="str">
        <f>VLOOKUP(S22,Commodities_VT!$C$18:$R$33,16,FALSE)</f>
        <v>District heating Central</v>
      </c>
    </row>
    <row r="23" spans="2:20" ht="14">
      <c r="B23" s="1189" t="s">
        <v>318</v>
      </c>
      <c r="C23" s="1197"/>
      <c r="D23" s="1197" t="str">
        <f t="shared" si="2"/>
        <v>CHTUDLPGN1</v>
      </c>
      <c r="E23" s="1218" t="str">
        <f t="shared" si="0"/>
        <v>Commercial Heating Technology Urban Detached - LPG - New 1</v>
      </c>
      <c r="F23" s="1197" t="s">
        <v>317</v>
      </c>
      <c r="G23" s="1197" t="s">
        <v>316</v>
      </c>
      <c r="H23" s="1203" t="s">
        <v>352</v>
      </c>
      <c r="I23" s="1219"/>
      <c r="J23" s="1197"/>
      <c r="K23" s="1189"/>
      <c r="L23" s="1189" t="s">
        <v>883</v>
      </c>
      <c r="M23" s="1185" t="s">
        <v>0</v>
      </c>
      <c r="N23" s="1185" t="s">
        <v>871</v>
      </c>
      <c r="O23" s="1185" t="s">
        <v>870</v>
      </c>
      <c r="P23" s="1185" t="str">
        <f t="shared" si="7"/>
        <v>LPG</v>
      </c>
      <c r="Q23" s="1185" t="s">
        <v>940</v>
      </c>
      <c r="R23" s="1185">
        <v>1</v>
      </c>
      <c r="S23" s="1215" t="str">
        <f>Commodities_VT!$C$19</f>
        <v>COMLPG</v>
      </c>
      <c r="T23" s="1185" t="str">
        <f>VLOOKUP(S23,Commodities_VT!$C$18:$R$33,16,FALSE)</f>
        <v>LPG</v>
      </c>
    </row>
    <row r="24" spans="2:20" ht="14">
      <c r="B24" s="1189" t="s">
        <v>318</v>
      </c>
      <c r="C24" s="1189"/>
      <c r="D24" s="1189" t="str">
        <f t="shared" si="2"/>
        <v>CHTRDNGAN1</v>
      </c>
      <c r="E24" s="817" t="str">
        <f t="shared" si="0"/>
        <v>Commercial Heating Technology Rural Detached - Natural Gas - New 1</v>
      </c>
      <c r="F24" s="1189" t="s">
        <v>317</v>
      </c>
      <c r="G24" s="1189" t="s">
        <v>316</v>
      </c>
      <c r="H24" s="1202" t="s">
        <v>352</v>
      </c>
      <c r="I24" s="1189"/>
      <c r="J24" s="1189"/>
      <c r="K24" s="1189"/>
      <c r="L24" s="1189" t="s">
        <v>883</v>
      </c>
      <c r="M24" s="1185" t="s">
        <v>0</v>
      </c>
      <c r="N24" s="1185" t="s">
        <v>871</v>
      </c>
      <c r="O24" s="1185" t="s">
        <v>872</v>
      </c>
      <c r="P24" s="1185" t="str">
        <f t="shared" si="7"/>
        <v>NGA</v>
      </c>
      <c r="Q24" s="1185" t="s">
        <v>940</v>
      </c>
      <c r="R24" s="1185">
        <v>1</v>
      </c>
      <c r="S24" s="1213" t="str">
        <f>Commodities_VT!$C$18</f>
        <v>COMNGA</v>
      </c>
      <c r="T24" s="1185" t="str">
        <f>VLOOKUP(S24,Commodities_VT!$C$18:$R$33,16,FALSE)</f>
        <v>Natural Gas</v>
      </c>
    </row>
    <row r="25" spans="2:20" ht="14">
      <c r="B25" s="1189" t="s">
        <v>318</v>
      </c>
      <c r="C25" s="1189"/>
      <c r="D25" s="1189" t="str">
        <f t="shared" si="2"/>
        <v>CHTRDDSLN1</v>
      </c>
      <c r="E25" s="817" t="str">
        <f t="shared" si="0"/>
        <v>Commercial Heating Technology Rural Detached - Diesel - New 1</v>
      </c>
      <c r="F25" s="1189" t="s">
        <v>317</v>
      </c>
      <c r="G25" s="1189" t="s">
        <v>316</v>
      </c>
      <c r="H25" s="1202" t="s">
        <v>352</v>
      </c>
      <c r="I25" s="1189"/>
      <c r="J25" s="1189"/>
      <c r="K25" s="1189"/>
      <c r="L25" s="1189" t="s">
        <v>883</v>
      </c>
      <c r="M25" s="1185" t="s">
        <v>0</v>
      </c>
      <c r="N25" s="1185" t="s">
        <v>871</v>
      </c>
      <c r="O25" s="1185" t="s">
        <v>872</v>
      </c>
      <c r="P25" s="1185" t="str">
        <f t="shared" si="7"/>
        <v>DSL</v>
      </c>
      <c r="Q25" s="1185" t="s">
        <v>940</v>
      </c>
      <c r="R25" s="1185">
        <v>1</v>
      </c>
      <c r="S25" s="1213" t="str">
        <f>Commodities_VT!$C$20</f>
        <v>COMDSL</v>
      </c>
      <c r="T25" s="1185" t="str">
        <f>VLOOKUP(S25,Commodities_VT!$C$18:$R$33,16,FALSE)</f>
        <v>Diesel</v>
      </c>
    </row>
    <row r="26" spans="2:20" ht="14">
      <c r="B26" s="1189" t="s">
        <v>318</v>
      </c>
      <c r="C26" s="1189"/>
      <c r="D26" s="1189" t="str">
        <f t="shared" si="2"/>
        <v>CHTRDWPEN1</v>
      </c>
      <c r="E26" s="817" t="str">
        <f t="shared" si="0"/>
        <v>Commercial Heating Technology Rural Detached - Wood pellets - New 1</v>
      </c>
      <c r="F26" s="1189" t="s">
        <v>317</v>
      </c>
      <c r="G26" s="1189" t="s">
        <v>316</v>
      </c>
      <c r="H26" s="1202" t="s">
        <v>352</v>
      </c>
      <c r="I26" s="1189"/>
      <c r="J26" s="1189"/>
      <c r="K26" s="1189"/>
      <c r="L26" s="1189" t="s">
        <v>883</v>
      </c>
      <c r="M26" s="1185" t="s">
        <v>0</v>
      </c>
      <c r="N26" s="1185" t="s">
        <v>871</v>
      </c>
      <c r="O26" s="1185" t="s">
        <v>872</v>
      </c>
      <c r="P26" s="1185" t="str">
        <f t="shared" si="7"/>
        <v>WPE</v>
      </c>
      <c r="Q26" s="1185" t="s">
        <v>940</v>
      </c>
      <c r="R26" s="1185">
        <v>1</v>
      </c>
      <c r="S26" s="1213" t="str">
        <f>Commodities_VT!$C$22</f>
        <v>COMWPE</v>
      </c>
      <c r="T26" s="1185" t="str">
        <f>VLOOKUP(S26,Commodities_VT!$C$18:$R$33,16,FALSE)</f>
        <v>Wood pellets</v>
      </c>
    </row>
    <row r="27" spans="2:20" ht="14">
      <c r="B27" s="1189" t="s">
        <v>318</v>
      </c>
      <c r="C27" s="1189"/>
      <c r="D27" s="1189" t="str">
        <f t="shared" si="2"/>
        <v>CHTRDFIWN1</v>
      </c>
      <c r="E27" s="817" t="str">
        <f t="shared" si="0"/>
        <v>Commercial Heating Technology Rural Detached - Fire wood - New 1</v>
      </c>
      <c r="F27" s="1189" t="s">
        <v>317</v>
      </c>
      <c r="G27" s="1189" t="s">
        <v>316</v>
      </c>
      <c r="H27" s="1202" t="s">
        <v>352</v>
      </c>
      <c r="I27" s="1189"/>
      <c r="J27" s="1189"/>
      <c r="K27" s="1189"/>
      <c r="L27" s="1189" t="s">
        <v>883</v>
      </c>
      <c r="M27" s="1185" t="s">
        <v>0</v>
      </c>
      <c r="N27" s="1185" t="s">
        <v>871</v>
      </c>
      <c r="O27" s="1185" t="s">
        <v>872</v>
      </c>
      <c r="P27" s="1185" t="str">
        <f t="shared" si="7"/>
        <v>FIW</v>
      </c>
      <c r="Q27" s="1185" t="s">
        <v>940</v>
      </c>
      <c r="R27" s="1185">
        <v>1</v>
      </c>
      <c r="S27" s="1213" t="str">
        <f>Commodities_VT!$C$23</f>
        <v>COMFIW</v>
      </c>
      <c r="T27" s="1185" t="str">
        <f>VLOOKUP(S27,Commodities_VT!$C$18:$R$33,16,FALSE)</f>
        <v>Fire wood</v>
      </c>
    </row>
    <row r="28" spans="2:20" ht="14">
      <c r="B28" s="1189" t="s">
        <v>318</v>
      </c>
      <c r="C28" s="1189"/>
      <c r="D28" s="1189" t="str">
        <f t="shared" si="2"/>
        <v>CHTRDSTRN1</v>
      </c>
      <c r="E28" s="817" t="str">
        <f t="shared" si="0"/>
        <v>Commercial Heating Technology Rural Detached - Straw - New 1</v>
      </c>
      <c r="F28" s="1189" t="s">
        <v>317</v>
      </c>
      <c r="G28" s="1189" t="s">
        <v>316</v>
      </c>
      <c r="H28" s="1202" t="s">
        <v>352</v>
      </c>
      <c r="I28" s="1189"/>
      <c r="J28" s="1189"/>
      <c r="K28" s="1189"/>
      <c r="L28" s="1189" t="s">
        <v>883</v>
      </c>
      <c r="M28" s="1185" t="s">
        <v>0</v>
      </c>
      <c r="N28" s="1185" t="s">
        <v>871</v>
      </c>
      <c r="O28" s="1185" t="s">
        <v>872</v>
      </c>
      <c r="P28" s="1185" t="str">
        <f t="shared" si="7"/>
        <v>STR</v>
      </c>
      <c r="Q28" s="1185" t="s">
        <v>940</v>
      </c>
      <c r="R28" s="1185">
        <v>1</v>
      </c>
      <c r="S28" s="1213" t="str">
        <f>Commodities_VT!$C$24</f>
        <v>COMSTR</v>
      </c>
      <c r="T28" s="1185" t="str">
        <f>VLOOKUP(S28,Commodities_VT!$C$18:$R$33,16,FALSE)</f>
        <v>Straw</v>
      </c>
    </row>
    <row r="29" spans="2:20" ht="14">
      <c r="B29" s="1189" t="s">
        <v>318</v>
      </c>
      <c r="C29" s="1189"/>
      <c r="D29" s="1189" t="str">
        <f t="shared" si="2"/>
        <v>CHTRDSOLN1</v>
      </c>
      <c r="E29" s="817" t="str">
        <f t="shared" si="0"/>
        <v>Commercial Heating Technology Rural Detached - Solar - New 1</v>
      </c>
      <c r="F29" s="1189" t="s">
        <v>317</v>
      </c>
      <c r="G29" s="1189" t="s">
        <v>316</v>
      </c>
      <c r="H29" s="1202" t="s">
        <v>352</v>
      </c>
      <c r="I29" s="1189"/>
      <c r="J29" s="1189"/>
      <c r="K29" s="1189"/>
      <c r="L29" s="1189" t="s">
        <v>883</v>
      </c>
      <c r="M29" s="1185" t="s">
        <v>0</v>
      </c>
      <c r="N29" s="1185" t="s">
        <v>871</v>
      </c>
      <c r="O29" s="1185" t="s">
        <v>872</v>
      </c>
      <c r="P29" s="1185" t="str">
        <f t="shared" si="7"/>
        <v>SOL</v>
      </c>
      <c r="Q29" s="1185" t="s">
        <v>940</v>
      </c>
      <c r="R29" s="1185">
        <v>1</v>
      </c>
      <c r="S29" s="1213" t="str">
        <f>Commodities_VT!$C$26</f>
        <v>COMSOL</v>
      </c>
      <c r="T29" s="1185" t="str">
        <f>VLOOKUP(S29,Commodities_VT!$C$18:$R$33,16,FALSE)</f>
        <v>Solar</v>
      </c>
    </row>
    <row r="30" spans="2:20" ht="14">
      <c r="B30" s="1189" t="s">
        <v>318</v>
      </c>
      <c r="C30" s="1189"/>
      <c r="D30" s="1189" t="str">
        <f t="shared" si="2"/>
        <v>CHTRDELCHN1</v>
      </c>
      <c r="E30" s="1216" t="str">
        <f t="shared" si="0"/>
        <v>Commercial Heating Technology Rural Detached - Electricity Heating - New 1</v>
      </c>
      <c r="F30" s="1189" t="s">
        <v>317</v>
      </c>
      <c r="G30" s="1189" t="s">
        <v>316</v>
      </c>
      <c r="H30" s="1202" t="s">
        <v>352</v>
      </c>
      <c r="I30" s="1189"/>
      <c r="J30" s="1189"/>
      <c r="K30" s="1189"/>
      <c r="L30" s="1189" t="s">
        <v>883</v>
      </c>
      <c r="M30" s="1185" t="s">
        <v>0</v>
      </c>
      <c r="N30" s="1185" t="s">
        <v>871</v>
      </c>
      <c r="O30" s="1185" t="s">
        <v>872</v>
      </c>
      <c r="P30" s="1185" t="str">
        <f t="shared" si="7"/>
        <v>ELCH</v>
      </c>
      <c r="Q30" s="1185" t="s">
        <v>940</v>
      </c>
      <c r="R30" s="1185">
        <v>1</v>
      </c>
      <c r="S30" s="1213" t="str">
        <f>Commodities_VT!$C$27</f>
        <v>COMELCH</v>
      </c>
      <c r="T30" s="1185" t="str">
        <f>VLOOKUP(S30,Commodities_VT!$C$18:$R$33,16,FALSE)</f>
        <v>Electricity Heating</v>
      </c>
    </row>
    <row r="31" spans="2:20" ht="14">
      <c r="B31" s="1189" t="s">
        <v>318</v>
      </c>
      <c r="C31" s="1189"/>
      <c r="D31" s="1189" t="str">
        <f t="shared" si="2"/>
        <v>CHTRDELCHN2</v>
      </c>
      <c r="E31" s="1216" t="e">
        <f t="shared" si="0"/>
        <v>#N/A</v>
      </c>
      <c r="F31" s="1189" t="s">
        <v>317</v>
      </c>
      <c r="G31" s="1189" t="s">
        <v>316</v>
      </c>
      <c r="H31" s="1202" t="s">
        <v>352</v>
      </c>
      <c r="I31" s="1189"/>
      <c r="J31" s="1189"/>
      <c r="K31" s="1189"/>
      <c r="L31" s="1189" t="s">
        <v>883</v>
      </c>
      <c r="M31" s="1185" t="s">
        <v>0</v>
      </c>
      <c r="N31" s="1185" t="s">
        <v>871</v>
      </c>
      <c r="O31" s="1185" t="s">
        <v>872</v>
      </c>
      <c r="P31" s="1185" t="str">
        <f t="shared" si="7"/>
        <v>ELCH</v>
      </c>
      <c r="Q31" s="1185" t="s">
        <v>940</v>
      </c>
      <c r="R31" s="1185">
        <v>2</v>
      </c>
      <c r="S31" s="1213" t="s">
        <v>396</v>
      </c>
      <c r="T31" s="1185" t="e">
        <f>VLOOKUP(S31,Commodities_VT!$C$18:$R$33,16,FALSE)</f>
        <v>#N/A</v>
      </c>
    </row>
    <row r="32" spans="2:20" ht="14">
      <c r="B32" s="1189" t="s">
        <v>318</v>
      </c>
      <c r="C32" s="1189"/>
      <c r="D32" s="1189" t="str">
        <f t="shared" si="2"/>
        <v>CHTRDHCEN1</v>
      </c>
      <c r="E32" s="817" t="str">
        <f t="shared" si="0"/>
        <v>Commercial Heating Technology Rural Detached - District heating Central - New 1</v>
      </c>
      <c r="F32" s="1189" t="s">
        <v>317</v>
      </c>
      <c r="G32" s="1189" t="s">
        <v>316</v>
      </c>
      <c r="H32" s="1202" t="s">
        <v>352</v>
      </c>
      <c r="I32" s="1220"/>
      <c r="J32" s="1189"/>
      <c r="K32" s="1189"/>
      <c r="L32" s="1189" t="s">
        <v>883</v>
      </c>
      <c r="M32" s="1185" t="s">
        <v>0</v>
      </c>
      <c r="N32" s="1185" t="s">
        <v>871</v>
      </c>
      <c r="O32" s="1185" t="s">
        <v>872</v>
      </c>
      <c r="P32" s="1185" t="str">
        <f t="shared" si="7"/>
        <v>HCE</v>
      </c>
      <c r="Q32" s="1185" t="s">
        <v>940</v>
      </c>
      <c r="R32" s="1185">
        <v>1</v>
      </c>
      <c r="S32" s="1213" t="str">
        <f>Commodities_VT!$C$30</f>
        <v>COMHCE</v>
      </c>
      <c r="T32" s="1185" t="str">
        <f>VLOOKUP(S32,Commodities_VT!$C$18:$R$33,16,FALSE)</f>
        <v>District heating Central</v>
      </c>
    </row>
    <row r="33" spans="2:20" ht="14">
      <c r="B33" s="1189" t="s">
        <v>318</v>
      </c>
      <c r="C33" s="1197"/>
      <c r="D33" s="1197" t="str">
        <f t="shared" si="2"/>
        <v>CHTRDLPGN1</v>
      </c>
      <c r="E33" s="1218" t="str">
        <f t="shared" si="0"/>
        <v>Commercial Heating Technology Rural Detached - LPG - New 1</v>
      </c>
      <c r="F33" s="1197" t="s">
        <v>317</v>
      </c>
      <c r="G33" s="1197" t="s">
        <v>316</v>
      </c>
      <c r="H33" s="1203" t="s">
        <v>352</v>
      </c>
      <c r="I33" s="1219"/>
      <c r="J33" s="1197"/>
      <c r="K33" s="1189"/>
      <c r="L33" s="1189" t="s">
        <v>883</v>
      </c>
      <c r="M33" s="1185" t="s">
        <v>0</v>
      </c>
      <c r="N33" s="1185" t="s">
        <v>871</v>
      </c>
      <c r="O33" s="1185" t="s">
        <v>872</v>
      </c>
      <c r="P33" s="1185" t="str">
        <f t="shared" si="7"/>
        <v>LPG</v>
      </c>
      <c r="Q33" s="1185" t="s">
        <v>940</v>
      </c>
      <c r="R33" s="1185">
        <v>1</v>
      </c>
      <c r="S33" s="1215" t="str">
        <f>Commodities_VT!$C$19</f>
        <v>COMLPG</v>
      </c>
      <c r="T33" s="1185" t="str">
        <f>VLOOKUP(S33,Commodities_VT!$C$18:$R$33,16,FALSE)</f>
        <v>LPG</v>
      </c>
    </row>
    <row r="34" spans="2:20" ht="14">
      <c r="B34" s="1189" t="s">
        <v>318</v>
      </c>
      <c r="C34" s="1189"/>
      <c r="D34" s="1189" t="str">
        <f t="shared" si="2"/>
        <v>CHTUMNGAN1</v>
      </c>
      <c r="E34" s="817" t="str">
        <f t="shared" si="0"/>
        <v>Commercial Heating Technology Urban Multi - Natural Gas - New 1</v>
      </c>
      <c r="F34" s="1189" t="s">
        <v>317</v>
      </c>
      <c r="G34" s="1189" t="s">
        <v>316</v>
      </c>
      <c r="H34" s="1202" t="s">
        <v>352</v>
      </c>
      <c r="I34" s="1189"/>
      <c r="J34" s="1189"/>
      <c r="K34" s="1189"/>
      <c r="L34" s="1189" t="s">
        <v>883</v>
      </c>
      <c r="M34" s="1185" t="s">
        <v>0</v>
      </c>
      <c r="N34" s="1185" t="s">
        <v>885</v>
      </c>
      <c r="O34" s="1185" t="s">
        <v>870</v>
      </c>
      <c r="P34" s="1185" t="str">
        <f>RIGHT(S34,LEN(S34)-3)</f>
        <v>NGA</v>
      </c>
      <c r="Q34" s="1185" t="s">
        <v>940</v>
      </c>
      <c r="R34" s="1185">
        <v>1</v>
      </c>
      <c r="S34" s="1213" t="str">
        <f>Commodities_VT!$C$18</f>
        <v>COMNGA</v>
      </c>
      <c r="T34" s="1185" t="str">
        <f>VLOOKUP(S34,Commodities_VT!$C$18:$R$33,16,FALSE)</f>
        <v>Natural Gas</v>
      </c>
    </row>
    <row r="35" spans="2:20" ht="14">
      <c r="B35" s="1189" t="s">
        <v>318</v>
      </c>
      <c r="C35" s="1189"/>
      <c r="D35" s="1189" t="str">
        <f t="shared" si="2"/>
        <v>CHTUMDSLN1</v>
      </c>
      <c r="E35" s="817" t="str">
        <f t="shared" si="0"/>
        <v>Commercial Heating Technology Urban Multi - Diesel - New 1</v>
      </c>
      <c r="F35" s="1189" t="s">
        <v>317</v>
      </c>
      <c r="G35" s="1189" t="s">
        <v>316</v>
      </c>
      <c r="H35" s="1202" t="s">
        <v>352</v>
      </c>
      <c r="I35" s="1189"/>
      <c r="J35" s="1189"/>
      <c r="K35" s="1189"/>
      <c r="L35" s="1189" t="s">
        <v>883</v>
      </c>
      <c r="M35" s="1185" t="s">
        <v>0</v>
      </c>
      <c r="N35" s="1185" t="s">
        <v>885</v>
      </c>
      <c r="O35" s="1185" t="s">
        <v>870</v>
      </c>
      <c r="P35" s="1185" t="str">
        <f t="shared" ref="P35:P57" si="8">RIGHT(S35,LEN(S35)-3)</f>
        <v>DSL</v>
      </c>
      <c r="Q35" s="1185" t="s">
        <v>940</v>
      </c>
      <c r="R35" s="1185">
        <v>1</v>
      </c>
      <c r="S35" s="1213" t="str">
        <f>Commodities_VT!$C$20</f>
        <v>COMDSL</v>
      </c>
      <c r="T35" s="1185" t="str">
        <f>VLOOKUP(S35,Commodities_VT!$C$18:$R$33,16,FALSE)</f>
        <v>Diesel</v>
      </c>
    </row>
    <row r="36" spans="2:20" ht="14">
      <c r="B36" s="1189" t="s">
        <v>318</v>
      </c>
      <c r="C36" s="1189"/>
      <c r="D36" s="1189" t="str">
        <f t="shared" si="2"/>
        <v>CHTUMWPEN1</v>
      </c>
      <c r="E36" s="817" t="str">
        <f t="shared" si="0"/>
        <v>Commercial Heating Technology Urban Multi - Wood pellets - New 1</v>
      </c>
      <c r="F36" s="1189" t="s">
        <v>317</v>
      </c>
      <c r="G36" s="1189" t="s">
        <v>316</v>
      </c>
      <c r="H36" s="1202" t="s">
        <v>352</v>
      </c>
      <c r="I36" s="1189"/>
      <c r="J36" s="1189"/>
      <c r="K36" s="1189"/>
      <c r="L36" s="1189" t="s">
        <v>883</v>
      </c>
      <c r="M36" s="1185" t="s">
        <v>0</v>
      </c>
      <c r="N36" s="1185" t="s">
        <v>885</v>
      </c>
      <c r="O36" s="1185" t="s">
        <v>870</v>
      </c>
      <c r="P36" s="1185" t="str">
        <f t="shared" si="8"/>
        <v>WPE</v>
      </c>
      <c r="Q36" s="1185" t="s">
        <v>940</v>
      </c>
      <c r="R36" s="1185">
        <v>1</v>
      </c>
      <c r="S36" s="1213" t="str">
        <f>Commodities_VT!$C$22</f>
        <v>COMWPE</v>
      </c>
      <c r="T36" s="1185" t="str">
        <f>VLOOKUP(S36,Commodities_VT!$C$18:$R$33,16,FALSE)</f>
        <v>Wood pellets</v>
      </c>
    </row>
    <row r="37" spans="2:20" ht="14">
      <c r="B37" s="1189" t="s">
        <v>318</v>
      </c>
      <c r="C37" s="1189"/>
      <c r="D37" s="1189" t="str">
        <f t="shared" si="2"/>
        <v>CHTUMFIWN1</v>
      </c>
      <c r="E37" s="817" t="str">
        <f t="shared" si="0"/>
        <v>Commercial Heating Technology Urban Multi - Fire wood - New 1</v>
      </c>
      <c r="F37" s="1189" t="s">
        <v>317</v>
      </c>
      <c r="G37" s="1189" t="s">
        <v>316</v>
      </c>
      <c r="H37" s="1202" t="s">
        <v>352</v>
      </c>
      <c r="I37" s="1189"/>
      <c r="J37" s="1189"/>
      <c r="K37" s="1189"/>
      <c r="L37" s="1189" t="s">
        <v>883</v>
      </c>
      <c r="M37" s="1185" t="s">
        <v>0</v>
      </c>
      <c r="N37" s="1185" t="s">
        <v>885</v>
      </c>
      <c r="O37" s="1185" t="s">
        <v>870</v>
      </c>
      <c r="P37" s="1185" t="str">
        <f t="shared" si="8"/>
        <v>FIW</v>
      </c>
      <c r="Q37" s="1185" t="s">
        <v>940</v>
      </c>
      <c r="R37" s="1185">
        <v>1</v>
      </c>
      <c r="S37" s="1213" t="str">
        <f>Commodities_VT!$C$23</f>
        <v>COMFIW</v>
      </c>
      <c r="T37" s="1185" t="str">
        <f>VLOOKUP(S37,Commodities_VT!$C$18:$R$33,16,FALSE)</f>
        <v>Fire wood</v>
      </c>
    </row>
    <row r="38" spans="2:20" ht="14">
      <c r="B38" s="1189" t="s">
        <v>318</v>
      </c>
      <c r="C38" s="1189"/>
      <c r="D38" s="1189" t="str">
        <f t="shared" si="2"/>
        <v>CHTUMSTRN1</v>
      </c>
      <c r="E38" s="817" t="str">
        <f t="shared" si="0"/>
        <v>Commercial Heating Technology Urban Multi - Straw - New 1</v>
      </c>
      <c r="F38" s="1189" t="s">
        <v>317</v>
      </c>
      <c r="G38" s="1189" t="s">
        <v>316</v>
      </c>
      <c r="H38" s="1202" t="s">
        <v>352</v>
      </c>
      <c r="I38" s="1189"/>
      <c r="J38" s="1189"/>
      <c r="K38" s="1189"/>
      <c r="L38" s="1189" t="s">
        <v>883</v>
      </c>
      <c r="M38" s="1185" t="s">
        <v>0</v>
      </c>
      <c r="N38" s="1185" t="s">
        <v>885</v>
      </c>
      <c r="O38" s="1185" t="s">
        <v>870</v>
      </c>
      <c r="P38" s="1185" t="str">
        <f t="shared" si="8"/>
        <v>STR</v>
      </c>
      <c r="Q38" s="1185" t="s">
        <v>940</v>
      </c>
      <c r="R38" s="1185">
        <v>1</v>
      </c>
      <c r="S38" s="1213" t="str">
        <f>Commodities_VT!$C$24</f>
        <v>COMSTR</v>
      </c>
      <c r="T38" s="1185" t="str">
        <f>VLOOKUP(S38,Commodities_VT!$C$18:$R$33,16,FALSE)</f>
        <v>Straw</v>
      </c>
    </row>
    <row r="39" spans="2:20" ht="14">
      <c r="B39" s="1189" t="s">
        <v>318</v>
      </c>
      <c r="C39" s="1189"/>
      <c r="D39" s="1189" t="str">
        <f t="shared" si="2"/>
        <v>CHTUMSOLN1</v>
      </c>
      <c r="E39" s="1216" t="str">
        <f t="shared" si="0"/>
        <v>Commercial Heating Technology Urban Multi - Solar - New 1</v>
      </c>
      <c r="F39" s="1189" t="s">
        <v>317</v>
      </c>
      <c r="G39" s="1189" t="s">
        <v>316</v>
      </c>
      <c r="H39" s="1202" t="s">
        <v>352</v>
      </c>
      <c r="I39" s="1189"/>
      <c r="J39" s="1189"/>
      <c r="K39" s="1189"/>
      <c r="L39" s="1189" t="s">
        <v>883</v>
      </c>
      <c r="M39" s="1185" t="s">
        <v>0</v>
      </c>
      <c r="N39" s="1185" t="s">
        <v>885</v>
      </c>
      <c r="O39" s="1185" t="s">
        <v>870</v>
      </c>
      <c r="P39" s="1185" t="str">
        <f t="shared" si="8"/>
        <v>SOL</v>
      </c>
      <c r="Q39" s="1185" t="s">
        <v>940</v>
      </c>
      <c r="R39" s="1185">
        <v>1</v>
      </c>
      <c r="S39" s="1213" t="str">
        <f>Commodities_VT!$C$26</f>
        <v>COMSOL</v>
      </c>
      <c r="T39" s="1185" t="str">
        <f>VLOOKUP(S39,Commodities_VT!$C$18:$R$33,16,FALSE)</f>
        <v>Solar</v>
      </c>
    </row>
    <row r="40" spans="2:20" ht="14">
      <c r="B40" s="1189" t="s">
        <v>318</v>
      </c>
      <c r="C40" s="1189"/>
      <c r="D40" s="1189" t="str">
        <f t="shared" si="2"/>
        <v>CHTUMELCHN1</v>
      </c>
      <c r="E40" s="1216" t="str">
        <f t="shared" si="0"/>
        <v>Commercial Heating Technology Urban Multi - Electricity Heating - New 1</v>
      </c>
      <c r="F40" s="1189" t="s">
        <v>317</v>
      </c>
      <c r="G40" s="1189" t="s">
        <v>316</v>
      </c>
      <c r="H40" s="1202" t="s">
        <v>352</v>
      </c>
      <c r="I40" s="1189"/>
      <c r="J40" s="1189"/>
      <c r="K40" s="1189"/>
      <c r="L40" s="1189" t="s">
        <v>883</v>
      </c>
      <c r="M40" s="1185" t="s">
        <v>0</v>
      </c>
      <c r="N40" s="1185" t="s">
        <v>885</v>
      </c>
      <c r="O40" s="1185" t="s">
        <v>870</v>
      </c>
      <c r="P40" s="1185" t="str">
        <f t="shared" si="8"/>
        <v>ELCH</v>
      </c>
      <c r="Q40" s="1185" t="s">
        <v>940</v>
      </c>
      <c r="R40" s="1185">
        <v>1</v>
      </c>
      <c r="S40" s="1213" t="str">
        <f>Commodities_VT!$C$27</f>
        <v>COMELCH</v>
      </c>
      <c r="T40" s="1185" t="str">
        <f>VLOOKUP(S40,Commodities_VT!$C$18:$R$33,16,FALSE)</f>
        <v>Electricity Heating</v>
      </c>
    </row>
    <row r="41" spans="2:20" ht="14">
      <c r="B41" s="1189" t="s">
        <v>318</v>
      </c>
      <c r="C41" s="1189"/>
      <c r="D41" s="1189" t="str">
        <f t="shared" si="2"/>
        <v>CHTUMELCHN2</v>
      </c>
      <c r="E41" s="1216" t="e">
        <f t="shared" ref="E41:E57" si="9">$E$2&amp;" "&amp;L41&amp;" "&amp;M41&amp;" "&amp;O41&amp;" "&amp;N41&amp;" - "&amp;T41&amp;" - "&amp;Q41&amp;" "&amp;R41</f>
        <v>#N/A</v>
      </c>
      <c r="F41" s="1189" t="s">
        <v>317</v>
      </c>
      <c r="G41" s="1189" t="s">
        <v>316</v>
      </c>
      <c r="H41" s="1202" t="s">
        <v>352</v>
      </c>
      <c r="I41" s="1189"/>
      <c r="J41" s="1189"/>
      <c r="K41" s="1189"/>
      <c r="L41" s="1189" t="s">
        <v>883</v>
      </c>
      <c r="M41" s="1185" t="s">
        <v>0</v>
      </c>
      <c r="N41" s="1185" t="s">
        <v>885</v>
      </c>
      <c r="O41" s="1185" t="s">
        <v>870</v>
      </c>
      <c r="P41" s="1185" t="str">
        <f t="shared" si="8"/>
        <v>ELCH</v>
      </c>
      <c r="Q41" s="1185" t="s">
        <v>940</v>
      </c>
      <c r="R41" s="1185">
        <v>2</v>
      </c>
      <c r="S41" s="1213" t="s">
        <v>396</v>
      </c>
      <c r="T41" s="1185" t="e">
        <f>VLOOKUP(S41,Commodities_VT!$C$18:$R$33,16,FALSE)</f>
        <v>#N/A</v>
      </c>
    </row>
    <row r="42" spans="2:20" ht="14">
      <c r="B42" s="1189" t="s">
        <v>318</v>
      </c>
      <c r="C42" s="1189"/>
      <c r="D42" s="1189" t="str">
        <f t="shared" ref="D42:D57" si="10">LEFT($D$2,1)&amp;LEFT(L42,1)&amp;LEFT(M42,1)&amp;LEFT(O42,1)&amp;LEFT(N42,1)&amp;P42&amp;LEFT(Q42,1)&amp;R42</f>
        <v>CHTUMHCEN1</v>
      </c>
      <c r="E42" s="817" t="str">
        <f t="shared" si="9"/>
        <v>Commercial Heating Technology Urban Multi - District heating Central - New 1</v>
      </c>
      <c r="F42" s="1189" t="s">
        <v>317</v>
      </c>
      <c r="G42" s="1189" t="s">
        <v>316</v>
      </c>
      <c r="H42" s="1202" t="s">
        <v>352</v>
      </c>
      <c r="I42" s="1217"/>
      <c r="J42" s="1189"/>
      <c r="K42" s="1189"/>
      <c r="L42" s="1189" t="s">
        <v>883</v>
      </c>
      <c r="M42" s="1185" t="s">
        <v>0</v>
      </c>
      <c r="N42" s="1185" t="s">
        <v>885</v>
      </c>
      <c r="O42" s="1185" t="s">
        <v>870</v>
      </c>
      <c r="P42" s="1185" t="str">
        <f t="shared" si="8"/>
        <v>HCE</v>
      </c>
      <c r="Q42" s="1185" t="s">
        <v>940</v>
      </c>
      <c r="R42" s="1185">
        <v>1</v>
      </c>
      <c r="S42" s="1213" t="str">
        <f>Commodities_VT!$C$30</f>
        <v>COMHCE</v>
      </c>
      <c r="T42" s="1185" t="str">
        <f>VLOOKUP(S42,Commodities_VT!$C$18:$R$33,16,FALSE)</f>
        <v>District heating Central</v>
      </c>
    </row>
    <row r="43" spans="2:20" ht="14">
      <c r="B43" s="1189" t="s">
        <v>318</v>
      </c>
      <c r="C43" s="1197"/>
      <c r="D43" s="1197" t="str">
        <f t="shared" si="10"/>
        <v>CHTUMLPGN1</v>
      </c>
      <c r="E43" s="1218" t="str">
        <f t="shared" si="9"/>
        <v>Commercial Heating Technology Urban Multi - LPG - New 1</v>
      </c>
      <c r="F43" s="1197" t="s">
        <v>317</v>
      </c>
      <c r="G43" s="1197" t="s">
        <v>316</v>
      </c>
      <c r="H43" s="1203" t="s">
        <v>352</v>
      </c>
      <c r="I43" s="1219"/>
      <c r="J43" s="1197"/>
      <c r="K43" s="1189"/>
      <c r="L43" s="1189" t="s">
        <v>883</v>
      </c>
      <c r="M43" s="1185" t="s">
        <v>0</v>
      </c>
      <c r="N43" s="1185" t="s">
        <v>885</v>
      </c>
      <c r="O43" s="1185" t="s">
        <v>870</v>
      </c>
      <c r="P43" s="1185" t="str">
        <f t="shared" si="8"/>
        <v>LPG</v>
      </c>
      <c r="Q43" s="1185" t="s">
        <v>940</v>
      </c>
      <c r="R43" s="1185">
        <v>1</v>
      </c>
      <c r="S43" s="1215" t="str">
        <f>Commodities_VT!$C$19</f>
        <v>COMLPG</v>
      </c>
      <c r="T43" s="1185" t="str">
        <f>VLOOKUP(S43,Commodities_VT!$C$18:$R$33,16,FALSE)</f>
        <v>LPG</v>
      </c>
    </row>
    <row r="44" spans="2:20" ht="14">
      <c r="B44" s="1189" t="s">
        <v>318</v>
      </c>
      <c r="C44" s="1189"/>
      <c r="D44" s="1189" t="str">
        <f t="shared" si="10"/>
        <v>CHTRMNGAN1</v>
      </c>
      <c r="E44" s="817" t="str">
        <f t="shared" si="9"/>
        <v>Commercial Heating Technology Rural Multi - Natural Gas - New 1</v>
      </c>
      <c r="F44" s="1189" t="s">
        <v>317</v>
      </c>
      <c r="G44" s="1189" t="s">
        <v>316</v>
      </c>
      <c r="H44" s="1202" t="s">
        <v>352</v>
      </c>
      <c r="I44" s="1189"/>
      <c r="J44" s="1189"/>
      <c r="K44" s="1189"/>
      <c r="L44" s="1189" t="s">
        <v>883</v>
      </c>
      <c r="M44" s="1185" t="s">
        <v>0</v>
      </c>
      <c r="N44" s="1185" t="s">
        <v>885</v>
      </c>
      <c r="O44" s="1185" t="s">
        <v>872</v>
      </c>
      <c r="P44" s="1185" t="str">
        <f t="shared" si="8"/>
        <v>NGA</v>
      </c>
      <c r="Q44" s="1185" t="s">
        <v>940</v>
      </c>
      <c r="R44" s="1185">
        <v>1</v>
      </c>
      <c r="S44" s="1213" t="str">
        <f>Commodities_VT!$C$18</f>
        <v>COMNGA</v>
      </c>
      <c r="T44" s="1185" t="str">
        <f>VLOOKUP(S44,Commodities_VT!$C$18:$R$33,16,FALSE)</f>
        <v>Natural Gas</v>
      </c>
    </row>
    <row r="45" spans="2:20" ht="14">
      <c r="B45" s="1189" t="s">
        <v>318</v>
      </c>
      <c r="C45" s="1189"/>
      <c r="D45" s="1189" t="str">
        <f t="shared" si="10"/>
        <v>CHTRMDSLN1</v>
      </c>
      <c r="E45" s="817" t="str">
        <f t="shared" si="9"/>
        <v>Commercial Heating Technology Rural Multi - Diesel - New 1</v>
      </c>
      <c r="F45" s="1189" t="s">
        <v>317</v>
      </c>
      <c r="G45" s="1189" t="s">
        <v>316</v>
      </c>
      <c r="H45" s="1202" t="s">
        <v>352</v>
      </c>
      <c r="I45" s="1189"/>
      <c r="J45" s="1189"/>
      <c r="K45" s="1189"/>
      <c r="L45" s="1189" t="s">
        <v>883</v>
      </c>
      <c r="M45" s="1185" t="s">
        <v>0</v>
      </c>
      <c r="N45" s="1185" t="s">
        <v>885</v>
      </c>
      <c r="O45" s="1185" t="s">
        <v>872</v>
      </c>
      <c r="P45" s="1185" t="str">
        <f t="shared" si="8"/>
        <v>DSL</v>
      </c>
      <c r="Q45" s="1185" t="s">
        <v>940</v>
      </c>
      <c r="R45" s="1185">
        <v>1</v>
      </c>
      <c r="S45" s="1213" t="str">
        <f>Commodities_VT!$C$20</f>
        <v>COMDSL</v>
      </c>
      <c r="T45" s="1185" t="str">
        <f>VLOOKUP(S45,Commodities_VT!$C$18:$R$33,16,FALSE)</f>
        <v>Diesel</v>
      </c>
    </row>
    <row r="46" spans="2:20" ht="14">
      <c r="B46" s="1189" t="s">
        <v>318</v>
      </c>
      <c r="C46" s="1189"/>
      <c r="D46" s="1189" t="str">
        <f t="shared" si="10"/>
        <v>CHTRMWPEN1</v>
      </c>
      <c r="E46" s="817" t="str">
        <f t="shared" si="9"/>
        <v>Commercial Heating Technology Rural Multi - Wood pellets - New 1</v>
      </c>
      <c r="F46" s="1189" t="s">
        <v>317</v>
      </c>
      <c r="G46" s="1189" t="s">
        <v>316</v>
      </c>
      <c r="H46" s="1202" t="s">
        <v>352</v>
      </c>
      <c r="I46" s="1189"/>
      <c r="J46" s="1189"/>
      <c r="K46" s="1189"/>
      <c r="L46" s="1189" t="s">
        <v>883</v>
      </c>
      <c r="M46" s="1185" t="s">
        <v>0</v>
      </c>
      <c r="N46" s="1185" t="s">
        <v>885</v>
      </c>
      <c r="O46" s="1185" t="s">
        <v>872</v>
      </c>
      <c r="P46" s="1185" t="str">
        <f t="shared" si="8"/>
        <v>WPE</v>
      </c>
      <c r="Q46" s="1185" t="s">
        <v>940</v>
      </c>
      <c r="R46" s="1185">
        <v>1</v>
      </c>
      <c r="S46" s="1213" t="str">
        <f>Commodities_VT!$C$22</f>
        <v>COMWPE</v>
      </c>
      <c r="T46" s="1185" t="str">
        <f>VLOOKUP(S46,Commodities_VT!$C$18:$R$33,16,FALSE)</f>
        <v>Wood pellets</v>
      </c>
    </row>
    <row r="47" spans="2:20" ht="14">
      <c r="B47" s="1189" t="s">
        <v>318</v>
      </c>
      <c r="C47" s="1189"/>
      <c r="D47" s="1189" t="str">
        <f t="shared" si="10"/>
        <v>CHTRMFIWN1</v>
      </c>
      <c r="E47" s="817" t="str">
        <f t="shared" si="9"/>
        <v>Commercial Heating Technology Rural Multi - Fire wood - New 1</v>
      </c>
      <c r="F47" s="1189" t="s">
        <v>317</v>
      </c>
      <c r="G47" s="1189" t="s">
        <v>316</v>
      </c>
      <c r="H47" s="1202" t="s">
        <v>352</v>
      </c>
      <c r="I47" s="1189"/>
      <c r="J47" s="1189"/>
      <c r="K47" s="1189"/>
      <c r="L47" s="1189" t="s">
        <v>883</v>
      </c>
      <c r="M47" s="1185" t="s">
        <v>0</v>
      </c>
      <c r="N47" s="1185" t="s">
        <v>885</v>
      </c>
      <c r="O47" s="1185" t="s">
        <v>872</v>
      </c>
      <c r="P47" s="1185" t="str">
        <f t="shared" si="8"/>
        <v>FIW</v>
      </c>
      <c r="Q47" s="1185" t="s">
        <v>940</v>
      </c>
      <c r="R47" s="1185">
        <v>1</v>
      </c>
      <c r="S47" s="1213" t="str">
        <f>Commodities_VT!$C$23</f>
        <v>COMFIW</v>
      </c>
      <c r="T47" s="1185" t="str">
        <f>VLOOKUP(S47,Commodities_VT!$C$18:$R$33,16,FALSE)</f>
        <v>Fire wood</v>
      </c>
    </row>
    <row r="48" spans="2:20" ht="14">
      <c r="B48" s="1189" t="s">
        <v>318</v>
      </c>
      <c r="C48" s="1189"/>
      <c r="D48" s="1189" t="str">
        <f t="shared" si="10"/>
        <v>CHTRMSTRN1</v>
      </c>
      <c r="E48" s="817" t="str">
        <f t="shared" si="9"/>
        <v>Commercial Heating Technology Rural Multi - Straw - New 1</v>
      </c>
      <c r="F48" s="1189" t="s">
        <v>317</v>
      </c>
      <c r="G48" s="1189" t="s">
        <v>316</v>
      </c>
      <c r="H48" s="1202" t="s">
        <v>352</v>
      </c>
      <c r="I48" s="1189"/>
      <c r="J48" s="1189"/>
      <c r="K48" s="1189"/>
      <c r="L48" s="1189" t="s">
        <v>883</v>
      </c>
      <c r="M48" s="1185" t="s">
        <v>0</v>
      </c>
      <c r="N48" s="1185" t="s">
        <v>885</v>
      </c>
      <c r="O48" s="1185" t="s">
        <v>872</v>
      </c>
      <c r="P48" s="1185" t="str">
        <f t="shared" si="8"/>
        <v>STR</v>
      </c>
      <c r="Q48" s="1185" t="s">
        <v>940</v>
      </c>
      <c r="R48" s="1185">
        <v>1</v>
      </c>
      <c r="S48" s="1213" t="str">
        <f>Commodities_VT!$C$24</f>
        <v>COMSTR</v>
      </c>
      <c r="T48" s="1185" t="str">
        <f>VLOOKUP(S48,Commodities_VT!$C$18:$R$33,16,FALSE)</f>
        <v>Straw</v>
      </c>
    </row>
    <row r="49" spans="2:20" ht="14">
      <c r="B49" s="1189" t="s">
        <v>318</v>
      </c>
      <c r="C49" s="1189"/>
      <c r="D49" s="1189" t="str">
        <f t="shared" si="10"/>
        <v>CHTRMSOLN1</v>
      </c>
      <c r="E49" s="817" t="str">
        <f t="shared" si="9"/>
        <v>Commercial Heating Technology Rural Multi - Solar - New 1</v>
      </c>
      <c r="F49" s="1189" t="s">
        <v>317</v>
      </c>
      <c r="G49" s="1189" t="s">
        <v>316</v>
      </c>
      <c r="H49" s="1202" t="s">
        <v>352</v>
      </c>
      <c r="I49" s="1189"/>
      <c r="J49" s="1189"/>
      <c r="K49" s="1189"/>
      <c r="L49" s="1189" t="s">
        <v>883</v>
      </c>
      <c r="M49" s="1185" t="s">
        <v>0</v>
      </c>
      <c r="N49" s="1185" t="s">
        <v>885</v>
      </c>
      <c r="O49" s="1185" t="s">
        <v>872</v>
      </c>
      <c r="P49" s="1185" t="str">
        <f t="shared" si="8"/>
        <v>SOL</v>
      </c>
      <c r="Q49" s="1185" t="s">
        <v>940</v>
      </c>
      <c r="R49" s="1185">
        <v>1</v>
      </c>
      <c r="S49" s="1213" t="str">
        <f>Commodities_VT!$C$26</f>
        <v>COMSOL</v>
      </c>
      <c r="T49" s="1185" t="str">
        <f>VLOOKUP(S49,Commodities_VT!$C$18:$R$33,16,FALSE)</f>
        <v>Solar</v>
      </c>
    </row>
    <row r="50" spans="2:20" ht="14">
      <c r="B50" s="1189" t="s">
        <v>318</v>
      </c>
      <c r="C50" s="1189"/>
      <c r="D50" s="1189" t="str">
        <f t="shared" si="10"/>
        <v>CHTRMELCHN1</v>
      </c>
      <c r="E50" s="1216" t="str">
        <f t="shared" si="9"/>
        <v>Commercial Heating Technology Rural Multi - Electricity Heating - New 1</v>
      </c>
      <c r="F50" s="1189" t="s">
        <v>317</v>
      </c>
      <c r="G50" s="1189" t="s">
        <v>316</v>
      </c>
      <c r="H50" s="1202" t="s">
        <v>352</v>
      </c>
      <c r="I50" s="1189"/>
      <c r="J50" s="1189"/>
      <c r="K50" s="1189"/>
      <c r="L50" s="1189" t="s">
        <v>883</v>
      </c>
      <c r="M50" s="1185" t="s">
        <v>0</v>
      </c>
      <c r="N50" s="1185" t="s">
        <v>885</v>
      </c>
      <c r="O50" s="1185" t="s">
        <v>872</v>
      </c>
      <c r="P50" s="1185" t="str">
        <f t="shared" si="8"/>
        <v>ELCH</v>
      </c>
      <c r="Q50" s="1185" t="s">
        <v>940</v>
      </c>
      <c r="R50" s="1185">
        <v>1</v>
      </c>
      <c r="S50" s="1213" t="str">
        <f>Commodities_VT!$C$27</f>
        <v>COMELCH</v>
      </c>
      <c r="T50" s="1185" t="str">
        <f>VLOOKUP(S50,Commodities_VT!$C$18:$R$33,16,FALSE)</f>
        <v>Electricity Heating</v>
      </c>
    </row>
    <row r="51" spans="2:20" ht="14">
      <c r="B51" s="1189" t="s">
        <v>318</v>
      </c>
      <c r="C51" s="1189"/>
      <c r="D51" s="1189" t="str">
        <f t="shared" si="10"/>
        <v>CHTRMELCHN2</v>
      </c>
      <c r="E51" s="1216" t="e">
        <f t="shared" si="9"/>
        <v>#N/A</v>
      </c>
      <c r="F51" s="1189" t="s">
        <v>317</v>
      </c>
      <c r="G51" s="1189" t="s">
        <v>316</v>
      </c>
      <c r="H51" s="1202" t="s">
        <v>352</v>
      </c>
      <c r="I51" s="1189"/>
      <c r="J51" s="1189"/>
      <c r="K51" s="1189"/>
      <c r="L51" s="1189" t="s">
        <v>883</v>
      </c>
      <c r="M51" s="1185" t="s">
        <v>0</v>
      </c>
      <c r="N51" s="1185" t="s">
        <v>885</v>
      </c>
      <c r="O51" s="1185" t="s">
        <v>872</v>
      </c>
      <c r="P51" s="1185" t="str">
        <f t="shared" si="8"/>
        <v>ELCH</v>
      </c>
      <c r="Q51" s="1185" t="s">
        <v>940</v>
      </c>
      <c r="R51" s="1185">
        <v>2</v>
      </c>
      <c r="S51" s="1213" t="s">
        <v>396</v>
      </c>
      <c r="T51" s="1185" t="e">
        <f>VLOOKUP(S51,Commodities_VT!$C$18:$R$33,16,FALSE)</f>
        <v>#N/A</v>
      </c>
    </row>
    <row r="52" spans="2:20" ht="14">
      <c r="B52" s="1189" t="s">
        <v>318</v>
      </c>
      <c r="C52" s="1189"/>
      <c r="D52" s="1189" t="str">
        <f t="shared" si="10"/>
        <v>CHTRMHCEN1</v>
      </c>
      <c r="E52" s="817" t="str">
        <f t="shared" si="9"/>
        <v>Commercial Heating Technology Rural Multi - District heating Central - New 1</v>
      </c>
      <c r="F52" s="1189" t="s">
        <v>317</v>
      </c>
      <c r="G52" s="1189" t="s">
        <v>316</v>
      </c>
      <c r="H52" s="1202" t="s">
        <v>352</v>
      </c>
      <c r="I52" s="1220"/>
      <c r="J52" s="1189"/>
      <c r="K52" s="1189"/>
      <c r="L52" s="1189" t="s">
        <v>883</v>
      </c>
      <c r="M52" s="1185" t="s">
        <v>0</v>
      </c>
      <c r="N52" s="1185" t="s">
        <v>885</v>
      </c>
      <c r="O52" s="1185" t="s">
        <v>872</v>
      </c>
      <c r="P52" s="1185" t="str">
        <f t="shared" si="8"/>
        <v>HCE</v>
      </c>
      <c r="Q52" s="1185" t="s">
        <v>940</v>
      </c>
      <c r="R52" s="1185">
        <v>1</v>
      </c>
      <c r="S52" s="1213" t="str">
        <f>Commodities_VT!$C$30</f>
        <v>COMHCE</v>
      </c>
      <c r="T52" s="1185" t="str">
        <f>VLOOKUP(S52,Commodities_VT!$C$18:$R$33,16,FALSE)</f>
        <v>District heating Central</v>
      </c>
    </row>
    <row r="53" spans="2:20" ht="14">
      <c r="B53" s="1189" t="s">
        <v>318</v>
      </c>
      <c r="C53" s="1197"/>
      <c r="D53" s="1197" t="str">
        <f t="shared" si="10"/>
        <v>CHTRMLPGN1</v>
      </c>
      <c r="E53" s="1218" t="str">
        <f t="shared" si="9"/>
        <v>Commercial Heating Technology Rural Multi - LPG - New 1</v>
      </c>
      <c r="F53" s="1197" t="s">
        <v>317</v>
      </c>
      <c r="G53" s="1197" t="s">
        <v>316</v>
      </c>
      <c r="H53" s="1203" t="s">
        <v>352</v>
      </c>
      <c r="I53" s="1219"/>
      <c r="J53" s="1197"/>
      <c r="K53" s="1189"/>
      <c r="L53" s="1189" t="s">
        <v>883</v>
      </c>
      <c r="M53" s="1185" t="s">
        <v>0</v>
      </c>
      <c r="N53" s="1185" t="s">
        <v>885</v>
      </c>
      <c r="O53" s="1185" t="s">
        <v>872</v>
      </c>
      <c r="P53" s="1185" t="str">
        <f t="shared" si="8"/>
        <v>LPG</v>
      </c>
      <c r="Q53" s="1185" t="s">
        <v>940</v>
      </c>
      <c r="R53" s="1185">
        <v>1</v>
      </c>
      <c r="S53" s="1215" t="str">
        <f>Commodities_VT!$C$19</f>
        <v>COMLPG</v>
      </c>
      <c r="T53" s="1185" t="str">
        <f>VLOOKUP(S53,Commodities_VT!$C$18:$R$33,16,FALSE)</f>
        <v>LPG</v>
      </c>
    </row>
    <row r="54" spans="2:20" ht="14">
      <c r="B54" s="1189" t="s">
        <v>319</v>
      </c>
      <c r="C54" s="1189"/>
      <c r="D54" s="1189" t="str">
        <f t="shared" si="10"/>
        <v>CCTUMELCAN1</v>
      </c>
      <c r="E54" s="1216" t="str">
        <f t="shared" si="9"/>
        <v>Commercial Cooling Technology Urban Multi - Electricity Appliances - New 1</v>
      </c>
      <c r="F54" s="1189" t="s">
        <v>317</v>
      </c>
      <c r="G54" s="1189" t="s">
        <v>316</v>
      </c>
      <c r="H54" s="1202" t="s">
        <v>352</v>
      </c>
      <c r="I54" s="1217"/>
      <c r="J54" s="1189"/>
      <c r="K54" s="1189"/>
      <c r="L54" s="1189" t="s">
        <v>886</v>
      </c>
      <c r="M54" s="1185" t="s">
        <v>0</v>
      </c>
      <c r="N54" s="1185" t="s">
        <v>885</v>
      </c>
      <c r="O54" s="1185" t="s">
        <v>870</v>
      </c>
      <c r="P54" s="1185" t="str">
        <f t="shared" si="8"/>
        <v>ELCA</v>
      </c>
      <c r="Q54" s="1185" t="s">
        <v>940</v>
      </c>
      <c r="R54" s="1185">
        <v>1</v>
      </c>
      <c r="S54" s="1215" t="str">
        <f>Commodities_VT!$C$29</f>
        <v>COMELCA</v>
      </c>
      <c r="T54" s="1185" t="str">
        <f>VLOOKUP(S54,Commodities_VT!$C$18:$R$33,16,FALSE)</f>
        <v>Electricity Appliances</v>
      </c>
    </row>
    <row r="55" spans="2:20" ht="14">
      <c r="B55" s="1189"/>
      <c r="C55" s="1189"/>
      <c r="D55" s="1189" t="str">
        <f t="shared" si="10"/>
        <v>CCTRMELCAN1</v>
      </c>
      <c r="E55" s="1216" t="str">
        <f t="shared" si="9"/>
        <v>Commercial Cooling Technology Rural Multi - Electricity Appliances - New 1</v>
      </c>
      <c r="F55" s="1189" t="s">
        <v>317</v>
      </c>
      <c r="G55" s="1189" t="s">
        <v>316</v>
      </c>
      <c r="H55" s="1202" t="s">
        <v>352</v>
      </c>
      <c r="I55" s="1217"/>
      <c r="J55" s="1189"/>
      <c r="K55" s="1189"/>
      <c r="L55" s="1189" t="s">
        <v>886</v>
      </c>
      <c r="M55" s="1185" t="s">
        <v>0</v>
      </c>
      <c r="N55" s="1185" t="s">
        <v>885</v>
      </c>
      <c r="O55" s="1185" t="s">
        <v>872</v>
      </c>
      <c r="P55" s="1185" t="str">
        <f t="shared" si="8"/>
        <v>ELCA</v>
      </c>
      <c r="Q55" s="1185" t="s">
        <v>940</v>
      </c>
      <c r="R55" s="1185">
        <v>1</v>
      </c>
      <c r="S55" s="1215" t="str">
        <f>Commodities_VT!$C$29</f>
        <v>COMELCA</v>
      </c>
      <c r="T55" s="1185" t="str">
        <f>VLOOKUP(S55,Commodities_VT!$C$18:$R$33,16,FALSE)</f>
        <v>Electricity Appliances</v>
      </c>
    </row>
    <row r="56" spans="2:20" ht="14">
      <c r="B56" s="1189"/>
      <c r="C56" s="1189"/>
      <c r="D56" s="1189" t="str">
        <f t="shared" si="10"/>
        <v>CCTUDELCAN1</v>
      </c>
      <c r="E56" s="1216" t="str">
        <f t="shared" si="9"/>
        <v>Commercial Cooling Technology Urban Detached - Electricity Appliances - New 1</v>
      </c>
      <c r="F56" s="1189" t="s">
        <v>317</v>
      </c>
      <c r="G56" s="1189" t="s">
        <v>316</v>
      </c>
      <c r="H56" s="1202" t="s">
        <v>352</v>
      </c>
      <c r="I56" s="1217"/>
      <c r="J56" s="1189"/>
      <c r="K56" s="1189"/>
      <c r="L56" s="1189" t="s">
        <v>886</v>
      </c>
      <c r="M56" s="1185" t="s">
        <v>0</v>
      </c>
      <c r="N56" s="1185" t="s">
        <v>871</v>
      </c>
      <c r="O56" s="1185" t="s">
        <v>870</v>
      </c>
      <c r="P56" s="1185" t="str">
        <f t="shared" si="8"/>
        <v>ELCA</v>
      </c>
      <c r="Q56" s="1185" t="s">
        <v>940</v>
      </c>
      <c r="R56" s="1185">
        <v>1</v>
      </c>
      <c r="S56" s="1215" t="str">
        <f>Commodities_VT!$C$29</f>
        <v>COMELCA</v>
      </c>
      <c r="T56" s="1185" t="str">
        <f>VLOOKUP(S56,Commodities_VT!$C$18:$R$33,16,FALSE)</f>
        <v>Electricity Appliances</v>
      </c>
    </row>
    <row r="57" spans="2:20" ht="14">
      <c r="B57" s="1197"/>
      <c r="C57" s="1197"/>
      <c r="D57" s="1197" t="str">
        <f t="shared" si="10"/>
        <v>CCTRDELCAN1</v>
      </c>
      <c r="E57" s="1218" t="str">
        <f t="shared" si="9"/>
        <v>Commercial Cooling Technology Rural Detached - Electricity Appliances - New 1</v>
      </c>
      <c r="F57" s="1197" t="s">
        <v>317</v>
      </c>
      <c r="G57" s="1197" t="s">
        <v>316</v>
      </c>
      <c r="H57" s="1203" t="s">
        <v>352</v>
      </c>
      <c r="I57" s="1219"/>
      <c r="J57" s="1197"/>
      <c r="K57" s="1189"/>
      <c r="L57" s="1189" t="s">
        <v>886</v>
      </c>
      <c r="M57" s="1185" t="s">
        <v>0</v>
      </c>
      <c r="N57" s="1185" t="s">
        <v>871</v>
      </c>
      <c r="O57" s="1185" t="s">
        <v>872</v>
      </c>
      <c r="P57" s="1185" t="str">
        <f t="shared" si="8"/>
        <v>ELCA</v>
      </c>
      <c r="Q57" s="1185" t="s">
        <v>940</v>
      </c>
      <c r="R57" s="1185">
        <v>1</v>
      </c>
      <c r="S57" s="1215" t="str">
        <f>Commodities_VT!$C$29</f>
        <v>COMELCA</v>
      </c>
      <c r="T57" s="1185" t="str">
        <f>VLOOKUP(S57,Commodities_VT!$C$18:$R$33,16,FALSE)</f>
        <v>Electricity Appliances</v>
      </c>
    </row>
    <row r="58" spans="2:20" ht="15">
      <c r="B58" s="127" t="s">
        <v>319</v>
      </c>
      <c r="C58" s="127"/>
      <c r="D58" s="123" t="str">
        <f>"C"&amp;RIGHT(L58,LEN(L58)-1)</f>
        <v>CHTDBNGABN1</v>
      </c>
      <c r="E58" s="123" t="str">
        <f>"Commercial"&amp;RIGHT(M58,LEN(M58)-11)</f>
        <v>Commercial heating technology detached building - natural gas boiler - new 1</v>
      </c>
      <c r="F58" s="127" t="s">
        <v>317</v>
      </c>
      <c r="G58" s="127" t="s">
        <v>316</v>
      </c>
      <c r="H58" s="127" t="s">
        <v>352</v>
      </c>
      <c r="I58" s="126"/>
      <c r="J58" s="126" t="s">
        <v>351</v>
      </c>
      <c r="L58" s="1185" t="s">
        <v>954</v>
      </c>
      <c r="M58" s="1185" t="s">
        <v>274</v>
      </c>
    </row>
    <row r="59" spans="2:20" ht="15">
      <c r="B59" s="127"/>
      <c r="C59" s="127"/>
      <c r="D59" s="123" t="str">
        <f t="shared" ref="D59:D99" si="11">"C"&amp;RIGHT(L59,LEN(L59)-1)</f>
        <v>CHTDBDSLBN1</v>
      </c>
      <c r="E59" s="123" t="str">
        <f t="shared" ref="E59:E99" si="12">"Commercial"&amp;RIGHT(M59,LEN(M59)-11)</f>
        <v>Commercial heating technology detached building - oil boiler - new 1</v>
      </c>
      <c r="F59" s="127" t="s">
        <v>317</v>
      </c>
      <c r="G59" s="127" t="s">
        <v>316</v>
      </c>
      <c r="H59" s="127" t="s">
        <v>352</v>
      </c>
      <c r="I59" s="126"/>
      <c r="J59" s="126" t="s">
        <v>351</v>
      </c>
      <c r="L59" s="1185" t="s">
        <v>955</v>
      </c>
      <c r="M59" s="1185" t="s">
        <v>275</v>
      </c>
    </row>
    <row r="60" spans="2:20" ht="15">
      <c r="B60" s="127"/>
      <c r="C60" s="127"/>
      <c r="D60" s="123" t="str">
        <f t="shared" si="11"/>
        <v>CHTDBWPEBN1</v>
      </c>
      <c r="E60" s="123" t="str">
        <f t="shared" si="12"/>
        <v>Commercial heating technology detached building - biomass boiler automatic stoking - new 1</v>
      </c>
      <c r="F60" s="127" t="s">
        <v>317</v>
      </c>
      <c r="G60" s="127" t="s">
        <v>316</v>
      </c>
      <c r="H60" s="127" t="s">
        <v>352</v>
      </c>
      <c r="I60" s="126"/>
      <c r="J60" s="126" t="s">
        <v>351</v>
      </c>
      <c r="L60" s="1185" t="s">
        <v>956</v>
      </c>
      <c r="M60" s="1185" t="s">
        <v>276</v>
      </c>
    </row>
    <row r="61" spans="2:20" ht="15">
      <c r="B61" s="127"/>
      <c r="C61" s="127"/>
      <c r="D61" s="123" t="str">
        <f t="shared" si="11"/>
        <v>CHTDBFIWBN1</v>
      </c>
      <c r="E61" s="817" t="str">
        <f t="shared" si="12"/>
        <v>Commercial heating technology detached building - Firewoods - new 1</v>
      </c>
      <c r="F61" s="816" t="s">
        <v>317</v>
      </c>
      <c r="G61" s="816" t="s">
        <v>316</v>
      </c>
      <c r="H61" s="818" t="s">
        <v>352</v>
      </c>
      <c r="I61" s="126"/>
      <c r="J61" s="126"/>
      <c r="L61" s="1185" t="s">
        <v>957</v>
      </c>
      <c r="M61" s="1185" t="s">
        <v>743</v>
      </c>
    </row>
    <row r="62" spans="2:20" ht="15">
      <c r="B62" s="127"/>
      <c r="C62" s="127"/>
      <c r="D62" s="123" t="str">
        <f t="shared" si="11"/>
        <v>CHTDBELCXN1</v>
      </c>
      <c r="E62" s="123" t="str">
        <f t="shared" si="12"/>
        <v>Commercial heating technology detached building - direct eletrical heating - new 1</v>
      </c>
      <c r="F62" s="127" t="s">
        <v>317</v>
      </c>
      <c r="G62" s="127" t="s">
        <v>316</v>
      </c>
      <c r="H62" s="127" t="s">
        <v>352</v>
      </c>
      <c r="I62" s="126"/>
      <c r="J62" s="126" t="s">
        <v>351</v>
      </c>
      <c r="L62" s="1185" t="s">
        <v>337</v>
      </c>
      <c r="M62" s="1185" t="s">
        <v>277</v>
      </c>
    </row>
    <row r="63" spans="2:20" ht="15">
      <c r="B63" s="127"/>
      <c r="C63" s="127"/>
      <c r="D63" s="123" t="str">
        <f t="shared" si="11"/>
        <v>CHTDBELCXN2E</v>
      </c>
      <c r="E63" s="122" t="str">
        <f t="shared" si="12"/>
        <v>Commercial heating technology detached building - Heat pump, air-to-air - new 2, existing buildings</v>
      </c>
      <c r="F63" s="127" t="s">
        <v>317</v>
      </c>
      <c r="G63" s="127" t="s">
        <v>316</v>
      </c>
      <c r="H63" s="127" t="s">
        <v>352</v>
      </c>
      <c r="I63" s="126"/>
      <c r="J63" s="126" t="s">
        <v>351</v>
      </c>
      <c r="L63" s="1185" t="s">
        <v>812</v>
      </c>
      <c r="M63" s="1185" t="s">
        <v>813</v>
      </c>
    </row>
    <row r="64" spans="2:20" ht="15">
      <c r="B64" s="127"/>
      <c r="C64" s="127"/>
      <c r="D64" s="123" t="str">
        <f t="shared" si="11"/>
        <v>CHTDBELCXN3E</v>
      </c>
      <c r="E64" s="122" t="str">
        <f t="shared" si="12"/>
        <v>Commercial heating technology detached building - Heat pump, air-to-water - new 3, existing buildings</v>
      </c>
      <c r="F64" s="127" t="s">
        <v>317</v>
      </c>
      <c r="G64" s="127" t="s">
        <v>316</v>
      </c>
      <c r="H64" s="127" t="s">
        <v>352</v>
      </c>
      <c r="I64" s="126"/>
      <c r="J64" s="126" t="s">
        <v>351</v>
      </c>
      <c r="L64" s="1185" t="s">
        <v>811</v>
      </c>
      <c r="M64" s="1185" t="s">
        <v>814</v>
      </c>
    </row>
    <row r="65" spans="2:13" ht="15">
      <c r="B65" s="127"/>
      <c r="C65" s="127"/>
      <c r="D65" s="123" t="str">
        <f t="shared" si="11"/>
        <v>CHTDBELCXN4E</v>
      </c>
      <c r="E65" s="122" t="str">
        <f t="shared" si="12"/>
        <v>Commercial heating technology detached building - Heat pump, brine-to-water - new 4, existing buildings</v>
      </c>
      <c r="F65" s="127" t="s">
        <v>317</v>
      </c>
      <c r="G65" s="127" t="s">
        <v>316</v>
      </c>
      <c r="H65" s="127" t="s">
        <v>352</v>
      </c>
      <c r="I65" s="126"/>
      <c r="J65" s="126" t="s">
        <v>351</v>
      </c>
      <c r="L65" s="1185" t="s">
        <v>810</v>
      </c>
      <c r="M65" s="1185" t="s">
        <v>815</v>
      </c>
    </row>
    <row r="66" spans="2:13" ht="15">
      <c r="B66" s="127" t="s">
        <v>318</v>
      </c>
      <c r="C66" s="127"/>
      <c r="D66" s="123" t="str">
        <f t="shared" si="11"/>
        <v>CHTDBELCXN2N</v>
      </c>
      <c r="E66" s="122" t="str">
        <f t="shared" si="12"/>
        <v>Commercial heating technology detached building - Heat pump, air-to-air - new 2, existing buildings</v>
      </c>
      <c r="F66" s="127" t="s">
        <v>317</v>
      </c>
      <c r="G66" s="127" t="s">
        <v>316</v>
      </c>
      <c r="H66" s="127" t="s">
        <v>352</v>
      </c>
      <c r="I66" s="126"/>
      <c r="J66" s="126" t="s">
        <v>351</v>
      </c>
      <c r="L66" s="1185" t="s">
        <v>807</v>
      </c>
      <c r="M66" s="1185" t="s">
        <v>813</v>
      </c>
    </row>
    <row r="67" spans="2:13" ht="15">
      <c r="B67" s="127" t="s">
        <v>318</v>
      </c>
      <c r="C67" s="127"/>
      <c r="D67" s="123" t="str">
        <f t="shared" si="11"/>
        <v>CHTDBELCXN3N</v>
      </c>
      <c r="E67" s="122" t="str">
        <f t="shared" si="12"/>
        <v>Commercial heating technology detached building - Heat pump, air-to-water - new 3, existing buildings</v>
      </c>
      <c r="F67" s="127" t="s">
        <v>317</v>
      </c>
      <c r="G67" s="127" t="s">
        <v>316</v>
      </c>
      <c r="H67" s="127" t="s">
        <v>352</v>
      </c>
      <c r="I67" s="126"/>
      <c r="J67" s="126" t="s">
        <v>351</v>
      </c>
      <c r="L67" s="1185" t="s">
        <v>808</v>
      </c>
      <c r="M67" s="1185" t="s">
        <v>814</v>
      </c>
    </row>
    <row r="68" spans="2:13" ht="15">
      <c r="B68" s="127" t="s">
        <v>318</v>
      </c>
      <c r="C68" s="127"/>
      <c r="D68" s="123" t="str">
        <f t="shared" si="11"/>
        <v>CHTDBELCXN4N</v>
      </c>
      <c r="E68" s="122" t="str">
        <f t="shared" si="12"/>
        <v>Commercial heating technology detached building - Heat pump, brine-to-water - new 4, existing buildings</v>
      </c>
      <c r="F68" s="127" t="s">
        <v>317</v>
      </c>
      <c r="G68" s="127" t="s">
        <v>316</v>
      </c>
      <c r="H68" s="127" t="s">
        <v>352</v>
      </c>
      <c r="I68" s="126"/>
      <c r="J68" s="126" t="s">
        <v>351</v>
      </c>
      <c r="L68" s="1185" t="s">
        <v>809</v>
      </c>
      <c r="M68" s="1185" t="s">
        <v>815</v>
      </c>
    </row>
    <row r="69" spans="2:13" ht="15">
      <c r="B69" s="120"/>
      <c r="C69" s="127"/>
      <c r="D69" s="123" t="str">
        <f t="shared" si="11"/>
        <v>CHTDBSOLXN1</v>
      </c>
      <c r="E69" s="123" t="str">
        <f t="shared" si="12"/>
        <v>Commercial heating technology detached building - solar - new 1</v>
      </c>
      <c r="F69" s="127" t="s">
        <v>317</v>
      </c>
      <c r="G69" s="127" t="s">
        <v>316</v>
      </c>
      <c r="H69" s="127" t="s">
        <v>352</v>
      </c>
      <c r="I69" s="126"/>
      <c r="J69" s="126" t="s">
        <v>351</v>
      </c>
      <c r="L69" s="1185" t="s">
        <v>338</v>
      </c>
      <c r="M69" s="1185" t="s">
        <v>289</v>
      </c>
    </row>
    <row r="70" spans="2:13" ht="15">
      <c r="B70" s="127"/>
      <c r="C70" s="127"/>
      <c r="D70" s="123" t="str">
        <f t="shared" si="11"/>
        <v>CHTDBNGABN2</v>
      </c>
      <c r="E70" s="123" t="str">
        <f t="shared" si="12"/>
        <v>Commercial heating technology detached building - Heat pump,gas absorption, air-to-water - new 2</v>
      </c>
      <c r="F70" s="127" t="s">
        <v>317</v>
      </c>
      <c r="G70" s="127" t="s">
        <v>316</v>
      </c>
      <c r="H70" s="127" t="s">
        <v>352</v>
      </c>
      <c r="I70" s="126"/>
      <c r="J70" s="126" t="s">
        <v>351</v>
      </c>
      <c r="L70" s="1185" t="s">
        <v>339</v>
      </c>
      <c r="M70" s="1185" t="s">
        <v>288</v>
      </c>
    </row>
    <row r="71" spans="2:13" ht="15">
      <c r="B71" s="127"/>
      <c r="C71" s="127"/>
      <c r="D71" s="123" t="str">
        <f t="shared" si="11"/>
        <v>CHTDBNGABN3</v>
      </c>
      <c r="E71" s="123" t="str">
        <f t="shared" si="12"/>
        <v>Commercial heating technology detached building - Heat pump,gas absorption, brine-to-water - new 3</v>
      </c>
      <c r="F71" s="127" t="s">
        <v>317</v>
      </c>
      <c r="G71" s="127" t="s">
        <v>316</v>
      </c>
      <c r="H71" s="127" t="s">
        <v>352</v>
      </c>
      <c r="I71" s="126"/>
      <c r="J71" s="126" t="s">
        <v>351</v>
      </c>
      <c r="L71" s="1185" t="s">
        <v>340</v>
      </c>
      <c r="M71" s="1185" t="s">
        <v>287</v>
      </c>
    </row>
    <row r="72" spans="2:13" ht="15">
      <c r="B72" s="127" t="s">
        <v>318</v>
      </c>
      <c r="C72" s="127"/>
      <c r="D72" s="123" t="str">
        <f t="shared" si="11"/>
        <v>CHTDBNGABN4</v>
      </c>
      <c r="E72" s="123" t="str">
        <f t="shared" si="12"/>
        <v>Commercial heating technology detached building - Heat pump,gas engine, air-to-water - new 4</v>
      </c>
      <c r="F72" s="127" t="s">
        <v>317</v>
      </c>
      <c r="G72" s="127" t="s">
        <v>316</v>
      </c>
      <c r="H72" s="127" t="s">
        <v>352</v>
      </c>
      <c r="I72" s="126"/>
      <c r="J72" s="126" t="s">
        <v>351</v>
      </c>
      <c r="L72" s="1185" t="s">
        <v>958</v>
      </c>
      <c r="M72" s="1185" t="s">
        <v>284</v>
      </c>
    </row>
    <row r="73" spans="2:13" ht="15">
      <c r="B73" s="127" t="s">
        <v>318</v>
      </c>
      <c r="C73" s="127"/>
      <c r="D73" s="123" t="str">
        <f t="shared" si="11"/>
        <v>CHTDBNGABN5</v>
      </c>
      <c r="E73" s="123" t="str">
        <f t="shared" si="12"/>
        <v>Commercial heating technology detached building - Heat pump,gas engine, brine-to-water - new 5</v>
      </c>
      <c r="F73" s="127" t="s">
        <v>317</v>
      </c>
      <c r="G73" s="127" t="s">
        <v>316</v>
      </c>
      <c r="H73" s="127" t="s">
        <v>352</v>
      </c>
      <c r="I73" s="126"/>
      <c r="J73" s="126" t="s">
        <v>351</v>
      </c>
      <c r="L73" s="1185" t="s">
        <v>959</v>
      </c>
      <c r="M73" s="1185" t="s">
        <v>285</v>
      </c>
    </row>
    <row r="74" spans="2:13" ht="15">
      <c r="B74" s="127"/>
      <c r="C74" s="127"/>
      <c r="D74" s="123" t="str">
        <f t="shared" si="11"/>
        <v>CHTDBNGABN6</v>
      </c>
      <c r="E74" s="121" t="str">
        <f t="shared" si="12"/>
        <v>Commercial heating technology detached building - Heat pump,gas adsoption, air-to-water - new 6</v>
      </c>
      <c r="F74" s="125" t="s">
        <v>317</v>
      </c>
      <c r="G74" s="125" t="s">
        <v>316</v>
      </c>
      <c r="H74" s="125" t="s">
        <v>352</v>
      </c>
      <c r="I74" s="124"/>
      <c r="J74" s="124" t="s">
        <v>351</v>
      </c>
      <c r="L74" s="1185" t="s">
        <v>341</v>
      </c>
      <c r="M74" s="1185" t="s">
        <v>286</v>
      </c>
    </row>
    <row r="75" spans="2:13" ht="15">
      <c r="B75" s="127"/>
      <c r="C75" s="127"/>
      <c r="D75" s="123" t="str">
        <f t="shared" si="11"/>
        <v>CHTDBHCEBN1</v>
      </c>
      <c r="E75" s="127" t="str">
        <f t="shared" si="12"/>
        <v>Commercial heating technology detached building - heat exchangers -centralised - new 1</v>
      </c>
      <c r="F75" s="127" t="s">
        <v>317</v>
      </c>
      <c r="G75" s="127" t="s">
        <v>316</v>
      </c>
      <c r="H75" s="127" t="s">
        <v>352</v>
      </c>
      <c r="I75" s="126"/>
      <c r="J75" s="126" t="s">
        <v>351</v>
      </c>
      <c r="L75" s="1185" t="s">
        <v>390</v>
      </c>
      <c r="M75" s="1185" t="s">
        <v>729</v>
      </c>
    </row>
    <row r="76" spans="2:13" ht="15">
      <c r="B76" s="127"/>
      <c r="C76" s="127"/>
      <c r="D76" s="123" t="str">
        <f>"C"&amp;RIGHT(L76,LEN(L76)-1)</f>
        <v>CHTDBHSEBN1</v>
      </c>
      <c r="E76" s="127" t="str">
        <f t="shared" ref="E76" si="13">"Commercial"&amp;RIGHT(M76,LEN(M76)-11)</f>
        <v>Commercial heating technology detached building - heat exchangers -centralised - new 1</v>
      </c>
      <c r="F76" s="127" t="s">
        <v>317</v>
      </c>
      <c r="G76" s="127" t="s">
        <v>316</v>
      </c>
      <c r="H76" s="127" t="s">
        <v>352</v>
      </c>
      <c r="I76" s="126"/>
      <c r="J76" s="126" t="s">
        <v>351</v>
      </c>
      <c r="L76" s="1185" t="s">
        <v>986</v>
      </c>
      <c r="M76" s="1185" t="s">
        <v>729</v>
      </c>
    </row>
    <row r="77" spans="2:13" ht="15">
      <c r="B77" s="127"/>
      <c r="C77" s="127"/>
      <c r="D77" s="123" t="str">
        <f t="shared" si="11"/>
        <v>CHTDBHDEBN1</v>
      </c>
      <c r="E77" s="127" t="str">
        <f t="shared" si="12"/>
        <v>Commercial heating technology detached building - heat excghanger- decentralised - new 1</v>
      </c>
      <c r="F77" s="127" t="s">
        <v>317</v>
      </c>
      <c r="G77" s="127" t="s">
        <v>316</v>
      </c>
      <c r="H77" s="127" t="s">
        <v>352</v>
      </c>
      <c r="I77" s="126"/>
      <c r="J77" s="126" t="s">
        <v>351</v>
      </c>
      <c r="L77" s="1185" t="s">
        <v>391</v>
      </c>
      <c r="M77" s="1185" t="s">
        <v>730</v>
      </c>
    </row>
    <row r="78" spans="2:13" ht="15">
      <c r="B78" s="96"/>
      <c r="C78" s="127"/>
      <c r="D78" s="123" t="str">
        <f t="shared" si="11"/>
        <v>CHTDBHCEBN2</v>
      </c>
      <c r="E78" s="127" t="str">
        <f t="shared" si="12"/>
        <v>Commercial heat tech detached build - heat exchanger+connect pipe+meter - centralised - new 2</v>
      </c>
      <c r="F78" s="127" t="s">
        <v>317</v>
      </c>
      <c r="G78" s="127" t="s">
        <v>316</v>
      </c>
      <c r="H78" s="127" t="s">
        <v>352</v>
      </c>
      <c r="I78" s="126"/>
      <c r="J78" s="126" t="s">
        <v>351</v>
      </c>
      <c r="L78" s="1185" t="s">
        <v>727</v>
      </c>
      <c r="M78" s="1185" t="s">
        <v>768</v>
      </c>
    </row>
    <row r="79" spans="2:13" ht="15">
      <c r="B79" s="96"/>
      <c r="C79" s="127"/>
      <c r="D79" s="123" t="str">
        <f t="shared" si="11"/>
        <v>CHTDBHDEBN2</v>
      </c>
      <c r="E79" s="127" t="str">
        <f t="shared" si="12"/>
        <v>Commercial heat tech detached build - heat exchanger+connect pipe+meter - decentralised - new 2</v>
      </c>
      <c r="F79" s="127" t="s">
        <v>317</v>
      </c>
      <c r="G79" s="127" t="s">
        <v>316</v>
      </c>
      <c r="H79" s="127" t="s">
        <v>352</v>
      </c>
      <c r="I79" s="126"/>
      <c r="J79" s="126" t="s">
        <v>351</v>
      </c>
      <c r="L79" s="1185" t="s">
        <v>728</v>
      </c>
      <c r="M79" s="1185" t="s">
        <v>769</v>
      </c>
    </row>
    <row r="80" spans="2:13" ht="15">
      <c r="B80" s="127"/>
      <c r="C80" s="127"/>
      <c r="D80" s="123" t="str">
        <f t="shared" si="11"/>
        <v>CHTMBNGABN1</v>
      </c>
      <c r="E80" s="123" t="str">
        <f t="shared" si="12"/>
        <v>Commercial heating technology multistorey building - natural gas boiler - new 1</v>
      </c>
      <c r="F80" s="127" t="s">
        <v>317</v>
      </c>
      <c r="G80" s="127" t="s">
        <v>316</v>
      </c>
      <c r="H80" s="127" t="s">
        <v>352</v>
      </c>
      <c r="I80" s="126"/>
      <c r="J80" s="126" t="s">
        <v>351</v>
      </c>
      <c r="K80" s="126"/>
      <c r="L80" s="1185" t="s">
        <v>342</v>
      </c>
      <c r="M80" s="1185" t="s">
        <v>356</v>
      </c>
    </row>
    <row r="81" spans="2:13" ht="15">
      <c r="B81" s="127"/>
      <c r="C81" s="127"/>
      <c r="D81" s="123" t="str">
        <f t="shared" si="11"/>
        <v>CHTMBDSLBN1</v>
      </c>
      <c r="E81" s="123" t="str">
        <f t="shared" si="12"/>
        <v>Commercial heating technology multistorey building - oil boiler - new 1</v>
      </c>
      <c r="F81" s="127" t="s">
        <v>317</v>
      </c>
      <c r="G81" s="127" t="s">
        <v>316</v>
      </c>
      <c r="H81" s="127" t="s">
        <v>352</v>
      </c>
      <c r="I81" s="126"/>
      <c r="J81" s="126" t="s">
        <v>351</v>
      </c>
      <c r="K81" s="126"/>
      <c r="L81" s="1185" t="s">
        <v>343</v>
      </c>
      <c r="M81" s="1185" t="s">
        <v>357</v>
      </c>
    </row>
    <row r="82" spans="2:13" ht="15">
      <c r="B82" s="127"/>
      <c r="C82" s="127"/>
      <c r="D82" s="123" t="str">
        <f t="shared" si="11"/>
        <v>CHTMBCPWBN1</v>
      </c>
      <c r="E82" s="123" t="str">
        <f t="shared" si="12"/>
        <v>Commercial heating technology multistorey building - biomass boiler automatic stoking - new 1</v>
      </c>
      <c r="F82" s="127" t="s">
        <v>317</v>
      </c>
      <c r="G82" s="127" t="s">
        <v>316</v>
      </c>
      <c r="H82" s="127" t="s">
        <v>352</v>
      </c>
      <c r="I82" s="126"/>
      <c r="J82" s="126" t="s">
        <v>351</v>
      </c>
      <c r="K82" s="126"/>
      <c r="L82" s="1185" t="s">
        <v>344</v>
      </c>
      <c r="M82" s="1185" t="s">
        <v>358</v>
      </c>
    </row>
    <row r="83" spans="2:13" ht="15">
      <c r="B83" s="127"/>
      <c r="C83" s="127"/>
      <c r="D83" s="123" t="str">
        <f t="shared" si="11"/>
        <v>CHTMBELCXN1</v>
      </c>
      <c r="E83" s="123" t="str">
        <f t="shared" si="12"/>
        <v>Commercial heating technology multistorey building - direct eletrical heating - new 1</v>
      </c>
      <c r="F83" s="127" t="s">
        <v>317</v>
      </c>
      <c r="G83" s="127" t="s">
        <v>316</v>
      </c>
      <c r="H83" s="127" t="s">
        <v>352</v>
      </c>
      <c r="I83" s="126"/>
      <c r="J83" s="126" t="s">
        <v>351</v>
      </c>
      <c r="K83" s="126"/>
      <c r="L83" s="1185" t="s">
        <v>345</v>
      </c>
      <c r="M83" s="1185" t="s">
        <v>359</v>
      </c>
    </row>
    <row r="84" spans="2:13" ht="15">
      <c r="B84" s="127" t="s">
        <v>318</v>
      </c>
      <c r="C84" s="127"/>
      <c r="D84" s="123" t="str">
        <f t="shared" si="11"/>
        <v>CHTMBELCXN2</v>
      </c>
      <c r="E84" s="123" t="str">
        <f t="shared" si="12"/>
        <v>Commercial heating technology multistorey building - Heat pump, air-to-air - new 2</v>
      </c>
      <c r="F84" s="127" t="s">
        <v>317</v>
      </c>
      <c r="G84" s="127" t="s">
        <v>316</v>
      </c>
      <c r="H84" s="127" t="s">
        <v>352</v>
      </c>
      <c r="I84" s="126"/>
      <c r="J84" s="126" t="s">
        <v>351</v>
      </c>
      <c r="K84" s="126"/>
      <c r="L84" s="1185" t="s">
        <v>960</v>
      </c>
      <c r="M84" s="1185" t="s">
        <v>360</v>
      </c>
    </row>
    <row r="85" spans="2:13" ht="15">
      <c r="B85" s="127"/>
      <c r="C85" s="127"/>
      <c r="D85" s="123" t="str">
        <f t="shared" si="11"/>
        <v>CHTMBELCXN3E</v>
      </c>
      <c r="E85" s="123" t="str">
        <f t="shared" si="12"/>
        <v>Commercial heating technology multistorey building - Heat pump, air-to-water - new 3 - existing buildings</v>
      </c>
      <c r="F85" s="127" t="s">
        <v>317</v>
      </c>
      <c r="G85" s="127" t="s">
        <v>316</v>
      </c>
      <c r="H85" s="127" t="s">
        <v>352</v>
      </c>
      <c r="I85" s="126"/>
      <c r="J85" s="126" t="s">
        <v>351</v>
      </c>
      <c r="K85" s="126"/>
      <c r="L85" s="1185" t="s">
        <v>822</v>
      </c>
      <c r="M85" s="1185" t="s">
        <v>826</v>
      </c>
    </row>
    <row r="86" spans="2:13" ht="15">
      <c r="B86" s="127"/>
      <c r="C86" s="127"/>
      <c r="D86" s="123" t="str">
        <f t="shared" si="11"/>
        <v>CHTMBELCXN4E</v>
      </c>
      <c r="E86" s="123" t="str">
        <f t="shared" si="12"/>
        <v>Commercial heating technology multistorey building - Heat pump, brine-to-water - new 4 - existing buildings</v>
      </c>
      <c r="F86" s="127" t="s">
        <v>317</v>
      </c>
      <c r="G86" s="127" t="s">
        <v>316</v>
      </c>
      <c r="H86" s="127" t="s">
        <v>352</v>
      </c>
      <c r="I86" s="126"/>
      <c r="J86" s="126" t="s">
        <v>351</v>
      </c>
      <c r="K86" s="126"/>
      <c r="L86" s="1185" t="s">
        <v>823</v>
      </c>
      <c r="M86" s="1185" t="s">
        <v>827</v>
      </c>
    </row>
    <row r="87" spans="2:13" ht="15">
      <c r="B87" s="127" t="s">
        <v>318</v>
      </c>
      <c r="C87" s="127"/>
      <c r="D87" s="123" t="str">
        <f t="shared" si="11"/>
        <v>CHTMBELCXN3N</v>
      </c>
      <c r="E87" s="123" t="str">
        <f t="shared" si="12"/>
        <v>Commercial heating technology multistorey building - Heat pump, air-to-water - new 3 - new buildings</v>
      </c>
      <c r="F87" s="127" t="s">
        <v>317</v>
      </c>
      <c r="G87" s="127" t="s">
        <v>316</v>
      </c>
      <c r="H87" s="127" t="s">
        <v>352</v>
      </c>
      <c r="I87" s="126"/>
      <c r="J87" s="126" t="s">
        <v>351</v>
      </c>
      <c r="K87" s="126"/>
      <c r="L87" s="1185" t="s">
        <v>824</v>
      </c>
      <c r="M87" s="1185" t="s">
        <v>828</v>
      </c>
    </row>
    <row r="88" spans="2:13" ht="15">
      <c r="B88" s="127" t="s">
        <v>318</v>
      </c>
      <c r="C88" s="127"/>
      <c r="D88" s="123" t="str">
        <f t="shared" si="11"/>
        <v>CHTMBELCXN4N</v>
      </c>
      <c r="E88" s="123" t="str">
        <f t="shared" si="12"/>
        <v>Commercial heating technology multistorey building - Heat pump, brine-to-water - new 4 - new buildings</v>
      </c>
      <c r="F88" s="127" t="s">
        <v>317</v>
      </c>
      <c r="G88" s="127" t="s">
        <v>316</v>
      </c>
      <c r="H88" s="127" t="s">
        <v>352</v>
      </c>
      <c r="I88" s="126"/>
      <c r="J88" s="126" t="s">
        <v>351</v>
      </c>
      <c r="K88" s="126"/>
      <c r="L88" s="1185" t="s">
        <v>825</v>
      </c>
      <c r="M88" s="1185" t="s">
        <v>829</v>
      </c>
    </row>
    <row r="89" spans="2:13" ht="15">
      <c r="B89" s="120"/>
      <c r="C89" s="127"/>
      <c r="D89" s="123" t="str">
        <f t="shared" si="11"/>
        <v>CHTMBSOLXN1</v>
      </c>
      <c r="E89" s="123" t="str">
        <f t="shared" si="12"/>
        <v>Commercial heating technology multistorey building - solar - new 1</v>
      </c>
      <c r="F89" s="127" t="s">
        <v>317</v>
      </c>
      <c r="G89" s="127" t="s">
        <v>316</v>
      </c>
      <c r="H89" s="127" t="s">
        <v>352</v>
      </c>
      <c r="I89" s="126"/>
      <c r="J89" s="126" t="s">
        <v>351</v>
      </c>
      <c r="K89" s="126"/>
      <c r="L89" s="1185" t="s">
        <v>346</v>
      </c>
      <c r="M89" s="1185" t="s">
        <v>361</v>
      </c>
    </row>
    <row r="90" spans="2:13" ht="15">
      <c r="B90" s="127"/>
      <c r="C90" s="127"/>
      <c r="D90" s="123" t="str">
        <f t="shared" si="11"/>
        <v>CHTMBNGABN2</v>
      </c>
      <c r="E90" s="123" t="str">
        <f t="shared" si="12"/>
        <v>Commercial heating technology multistorey building - Heat pump,gas absorption, air-to-water - new 2</v>
      </c>
      <c r="F90" s="127" t="s">
        <v>317</v>
      </c>
      <c r="G90" s="127" t="s">
        <v>316</v>
      </c>
      <c r="H90" s="127" t="s">
        <v>352</v>
      </c>
      <c r="I90" s="126"/>
      <c r="J90" s="126" t="s">
        <v>351</v>
      </c>
      <c r="K90" s="126"/>
      <c r="L90" s="1185" t="s">
        <v>347</v>
      </c>
      <c r="M90" s="1185" t="s">
        <v>362</v>
      </c>
    </row>
    <row r="91" spans="2:13" ht="15">
      <c r="B91" s="127"/>
      <c r="C91" s="127"/>
      <c r="D91" s="123" t="str">
        <f t="shared" si="11"/>
        <v>CHTMBNGABN3</v>
      </c>
      <c r="E91" s="123" t="str">
        <f t="shared" si="12"/>
        <v>Commercial heating technology multistorey building - Heat pump,gas absorption, brine-to-water - new 3</v>
      </c>
      <c r="F91" s="127" t="s">
        <v>317</v>
      </c>
      <c r="G91" s="127" t="s">
        <v>316</v>
      </c>
      <c r="H91" s="127" t="s">
        <v>352</v>
      </c>
      <c r="I91" s="126"/>
      <c r="J91" s="126" t="s">
        <v>351</v>
      </c>
      <c r="K91" s="126"/>
      <c r="L91" s="1185" t="s">
        <v>348</v>
      </c>
      <c r="M91" s="1185" t="s">
        <v>363</v>
      </c>
    </row>
    <row r="92" spans="2:13" ht="15">
      <c r="B92" s="127"/>
      <c r="C92" s="127"/>
      <c r="D92" s="123" t="str">
        <f t="shared" si="11"/>
        <v>CHTMBNGABN4</v>
      </c>
      <c r="E92" s="123" t="str">
        <f t="shared" si="12"/>
        <v>Commercial heating technology multistorey building - Heat pump,gas engine, air-to-water - new 4</v>
      </c>
      <c r="F92" s="127" t="s">
        <v>317</v>
      </c>
      <c r="G92" s="127" t="s">
        <v>316</v>
      </c>
      <c r="H92" s="127" t="s">
        <v>352</v>
      </c>
      <c r="I92" s="126"/>
      <c r="J92" s="126" t="s">
        <v>351</v>
      </c>
      <c r="K92" s="126"/>
      <c r="L92" s="1185" t="s">
        <v>349</v>
      </c>
      <c r="M92" s="1185" t="s">
        <v>364</v>
      </c>
    </row>
    <row r="93" spans="2:13" ht="15">
      <c r="B93" s="127"/>
      <c r="C93" s="127"/>
      <c r="D93" s="123" t="str">
        <f t="shared" si="11"/>
        <v>CHTMBNGABN5</v>
      </c>
      <c r="E93" s="123" t="str">
        <f t="shared" si="12"/>
        <v>Commercial heating technology multistorey building - Heat pump,gas engine, brine-to-water - new 5</v>
      </c>
      <c r="F93" s="127" t="s">
        <v>317</v>
      </c>
      <c r="G93" s="127" t="s">
        <v>316</v>
      </c>
      <c r="H93" s="127" t="s">
        <v>352</v>
      </c>
      <c r="I93" s="126"/>
      <c r="J93" s="126" t="s">
        <v>351</v>
      </c>
      <c r="K93" s="126"/>
      <c r="L93" s="1185" t="s">
        <v>350</v>
      </c>
      <c r="M93" s="1185" t="s">
        <v>365</v>
      </c>
    </row>
    <row r="94" spans="2:13" ht="15">
      <c r="B94" s="127"/>
      <c r="C94" s="127"/>
      <c r="D94" s="123" t="str">
        <f t="shared" si="11"/>
        <v>CHTMBNGABN6</v>
      </c>
      <c r="E94" s="121" t="str">
        <f t="shared" si="12"/>
        <v>Commercial heating technology multistorey building - Heat pump,gas adsoption, air-to-water - new 6</v>
      </c>
      <c r="F94" s="125" t="s">
        <v>317</v>
      </c>
      <c r="G94" s="125" t="s">
        <v>316</v>
      </c>
      <c r="H94" s="125" t="s">
        <v>352</v>
      </c>
      <c r="I94" s="124"/>
      <c r="J94" s="124" t="s">
        <v>351</v>
      </c>
      <c r="K94" s="124"/>
      <c r="L94" s="1185" t="s">
        <v>961</v>
      </c>
      <c r="M94" s="1185" t="s">
        <v>366</v>
      </c>
    </row>
    <row r="95" spans="2:13" ht="15">
      <c r="B95" s="127"/>
      <c r="C95" s="127"/>
      <c r="D95" s="123" t="str">
        <f t="shared" si="11"/>
        <v>CHTMBHCEBN1</v>
      </c>
      <c r="E95" s="127" t="str">
        <f t="shared" si="12"/>
        <v>Commercial heating technology multistorey building - heat exchangers - heat centralised - new 1</v>
      </c>
      <c r="F95" s="127" t="s">
        <v>317</v>
      </c>
      <c r="G95" s="127" t="s">
        <v>316</v>
      </c>
      <c r="H95" s="127" t="s">
        <v>352</v>
      </c>
      <c r="I95" s="126"/>
      <c r="J95" s="126" t="s">
        <v>351</v>
      </c>
      <c r="K95" s="126"/>
      <c r="L95" s="1185" t="s">
        <v>388</v>
      </c>
      <c r="M95" s="1185" t="s">
        <v>766</v>
      </c>
    </row>
    <row r="96" spans="2:13" ht="15">
      <c r="B96" s="127"/>
      <c r="C96" s="127"/>
      <c r="D96" s="123" t="str">
        <f t="shared" ref="D96" si="14">"C"&amp;RIGHT(L96,LEN(L96)-1)</f>
        <v>CHTMBHSEBN1</v>
      </c>
      <c r="E96" s="127" t="str">
        <f t="shared" ref="E96" si="15">"Commercial"&amp;RIGHT(M96,LEN(M96)-11)</f>
        <v>Commercial heating technology multistorey building - heat exchangers - heat centralised - new 1</v>
      </c>
      <c r="F96" s="127" t="s">
        <v>317</v>
      </c>
      <c r="G96" s="127" t="s">
        <v>316</v>
      </c>
      <c r="H96" s="127" t="s">
        <v>352</v>
      </c>
      <c r="I96" s="126"/>
      <c r="J96" s="126" t="s">
        <v>351</v>
      </c>
      <c r="K96" s="126"/>
      <c r="L96" s="1185" t="s">
        <v>987</v>
      </c>
      <c r="M96" s="1185" t="s">
        <v>766</v>
      </c>
    </row>
    <row r="97" spans="2:13" ht="15">
      <c r="B97" s="127"/>
      <c r="C97" s="127"/>
      <c r="D97" s="123" t="str">
        <f t="shared" si="11"/>
        <v>CHTMBHDEBN1</v>
      </c>
      <c r="E97" s="127" t="str">
        <f t="shared" si="12"/>
        <v>Commercial heating technology multistorey building - heat exchangers -heat decentralised - new 1</v>
      </c>
      <c r="F97" s="127" t="s">
        <v>317</v>
      </c>
      <c r="G97" s="127" t="s">
        <v>316</v>
      </c>
      <c r="H97" s="127" t="s">
        <v>352</v>
      </c>
      <c r="I97" s="126"/>
      <c r="J97" s="126" t="s">
        <v>351</v>
      </c>
      <c r="K97" s="126"/>
      <c r="L97" s="1185" t="s">
        <v>389</v>
      </c>
      <c r="M97" s="1185" t="s">
        <v>767</v>
      </c>
    </row>
    <row r="98" spans="2:13" ht="15">
      <c r="B98" s="96"/>
      <c r="C98" s="127"/>
      <c r="D98" s="123" t="str">
        <f t="shared" si="11"/>
        <v>CHTMBHCEBN2</v>
      </c>
      <c r="E98" s="127" t="str">
        <f t="shared" si="12"/>
        <v>Commercial heating technology multistorey building -heat exchanger+connect pipe+meter- heat centralised - new 1</v>
      </c>
      <c r="F98" s="127" t="s">
        <v>317</v>
      </c>
      <c r="G98" s="127" t="s">
        <v>316</v>
      </c>
      <c r="H98" s="127" t="s">
        <v>352</v>
      </c>
      <c r="I98" s="126"/>
      <c r="J98" s="126" t="s">
        <v>351</v>
      </c>
      <c r="K98" s="126"/>
      <c r="L98" s="1185" t="s">
        <v>764</v>
      </c>
      <c r="M98" s="1185" t="s">
        <v>770</v>
      </c>
    </row>
    <row r="99" spans="2:13" ht="15">
      <c r="B99" s="96"/>
      <c r="C99" s="127"/>
      <c r="D99" s="123" t="str">
        <f t="shared" si="11"/>
        <v>CHTMBHDEBN2</v>
      </c>
      <c r="E99" s="127" t="str">
        <f t="shared" si="12"/>
        <v>Commercial heating technology multistorey building -heat exchanger+connect pipe+meter- heat decentralised - new 1</v>
      </c>
      <c r="F99" s="127" t="s">
        <v>317</v>
      </c>
      <c r="G99" s="127" t="s">
        <v>316</v>
      </c>
      <c r="H99" s="127" t="s">
        <v>352</v>
      </c>
      <c r="I99" s="126"/>
      <c r="J99" s="126" t="s">
        <v>351</v>
      </c>
      <c r="K99" s="126"/>
      <c r="L99" s="1185" t="s">
        <v>765</v>
      </c>
      <c r="M99" s="1185" t="s">
        <v>771</v>
      </c>
    </row>
  </sheetData>
  <mergeCells count="1">
    <mergeCell ref="L4:S4"/>
  </mergeCell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5B95E-0A46-4D5E-B48F-D55B35EFA668}">
  <sheetPr>
    <tabColor rgb="FF92D050"/>
  </sheetPr>
  <dimension ref="B2:S32"/>
  <sheetViews>
    <sheetView zoomScaleNormal="100" workbookViewId="0">
      <selection activeCell="J27" sqref="J27"/>
    </sheetView>
  </sheetViews>
  <sheetFormatPr baseColWidth="10" defaultColWidth="8.83203125" defaultRowHeight="13"/>
  <cols>
    <col min="1" max="1" width="8.83203125" style="1185"/>
    <col min="2" max="2" width="13.33203125" style="1185" bestFit="1" customWidth="1"/>
    <col min="3" max="3" width="66.83203125" style="1185" bestFit="1" customWidth="1"/>
    <col min="4" max="4" width="14" style="1185" bestFit="1" customWidth="1"/>
    <col min="5" max="5" width="9.5" style="1185" bestFit="1" customWidth="1"/>
    <col min="6" max="16384" width="8.83203125" style="1185"/>
  </cols>
  <sheetData>
    <row r="2" spans="2:19" ht="21">
      <c r="B2" s="1179" t="s">
        <v>860</v>
      </c>
      <c r="C2" s="1221"/>
      <c r="D2" s="1222"/>
      <c r="E2" s="1223"/>
      <c r="F2" s="1223"/>
      <c r="G2" s="1223"/>
      <c r="H2" s="1213"/>
      <c r="I2" s="1213"/>
      <c r="J2" s="1213"/>
      <c r="K2" s="1224"/>
      <c r="L2" s="1225"/>
      <c r="M2" s="1225"/>
      <c r="N2" s="1221"/>
      <c r="O2" s="1221"/>
    </row>
    <row r="3" spans="2:19" ht="15">
      <c r="B3" s="1180"/>
      <c r="C3" s="1221"/>
      <c r="D3" s="1222"/>
      <c r="E3" s="1223"/>
      <c r="F3" s="1223"/>
      <c r="G3" s="1223"/>
      <c r="H3" s="1213"/>
      <c r="I3" s="1213"/>
      <c r="J3" s="1213"/>
      <c r="K3" s="1225"/>
      <c r="L3" s="1221"/>
      <c r="M3" s="1221"/>
      <c r="N3" s="1221"/>
      <c r="O3" s="1226"/>
    </row>
    <row r="4" spans="2:19" ht="14">
      <c r="B4" s="1221"/>
      <c r="C4" s="1221"/>
      <c r="D4" s="1213"/>
      <c r="E4" s="1213"/>
      <c r="F4" s="1227" t="s">
        <v>336</v>
      </c>
      <c r="G4" s="1227"/>
      <c r="H4" s="1227"/>
      <c r="I4" s="1227"/>
      <c r="J4" s="1227"/>
      <c r="K4" s="1225"/>
      <c r="L4" s="1221"/>
      <c r="M4" s="1221"/>
      <c r="N4" s="1221"/>
      <c r="O4" s="1226"/>
    </row>
    <row r="5" spans="2:19" ht="15">
      <c r="B5" s="1228" t="s">
        <v>292</v>
      </c>
      <c r="C5" s="1228" t="s">
        <v>293</v>
      </c>
      <c r="D5" s="1228" t="s">
        <v>294</v>
      </c>
      <c r="E5" s="1228" t="s">
        <v>295</v>
      </c>
      <c r="F5" s="1228" t="s">
        <v>859</v>
      </c>
      <c r="G5" s="29" t="s">
        <v>260</v>
      </c>
      <c r="H5" s="1230" t="s">
        <v>993</v>
      </c>
      <c r="I5" s="1230" t="s">
        <v>994</v>
      </c>
      <c r="J5" s="1230" t="s">
        <v>995</v>
      </c>
      <c r="K5" s="1228" t="s">
        <v>861</v>
      </c>
      <c r="L5" s="1228" t="s">
        <v>264</v>
      </c>
      <c r="M5" s="1229" t="s">
        <v>259</v>
      </c>
      <c r="N5" s="1221"/>
      <c r="O5" s="1221"/>
    </row>
    <row r="6" spans="2:19" ht="25" thickBot="1">
      <c r="B6" s="1231" t="s">
        <v>863</v>
      </c>
      <c r="C6" s="1231"/>
      <c r="D6" s="1231"/>
      <c r="E6" s="1231"/>
      <c r="F6" s="1231"/>
      <c r="G6" s="1231" t="s">
        <v>991</v>
      </c>
      <c r="H6" s="1231" t="s">
        <v>864</v>
      </c>
      <c r="I6" s="1231" t="s">
        <v>864</v>
      </c>
      <c r="J6" s="1231" t="s">
        <v>864</v>
      </c>
      <c r="K6" s="1231"/>
      <c r="L6" s="1231" t="s">
        <v>865</v>
      </c>
      <c r="M6" s="1231" t="s">
        <v>859</v>
      </c>
      <c r="N6" s="1221"/>
      <c r="O6" s="1221"/>
    </row>
    <row r="7" spans="2:19" ht="15">
      <c r="B7" s="1221" t="str">
        <f>Processes!D7</f>
        <v>CFTLPGN1</v>
      </c>
      <c r="C7" s="1221" t="str">
        <f>Processes!E7</f>
        <v>Commercial Food (Cooking) Technology   - LPG - New 1</v>
      </c>
      <c r="D7" s="1213" t="str">
        <f>Commodities_VT!$C$19</f>
        <v>COMLPG</v>
      </c>
      <c r="E7" s="1213" t="str">
        <f>Commodities_VT!$C$17</f>
        <v>CFDEM</v>
      </c>
      <c r="F7" s="1213">
        <v>2018</v>
      </c>
      <c r="G7" s="1213">
        <v>1</v>
      </c>
      <c r="H7" s="1181">
        <v>0.5</v>
      </c>
      <c r="I7" s="1181">
        <v>0.5</v>
      </c>
      <c r="J7" s="1181">
        <v>0.5</v>
      </c>
      <c r="K7" s="1232">
        <f t="shared" ref="K7:K12" si="0">31.536/1000</f>
        <v>3.1536000000000002E-2</v>
      </c>
      <c r="L7" s="1233">
        <v>1</v>
      </c>
      <c r="M7" s="1234">
        <v>30</v>
      </c>
      <c r="N7" s="1221"/>
      <c r="O7" s="1226"/>
      <c r="Q7" s="1235"/>
      <c r="R7" s="1236"/>
      <c r="S7" s="1236"/>
    </row>
    <row r="8" spans="2:19" ht="15" customHeight="1">
      <c r="B8" s="1221" t="str">
        <f>Processes!D8</f>
        <v>CFTNGAN1</v>
      </c>
      <c r="C8" s="1221" t="str">
        <f>Processes!E8</f>
        <v>Commercial Food (Cooking) Technology   - Natural Gas - New 1</v>
      </c>
      <c r="D8" s="1213" t="str">
        <f>Commodities_VT!$C$18</f>
        <v>COMNGA</v>
      </c>
      <c r="E8" s="1213" t="str">
        <f>Commodities_VT!$C$17</f>
        <v>CFDEM</v>
      </c>
      <c r="F8" s="1213">
        <v>2018</v>
      </c>
      <c r="G8" s="1213">
        <v>1</v>
      </c>
      <c r="H8" s="1181">
        <v>0.5</v>
      </c>
      <c r="I8" s="1181">
        <v>0.5</v>
      </c>
      <c r="J8" s="1181">
        <v>0.5</v>
      </c>
      <c r="K8" s="1232">
        <f t="shared" si="0"/>
        <v>3.1536000000000002E-2</v>
      </c>
      <c r="L8" s="1233">
        <v>1</v>
      </c>
      <c r="M8" s="1234">
        <v>30</v>
      </c>
      <c r="N8" s="1221"/>
      <c r="O8" s="1226"/>
      <c r="Q8" s="1235"/>
      <c r="R8" s="1236"/>
      <c r="S8" s="1236"/>
    </row>
    <row r="9" spans="2:19" ht="15" customHeight="1">
      <c r="B9" s="1221" t="str">
        <f>Processes!D9</f>
        <v>CFTELCAN1</v>
      </c>
      <c r="C9" s="1221" t="str">
        <f>Processes!E9</f>
        <v>Commercial Food (Cooking) Technology   - Electricity Appliances - New 1</v>
      </c>
      <c r="D9" s="1213" t="s">
        <v>992</v>
      </c>
      <c r="E9" s="1213" t="str">
        <f>Commodities_VT!$C$17</f>
        <v>CFDEM</v>
      </c>
      <c r="F9" s="1213">
        <v>2018</v>
      </c>
      <c r="G9" s="1213">
        <v>1</v>
      </c>
      <c r="H9" s="1181">
        <v>0.95</v>
      </c>
      <c r="I9" s="1181">
        <v>0.95</v>
      </c>
      <c r="J9" s="1181">
        <v>0.95</v>
      </c>
      <c r="K9" s="1232">
        <f t="shared" si="0"/>
        <v>3.1536000000000002E-2</v>
      </c>
      <c r="L9" s="1233">
        <v>1</v>
      </c>
      <c r="M9" s="1234">
        <v>30</v>
      </c>
      <c r="N9" s="1221"/>
      <c r="O9" s="1226"/>
      <c r="Q9" s="1235"/>
      <c r="R9" s="1236"/>
      <c r="S9" s="1236"/>
    </row>
    <row r="10" spans="2:19" ht="15">
      <c r="B10" s="1221" t="str">
        <f t="shared" ref="B10:E12" si="1">B7</f>
        <v>CFTLPGN1</v>
      </c>
      <c r="C10" s="1221" t="str">
        <f t="shared" si="1"/>
        <v>Commercial Food (Cooking) Technology   - LPG - New 1</v>
      </c>
      <c r="D10" s="1221" t="str">
        <f t="shared" si="1"/>
        <v>COMLPG</v>
      </c>
      <c r="E10" s="1221" t="str">
        <f t="shared" si="1"/>
        <v>CFDEM</v>
      </c>
      <c r="F10" s="1213">
        <v>2020</v>
      </c>
      <c r="G10" s="1213">
        <v>1</v>
      </c>
      <c r="H10" s="1181">
        <f t="shared" ref="H10:J12" si="2">H7</f>
        <v>0.5</v>
      </c>
      <c r="I10" s="1181">
        <f t="shared" si="2"/>
        <v>0.5</v>
      </c>
      <c r="J10" s="1181">
        <f t="shared" si="2"/>
        <v>0.5</v>
      </c>
      <c r="K10" s="1232">
        <f t="shared" si="0"/>
        <v>3.1536000000000002E-2</v>
      </c>
      <c r="L10" s="1233">
        <v>1</v>
      </c>
      <c r="M10" s="1234">
        <v>30</v>
      </c>
      <c r="N10" s="1221"/>
      <c r="O10" s="1221"/>
      <c r="Q10" s="1235"/>
      <c r="R10" s="1235"/>
    </row>
    <row r="11" spans="2:19" ht="15">
      <c r="B11" s="1221" t="str">
        <f t="shared" si="1"/>
        <v>CFTNGAN1</v>
      </c>
      <c r="C11" s="1221" t="str">
        <f t="shared" si="1"/>
        <v>Commercial Food (Cooking) Technology   - Natural Gas - New 1</v>
      </c>
      <c r="D11" s="1221" t="str">
        <f t="shared" si="1"/>
        <v>COMNGA</v>
      </c>
      <c r="E11" s="1221" t="str">
        <f t="shared" si="1"/>
        <v>CFDEM</v>
      </c>
      <c r="F11" s="1213">
        <v>2020</v>
      </c>
      <c r="G11" s="1213">
        <v>1</v>
      </c>
      <c r="H11" s="1181">
        <f t="shared" si="2"/>
        <v>0.5</v>
      </c>
      <c r="I11" s="1181">
        <f t="shared" si="2"/>
        <v>0.5</v>
      </c>
      <c r="J11" s="1181">
        <f t="shared" si="2"/>
        <v>0.5</v>
      </c>
      <c r="K11" s="1232">
        <f t="shared" si="0"/>
        <v>3.1536000000000002E-2</v>
      </c>
      <c r="L11" s="1233">
        <v>1</v>
      </c>
      <c r="M11" s="1234">
        <v>30</v>
      </c>
      <c r="N11" s="1221"/>
      <c r="O11" s="1221"/>
      <c r="Q11" s="1235"/>
      <c r="R11" s="1235"/>
    </row>
    <row r="12" spans="2:19" ht="15">
      <c r="B12" s="1221" t="str">
        <f t="shared" si="1"/>
        <v>CFTELCAN1</v>
      </c>
      <c r="C12" s="1221" t="str">
        <f t="shared" si="1"/>
        <v>Commercial Food (Cooking) Technology   - Electricity Appliances - New 1</v>
      </c>
      <c r="D12" s="1221" t="str">
        <f t="shared" si="1"/>
        <v>COMELC</v>
      </c>
      <c r="E12" s="1221" t="str">
        <f t="shared" si="1"/>
        <v>CFDEM</v>
      </c>
      <c r="F12" s="1213">
        <v>2020</v>
      </c>
      <c r="G12" s="1213">
        <v>1</v>
      </c>
      <c r="H12" s="1181">
        <f t="shared" si="2"/>
        <v>0.95</v>
      </c>
      <c r="I12" s="1181">
        <f t="shared" si="2"/>
        <v>0.95</v>
      </c>
      <c r="J12" s="1181">
        <f t="shared" si="2"/>
        <v>0.95</v>
      </c>
      <c r="K12" s="1232">
        <f t="shared" si="0"/>
        <v>3.1536000000000002E-2</v>
      </c>
      <c r="L12" s="1233">
        <v>1</v>
      </c>
      <c r="M12" s="1234">
        <v>30</v>
      </c>
      <c r="N12" s="1221"/>
      <c r="O12" s="1221"/>
      <c r="Q12" s="1235"/>
      <c r="R12" s="1235"/>
    </row>
    <row r="13" spans="2:19" ht="19">
      <c r="B13" s="1221"/>
      <c r="C13" s="1221"/>
      <c r="D13" s="1213"/>
      <c r="E13" s="1213"/>
      <c r="F13" s="1213"/>
      <c r="H13" s="1182"/>
      <c r="I13" s="1182"/>
      <c r="J13" s="1182"/>
      <c r="K13" s="1237"/>
      <c r="M13" s="1182"/>
      <c r="N13" s="1221"/>
      <c r="O13" s="1221"/>
    </row>
    <row r="14" spans="2:19" ht="14">
      <c r="B14" s="1221"/>
      <c r="C14" s="1221"/>
      <c r="G14" s="1223"/>
    </row>
    <row r="15" spans="2:19" ht="21">
      <c r="B15" s="1179" t="s">
        <v>866</v>
      </c>
      <c r="C15" s="1221"/>
      <c r="D15" s="1222"/>
      <c r="E15" s="1223"/>
      <c r="F15" s="1223"/>
      <c r="G15" s="1223"/>
      <c r="H15" s="1213"/>
      <c r="I15" s="1213"/>
      <c r="J15" s="1213"/>
      <c r="K15" s="1224"/>
      <c r="L15" s="1225"/>
      <c r="M15" s="1225"/>
      <c r="N15" s="1221"/>
      <c r="O15" s="1221"/>
    </row>
    <row r="16" spans="2:19" ht="15">
      <c r="B16" s="1180"/>
      <c r="C16" s="1221"/>
      <c r="D16" s="1222"/>
      <c r="E16" s="1223"/>
      <c r="F16" s="1223"/>
      <c r="G16" s="1223"/>
      <c r="H16" s="1213"/>
      <c r="I16" s="1213"/>
      <c r="J16" s="1213"/>
      <c r="K16" s="1225"/>
      <c r="L16" s="1221"/>
      <c r="M16" s="1221"/>
      <c r="N16" s="1221"/>
      <c r="O16" s="1226"/>
    </row>
    <row r="17" spans="2:15" ht="14">
      <c r="B17" s="1221"/>
      <c r="C17" s="1221"/>
      <c r="D17" s="1213"/>
      <c r="E17" s="1213"/>
      <c r="F17" s="1227" t="s">
        <v>336</v>
      </c>
      <c r="G17" s="1227"/>
      <c r="H17" s="1227"/>
      <c r="I17" s="1227"/>
      <c r="J17" s="1227"/>
      <c r="K17" s="1225"/>
      <c r="L17" s="1221"/>
      <c r="M17" s="1221"/>
      <c r="N17" s="1221"/>
      <c r="O17" s="1226"/>
    </row>
    <row r="18" spans="2:15" ht="15">
      <c r="B18" s="1228" t="s">
        <v>292</v>
      </c>
      <c r="C18" s="1228" t="s">
        <v>293</v>
      </c>
      <c r="D18" s="1228" t="s">
        <v>294</v>
      </c>
      <c r="E18" s="1228" t="s">
        <v>295</v>
      </c>
      <c r="F18" s="1228" t="s">
        <v>859</v>
      </c>
      <c r="G18" s="29" t="s">
        <v>260</v>
      </c>
      <c r="H18" s="1230" t="s">
        <v>993</v>
      </c>
      <c r="I18" s="1230" t="s">
        <v>994</v>
      </c>
      <c r="J18" s="1230" t="s">
        <v>995</v>
      </c>
      <c r="K18" s="1228" t="s">
        <v>861</v>
      </c>
      <c r="L18" s="1228" t="s">
        <v>264</v>
      </c>
      <c r="M18" s="1229" t="s">
        <v>259</v>
      </c>
      <c r="N18" s="1221"/>
      <c r="O18" s="1221"/>
    </row>
    <row r="19" spans="2:15" ht="25" thickBot="1">
      <c r="B19" s="1231" t="s">
        <v>863</v>
      </c>
      <c r="C19" s="1231"/>
      <c r="D19" s="1231"/>
      <c r="E19" s="1231"/>
      <c r="F19" s="1231"/>
      <c r="G19" s="1231" t="s">
        <v>991</v>
      </c>
      <c r="H19" s="1231" t="s">
        <v>864</v>
      </c>
      <c r="I19" s="1231" t="s">
        <v>864</v>
      </c>
      <c r="J19" s="1231" t="s">
        <v>864</v>
      </c>
      <c r="K19" s="1231"/>
      <c r="L19" s="1231" t="s">
        <v>865</v>
      </c>
      <c r="M19" s="1231" t="s">
        <v>859</v>
      </c>
      <c r="N19" s="1221"/>
      <c r="O19" s="1221"/>
    </row>
    <row r="20" spans="2:15" ht="15" customHeight="1">
      <c r="B20" s="1221" t="str">
        <f>Processes!D10</f>
        <v>CATELCAN1</v>
      </c>
      <c r="C20" s="1221" t="str">
        <f>Processes!E10</f>
        <v>Commercial Appliances Technology   - Electricity Appliances - New 1</v>
      </c>
      <c r="D20" s="1213" t="str">
        <f>Commodities_VT!$C$29</f>
        <v>COMELCA</v>
      </c>
      <c r="E20" s="1213" t="str">
        <f>Commodities_VT!$C$16</f>
        <v>CADEM</v>
      </c>
      <c r="F20" s="1213">
        <v>2018</v>
      </c>
      <c r="G20" s="1213">
        <v>1</v>
      </c>
      <c r="H20" s="1181">
        <v>1</v>
      </c>
      <c r="I20" s="1181">
        <v>1</v>
      </c>
      <c r="J20" s="1181">
        <v>1</v>
      </c>
      <c r="K20" s="1232">
        <f t="shared" ref="K20:K21" si="3">31.536/1000</f>
        <v>3.1536000000000002E-2</v>
      </c>
      <c r="L20" s="1233">
        <v>1</v>
      </c>
      <c r="M20" s="1234">
        <v>30</v>
      </c>
      <c r="N20" s="1221"/>
      <c r="O20" s="1226"/>
    </row>
    <row r="21" spans="2:15" ht="15">
      <c r="B21" s="1221" t="str">
        <f>B20</f>
        <v>CATELCAN1</v>
      </c>
      <c r="C21" s="1221" t="str">
        <f>C20</f>
        <v>Commercial Appliances Technology   - Electricity Appliances - New 1</v>
      </c>
      <c r="D21" s="1221" t="str">
        <f>D20</f>
        <v>COMELCA</v>
      </c>
      <c r="E21" s="1221" t="str">
        <f>E20</f>
        <v>CADEM</v>
      </c>
      <c r="F21" s="1213">
        <v>2020</v>
      </c>
      <c r="G21" s="1213">
        <v>1</v>
      </c>
      <c r="H21" s="1181">
        <f>H20</f>
        <v>1</v>
      </c>
      <c r="I21" s="1181">
        <f>I20</f>
        <v>1</v>
      </c>
      <c r="J21" s="1181">
        <f>J20</f>
        <v>1</v>
      </c>
      <c r="K21" s="1232">
        <f t="shared" si="3"/>
        <v>3.1536000000000002E-2</v>
      </c>
      <c r="L21" s="1233">
        <v>1</v>
      </c>
      <c r="M21" s="1234">
        <v>30</v>
      </c>
      <c r="N21" s="1221"/>
      <c r="O21" s="1221"/>
    </row>
    <row r="22" spans="2:15" ht="14">
      <c r="B22" s="1221"/>
      <c r="C22" s="1221"/>
      <c r="G22" s="1213"/>
    </row>
    <row r="23" spans="2:15" ht="14">
      <c r="B23" s="1221"/>
      <c r="C23" s="1221"/>
      <c r="G23" s="1213"/>
    </row>
    <row r="24" spans="2:15" ht="21">
      <c r="B24" s="1179" t="s">
        <v>867</v>
      </c>
      <c r="C24" s="1221"/>
      <c r="D24" s="1222"/>
      <c r="E24" s="1223"/>
      <c r="F24" s="1223"/>
      <c r="G24" s="1223"/>
      <c r="H24" s="1213"/>
      <c r="I24" s="1213"/>
      <c r="J24" s="1213"/>
      <c r="K24" s="1224"/>
      <c r="L24" s="1225"/>
      <c r="M24" s="1225"/>
      <c r="N24" s="1221"/>
      <c r="O24" s="1221"/>
    </row>
    <row r="25" spans="2:15" ht="15">
      <c r="B25" s="1180"/>
      <c r="C25" s="1221"/>
      <c r="D25" s="1222"/>
      <c r="E25" s="1223"/>
      <c r="F25" s="1223"/>
      <c r="G25" s="1223"/>
      <c r="H25" s="1213"/>
      <c r="I25" s="1213"/>
      <c r="J25" s="1213"/>
      <c r="K25" s="1225"/>
      <c r="L25" s="1221"/>
      <c r="M25" s="1221"/>
      <c r="N25" s="1221"/>
      <c r="O25" s="1226"/>
    </row>
    <row r="26" spans="2:15" ht="14">
      <c r="B26" s="1221"/>
      <c r="C26" s="1221"/>
      <c r="D26" s="1213"/>
      <c r="E26" s="1213"/>
      <c r="F26" s="1227" t="s">
        <v>336</v>
      </c>
      <c r="G26" s="1227"/>
      <c r="H26" s="1227"/>
      <c r="I26" s="1227"/>
      <c r="J26" s="1227"/>
      <c r="K26" s="1225"/>
      <c r="L26" s="1221"/>
      <c r="M26" s="1221"/>
      <c r="N26" s="1221"/>
      <c r="O26" s="1226"/>
    </row>
    <row r="27" spans="2:15" ht="15">
      <c r="B27" s="1228" t="s">
        <v>292</v>
      </c>
      <c r="C27" s="1228" t="s">
        <v>293</v>
      </c>
      <c r="D27" s="1228" t="s">
        <v>294</v>
      </c>
      <c r="E27" s="1228" t="s">
        <v>295</v>
      </c>
      <c r="F27" s="1228" t="s">
        <v>859</v>
      </c>
      <c r="G27" s="29" t="s">
        <v>260</v>
      </c>
      <c r="H27" s="1230" t="s">
        <v>993</v>
      </c>
      <c r="I27" s="1230" t="s">
        <v>994</v>
      </c>
      <c r="J27" s="1230" t="s">
        <v>995</v>
      </c>
      <c r="K27" s="1228" t="s">
        <v>861</v>
      </c>
      <c r="L27" s="1228" t="s">
        <v>264</v>
      </c>
      <c r="M27" s="1229" t="s">
        <v>259</v>
      </c>
      <c r="N27" s="1221"/>
      <c r="O27" s="1221"/>
    </row>
    <row r="28" spans="2:15" ht="25" thickBot="1">
      <c r="B28" s="1231" t="s">
        <v>863</v>
      </c>
      <c r="C28" s="1231"/>
      <c r="D28" s="1231"/>
      <c r="E28" s="1231"/>
      <c r="F28" s="1231"/>
      <c r="G28" s="1231" t="s">
        <v>991</v>
      </c>
      <c r="H28" s="1231" t="s">
        <v>864</v>
      </c>
      <c r="I28" s="1231" t="s">
        <v>864</v>
      </c>
      <c r="J28" s="1231" t="s">
        <v>864</v>
      </c>
      <c r="K28" s="1231"/>
      <c r="L28" s="1231" t="s">
        <v>865</v>
      </c>
      <c r="M28" s="1231" t="s">
        <v>859</v>
      </c>
      <c r="N28" s="1221"/>
      <c r="O28" s="1221"/>
    </row>
    <row r="29" spans="2:15" ht="15">
      <c r="B29" s="1221" t="str">
        <f>Processes!D11</f>
        <v>CWTHETN1</v>
      </c>
      <c r="C29" s="1221" t="str">
        <f>Processes!E11</f>
        <v>Commercial Water Hot Technology   - HET - New 1</v>
      </c>
      <c r="D29" s="1213" t="str">
        <f>Commodities_VT!$C$15</f>
        <v>CWFDEM</v>
      </c>
      <c r="E29" s="1185" t="s">
        <v>984</v>
      </c>
      <c r="F29" s="1213">
        <v>2018</v>
      </c>
      <c r="G29" s="1213">
        <v>1</v>
      </c>
      <c r="H29" s="1181">
        <v>1</v>
      </c>
      <c r="I29" s="1181">
        <v>1</v>
      </c>
      <c r="J29" s="1181">
        <v>1</v>
      </c>
      <c r="K29" s="1232">
        <f t="shared" ref="K29" si="4">31.536/1000</f>
        <v>3.1536000000000002E-2</v>
      </c>
      <c r="L29" s="1233">
        <v>1</v>
      </c>
      <c r="M29" s="1234">
        <v>30</v>
      </c>
      <c r="N29" s="1221"/>
      <c r="O29" s="1226"/>
    </row>
    <row r="30" spans="2:15" ht="15">
      <c r="B30" s="1221"/>
      <c r="C30" s="1221"/>
      <c r="D30" s="1221"/>
      <c r="F30" s="1213"/>
      <c r="G30" s="1213"/>
      <c r="H30" s="1181"/>
      <c r="I30" s="1181"/>
      <c r="J30" s="1181"/>
      <c r="K30" s="1232"/>
      <c r="L30" s="1233"/>
      <c r="M30" s="1234"/>
      <c r="N30" s="1221"/>
      <c r="O30" s="1221"/>
    </row>
    <row r="31" spans="2:15" ht="14">
      <c r="G31" s="1213"/>
    </row>
    <row r="32" spans="2:15" ht="14">
      <c r="G32" s="12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F1C63-0E0D-4A1C-8BC7-F69F67A0F065}">
  <sheetPr>
    <tabColor rgb="FF92D050"/>
  </sheetPr>
  <dimension ref="B2:Q156"/>
  <sheetViews>
    <sheetView topLeftCell="C1" workbookViewId="0">
      <selection activeCell="I16" sqref="I16"/>
    </sheetView>
  </sheetViews>
  <sheetFormatPr baseColWidth="10" defaultColWidth="8.83203125" defaultRowHeight="14"/>
  <cols>
    <col min="1" max="1" width="8.83203125" style="1185"/>
    <col min="2" max="2" width="13.33203125" style="1185" bestFit="1" customWidth="1"/>
    <col min="3" max="3" width="66.83203125" style="1185" bestFit="1" customWidth="1"/>
    <col min="4" max="4" width="10.5" style="1221" bestFit="1" customWidth="1"/>
    <col min="5" max="5" width="13.5" style="1221" bestFit="1" customWidth="1"/>
    <col min="6" max="6" width="14" style="1185" bestFit="1" customWidth="1"/>
    <col min="7" max="7" width="9.5" style="1185" bestFit="1" customWidth="1"/>
    <col min="8" max="8" width="9.5" style="1185" customWidth="1"/>
    <col min="9" max="9" width="8.83203125" style="1185"/>
    <col min="10" max="10" width="5.83203125" style="1185" bestFit="1" customWidth="1"/>
    <col min="11" max="11" width="6.6640625" style="1185" bestFit="1" customWidth="1"/>
    <col min="12" max="12" width="10.33203125" style="1185" customWidth="1"/>
    <col min="13" max="17" width="9.5" style="1185" bestFit="1" customWidth="1"/>
    <col min="18" max="16384" width="8.83203125" style="1185"/>
  </cols>
  <sheetData>
    <row r="2" spans="2:17" ht="15">
      <c r="B2" s="1180"/>
      <c r="C2" s="1221"/>
      <c r="F2" s="1222"/>
      <c r="G2" s="1223"/>
      <c r="H2" s="1223"/>
      <c r="I2" s="1223"/>
      <c r="J2" s="1213"/>
      <c r="K2" s="1224"/>
      <c r="L2" s="1225"/>
      <c r="M2" s="1225"/>
      <c r="N2" s="1221"/>
      <c r="O2" s="1221"/>
      <c r="P2" s="1221"/>
    </row>
    <row r="3" spans="2:17" ht="15">
      <c r="B3" s="1180"/>
      <c r="C3" s="1221"/>
      <c r="F3" s="1222"/>
      <c r="G3" s="1223"/>
      <c r="H3" s="1223"/>
      <c r="I3" s="1223"/>
      <c r="J3" s="1213"/>
      <c r="K3" s="1225"/>
      <c r="L3" s="1221"/>
      <c r="M3" s="1221"/>
      <c r="N3" s="1221"/>
      <c r="O3" s="1226"/>
      <c r="P3" s="1221"/>
    </row>
    <row r="4" spans="2:17">
      <c r="B4" s="1221"/>
      <c r="C4" s="1221"/>
      <c r="F4" s="1213"/>
      <c r="G4" s="1213"/>
      <c r="H4" s="1213"/>
      <c r="I4" s="1227" t="s">
        <v>336</v>
      </c>
    </row>
    <row r="5" spans="2:17" ht="15">
      <c r="B5" s="1228" t="s">
        <v>292</v>
      </c>
      <c r="C5" s="1228" t="s">
        <v>293</v>
      </c>
      <c r="D5" s="1228" t="s">
        <v>868</v>
      </c>
      <c r="E5" s="1228" t="s">
        <v>869</v>
      </c>
      <c r="F5" s="1228" t="s">
        <v>294</v>
      </c>
      <c r="G5" s="1228" t="s">
        <v>295</v>
      </c>
      <c r="H5" s="1228" t="s">
        <v>792</v>
      </c>
      <c r="I5" s="1228" t="s">
        <v>859</v>
      </c>
      <c r="J5" s="27" t="s">
        <v>256</v>
      </c>
      <c r="K5" s="28" t="s">
        <v>257</v>
      </c>
      <c r="L5" s="28" t="s">
        <v>259</v>
      </c>
      <c r="M5" s="29" t="s">
        <v>260</v>
      </c>
      <c r="N5" s="30" t="s">
        <v>261</v>
      </c>
      <c r="O5" s="30" t="s">
        <v>262</v>
      </c>
      <c r="P5" s="30" t="s">
        <v>263</v>
      </c>
      <c r="Q5" s="30" t="s">
        <v>264</v>
      </c>
    </row>
    <row r="6" spans="2:17" ht="25" thickBot="1">
      <c r="B6" s="1231" t="s">
        <v>863</v>
      </c>
      <c r="C6" s="1231"/>
      <c r="D6" s="1231"/>
      <c r="E6" s="1231"/>
      <c r="F6" s="1231"/>
      <c r="G6" s="1231"/>
      <c r="H6" s="1231"/>
      <c r="I6" s="1231"/>
      <c r="J6" s="1231" t="s">
        <v>859</v>
      </c>
      <c r="K6" s="1231" t="s">
        <v>971</v>
      </c>
      <c r="L6" s="1231" t="s">
        <v>972</v>
      </c>
      <c r="M6" s="1231" t="s">
        <v>973</v>
      </c>
      <c r="N6" s="1231" t="s">
        <v>973</v>
      </c>
      <c r="O6" s="1231" t="s">
        <v>974</v>
      </c>
      <c r="P6" s="1231"/>
      <c r="Q6" s="1231" t="s">
        <v>975</v>
      </c>
    </row>
    <row r="7" spans="2:17" ht="15">
      <c r="B7" s="1221" t="str">
        <f>Processes!D54</f>
        <v>CCTUMELCAN1</v>
      </c>
      <c r="C7" s="1221" t="str">
        <f>Processes!E54</f>
        <v>Commercial Cooling Technology Urban Multi - Electricity Appliances - New 1</v>
      </c>
      <c r="D7" s="1221" t="s">
        <v>870</v>
      </c>
      <c r="E7" s="1221" t="s">
        <v>871</v>
      </c>
      <c r="F7" s="1213" t="str">
        <f>Commodities_VT!$C$28</f>
        <v>COMELCC</v>
      </c>
      <c r="G7" s="1213" t="str">
        <f>Commodities_VT!$C$50</f>
        <v>COMCUDB</v>
      </c>
      <c r="H7" s="1213" t="s">
        <v>795</v>
      </c>
      <c r="I7" s="1213">
        <v>2015</v>
      </c>
      <c r="J7" s="1240">
        <v>2018</v>
      </c>
      <c r="K7" s="1246">
        <v>1</v>
      </c>
      <c r="L7" s="1243">
        <f>INDEX('Heat pump, air-to-air'!$D$9:$J$12,MATCH($I7,'Heat pump, air-to-air'!$B$9:$B$12,0),MATCH(L$5,'Heat pump, air-to-air'!$D$5:$J$5,0))</f>
        <v>12</v>
      </c>
      <c r="M7" s="1244">
        <f>INDEX('Heat pump, air-to-air'!$D$9:$J$12,MATCH($I7,'Heat pump, air-to-air'!$B$9:$B$12,0),MATCH(M$5,'Heat pump, air-to-air'!$D$5:$J$5,0))</f>
        <v>3.3525</v>
      </c>
      <c r="N7" s="1244">
        <f>INDEX('Heat pump, air-to-air'!$D$9:$J$12,MATCH($I7,'Heat pump, air-to-air'!$B$9:$B$12,0),MATCH(N$5,'Heat pump, air-to-air'!$D$5:$J$5,0))</f>
        <v>0.31662500000000005</v>
      </c>
      <c r="O7" s="1243">
        <f>INDEX('Heat pump, air-to-air'!$D$9:$J$12,MATCH($I7,'Heat pump, air-to-air'!$B$9:$B$12,0),MATCH(O$5,'Heat pump, air-to-air'!$D$5:$J$5,0))</f>
        <v>0</v>
      </c>
      <c r="P7" s="1241">
        <f t="shared" ref="P7:P20" si="0">31.536/1000</f>
        <v>3.1536000000000002E-2</v>
      </c>
      <c r="Q7" s="1244">
        <f>INDEX('Heat pump, air-to-air'!$D$9:$J$12,MATCH($I7,'Heat pump, air-to-air'!$B$9:$B$12,0),MATCH(Q$5,'Heat pump, air-to-air'!$D$5:$J$5,0))</f>
        <v>8.3999999999999991E-2</v>
      </c>
    </row>
    <row r="8" spans="2:17" ht="15">
      <c r="B8" s="1221"/>
      <c r="C8" s="1221"/>
      <c r="F8" s="1213"/>
      <c r="G8" s="1213"/>
      <c r="H8" s="1213" t="s">
        <v>795</v>
      </c>
      <c r="I8" s="1213">
        <v>2020</v>
      </c>
      <c r="J8" s="1181"/>
      <c r="K8" s="1246">
        <v>1</v>
      </c>
      <c r="L8" s="1243">
        <f>INDEX('Heat pump, air-to-air'!$D$9:$J$12,MATCH($I8,'Heat pump, air-to-air'!$B$9:$B$12,0),MATCH(L$5,'Heat pump, air-to-air'!$D$5:$J$5,0))</f>
        <v>12</v>
      </c>
      <c r="M8" s="1244">
        <f>INDEX('Heat pump, air-to-air'!$D$9:$J$12,MATCH($I8,'Heat pump, air-to-air'!$B$9:$B$12,0),MATCH(M$5,'Heat pump, air-to-air'!$D$5:$J$5,0))</f>
        <v>3.1662499999999998</v>
      </c>
      <c r="N8" s="1244">
        <f>INDEX('Heat pump, air-to-air'!$D$9:$J$12,MATCH($I8,'Heat pump, air-to-air'!$B$9:$B$12,0),MATCH(N$5,'Heat pump, air-to-air'!$D$5:$J$5,0))</f>
        <v>0.30110722454958749</v>
      </c>
      <c r="O8" s="1243">
        <f>INDEX('Heat pump, air-to-air'!$D$9:$J$12,MATCH($I8,'Heat pump, air-to-air'!$B$9:$B$12,0),MATCH(O$5,'Heat pump, air-to-air'!$D$5:$J$5,0))</f>
        <v>0</v>
      </c>
      <c r="P8" s="1241">
        <f t="shared" si="0"/>
        <v>3.1536000000000002E-2</v>
      </c>
      <c r="Q8" s="1244">
        <f>INDEX('Heat pump, air-to-air'!$D$9:$J$12,MATCH($I8,'Heat pump, air-to-air'!$B$9:$B$12,0),MATCH(Q$5,'Heat pump, air-to-air'!$D$5:$J$5,0))</f>
        <v>8.3999999999999991E-2</v>
      </c>
    </row>
    <row r="9" spans="2:17" ht="15">
      <c r="B9" s="1221"/>
      <c r="C9" s="1221"/>
      <c r="F9" s="1213"/>
      <c r="G9" s="1213"/>
      <c r="H9" s="1213" t="s">
        <v>795</v>
      </c>
      <c r="I9" s="1213">
        <v>2030</v>
      </c>
      <c r="J9" s="1181"/>
      <c r="K9" s="1246">
        <v>1</v>
      </c>
      <c r="L9" s="1242">
        <f t="shared" ref="L9:Q10" si="1">L8</f>
        <v>12</v>
      </c>
      <c r="M9" s="1245">
        <f t="shared" si="1"/>
        <v>3.1662499999999998</v>
      </c>
      <c r="N9" s="1245">
        <f t="shared" si="1"/>
        <v>0.30110722454958749</v>
      </c>
      <c r="O9" s="1242">
        <f t="shared" si="1"/>
        <v>0</v>
      </c>
      <c r="P9" s="1241">
        <f t="shared" si="1"/>
        <v>3.1536000000000002E-2</v>
      </c>
      <c r="Q9" s="1245">
        <f t="shared" si="1"/>
        <v>8.3999999999999991E-2</v>
      </c>
    </row>
    <row r="10" spans="2:17" ht="15">
      <c r="B10" s="1221"/>
      <c r="C10" s="1221"/>
      <c r="F10" s="1213"/>
      <c r="G10" s="1213"/>
      <c r="H10" s="1213" t="s">
        <v>795</v>
      </c>
      <c r="I10" s="1213">
        <v>2050</v>
      </c>
      <c r="J10" s="1181"/>
      <c r="K10" s="1246">
        <v>1</v>
      </c>
      <c r="L10" s="1242">
        <f t="shared" si="1"/>
        <v>12</v>
      </c>
      <c r="M10" s="1245">
        <f t="shared" si="1"/>
        <v>3.1662499999999998</v>
      </c>
      <c r="N10" s="1245">
        <f t="shared" si="1"/>
        <v>0.30110722454958749</v>
      </c>
      <c r="O10" s="1242">
        <f t="shared" si="1"/>
        <v>0</v>
      </c>
      <c r="P10" s="1241">
        <f t="shared" si="1"/>
        <v>3.1536000000000002E-2</v>
      </c>
      <c r="Q10" s="1245">
        <f t="shared" si="1"/>
        <v>8.3999999999999991E-2</v>
      </c>
    </row>
    <row r="11" spans="2:17" ht="15">
      <c r="B11" s="1221" t="str">
        <f>Processes!D55</f>
        <v>CCTRMELCAN1</v>
      </c>
      <c r="C11" s="1221" t="str">
        <f>Processes!E55</f>
        <v>Commercial Cooling Technology Rural Multi - Electricity Appliances - New 1</v>
      </c>
      <c r="D11" s="1221" t="s">
        <v>872</v>
      </c>
      <c r="E11" s="1221" t="s">
        <v>871</v>
      </c>
      <c r="F11" s="1213" t="str">
        <f>Commodities_VT!$C$28</f>
        <v>COMELCC</v>
      </c>
      <c r="G11" s="1213" t="str">
        <f>Commodities_VT!$C$51</f>
        <v>COMCRDB</v>
      </c>
      <c r="H11" s="1213" t="s">
        <v>795</v>
      </c>
      <c r="I11" s="1213">
        <v>2015</v>
      </c>
      <c r="J11" s="1240">
        <v>2018</v>
      </c>
      <c r="K11" s="1246">
        <v>1</v>
      </c>
      <c r="L11" s="1243">
        <f>INDEX('Heat pump, air-to-air'!$D$9:$J$12,MATCH($I11,'Heat pump, air-to-air'!$B$9:$B$12,0),MATCH(L$5,'Heat pump, air-to-air'!$D$5:$J$5,0))</f>
        <v>12</v>
      </c>
      <c r="M11" s="1244">
        <f>INDEX('Heat pump, air-to-air'!$D$9:$J$12,MATCH($I11,'Heat pump, air-to-air'!$B$9:$B$12,0),MATCH(M$5,'Heat pump, air-to-air'!$D$5:$J$5,0))</f>
        <v>3.3525</v>
      </c>
      <c r="N11" s="1244">
        <f>INDEX('Heat pump, air-to-air'!$D$9:$J$12,MATCH($I11,'Heat pump, air-to-air'!$B$9:$B$12,0),MATCH(N$5,'Heat pump, air-to-air'!$D$5:$J$5,0))</f>
        <v>0.31662500000000005</v>
      </c>
      <c r="O11" s="1243">
        <f>INDEX('Heat pump, air-to-air'!$D$9:$J$12,MATCH($I11,'Heat pump, air-to-air'!$B$9:$B$12,0),MATCH(O$5,'Heat pump, air-to-air'!$D$5:$J$5,0))</f>
        <v>0</v>
      </c>
      <c r="P11" s="1241">
        <f t="shared" si="0"/>
        <v>3.1536000000000002E-2</v>
      </c>
      <c r="Q11" s="1244">
        <f>INDEX('Heat pump, air-to-air'!$D$9:$J$12,MATCH($I11,'Heat pump, air-to-air'!$B$9:$B$12,0),MATCH(Q$5,'Heat pump, air-to-air'!$D$5:$J$5,0))</f>
        <v>8.3999999999999991E-2</v>
      </c>
    </row>
    <row r="12" spans="2:17" ht="15">
      <c r="B12" s="1221"/>
      <c r="C12" s="1221"/>
      <c r="F12" s="1213"/>
      <c r="G12" s="1213"/>
      <c r="H12" s="1213" t="s">
        <v>795</v>
      </c>
      <c r="I12" s="1213">
        <v>2020</v>
      </c>
      <c r="J12" s="1181"/>
      <c r="K12" s="1246">
        <v>1</v>
      </c>
      <c r="L12" s="1243">
        <f>INDEX('Heat pump, air-to-air'!$D$9:$J$12,MATCH($I12,'Heat pump, air-to-air'!$B$9:$B$12,0),MATCH(L$5,'Heat pump, air-to-air'!$D$5:$J$5,0))</f>
        <v>12</v>
      </c>
      <c r="M12" s="1244">
        <f>INDEX('Heat pump, air-to-air'!$D$9:$J$12,MATCH($I12,'Heat pump, air-to-air'!$B$9:$B$12,0),MATCH(M$5,'Heat pump, air-to-air'!$D$5:$J$5,0))</f>
        <v>3.1662499999999998</v>
      </c>
      <c r="N12" s="1244">
        <f>INDEX('Heat pump, air-to-air'!$D$9:$J$12,MATCH($I12,'Heat pump, air-to-air'!$B$9:$B$12,0),MATCH(N$5,'Heat pump, air-to-air'!$D$5:$J$5,0))</f>
        <v>0.30110722454958749</v>
      </c>
      <c r="O12" s="1243">
        <f>INDEX('Heat pump, air-to-air'!$D$9:$J$12,MATCH($I12,'Heat pump, air-to-air'!$B$9:$B$12,0),MATCH(O$5,'Heat pump, air-to-air'!$D$5:$J$5,0))</f>
        <v>0</v>
      </c>
      <c r="P12" s="1241">
        <f t="shared" si="0"/>
        <v>3.1536000000000002E-2</v>
      </c>
      <c r="Q12" s="1244">
        <f>INDEX('Heat pump, air-to-air'!$D$9:$J$12,MATCH($I12,'Heat pump, air-to-air'!$B$9:$B$12,0),MATCH(Q$5,'Heat pump, air-to-air'!$D$5:$J$5,0))</f>
        <v>8.3999999999999991E-2</v>
      </c>
    </row>
    <row r="13" spans="2:17" ht="15">
      <c r="B13" s="1221"/>
      <c r="C13" s="1221"/>
      <c r="F13" s="1213"/>
      <c r="G13" s="1213"/>
      <c r="H13" s="1213" t="s">
        <v>795</v>
      </c>
      <c r="I13" s="1213">
        <v>2030</v>
      </c>
      <c r="J13" s="1181"/>
      <c r="K13" s="1246">
        <v>1</v>
      </c>
      <c r="L13" s="1242">
        <f t="shared" ref="L13:L14" si="2">L12</f>
        <v>12</v>
      </c>
      <c r="M13" s="1245">
        <f t="shared" ref="M13:M14" si="3">M12</f>
        <v>3.1662499999999998</v>
      </c>
      <c r="N13" s="1245">
        <f t="shared" ref="N13:N14" si="4">N12</f>
        <v>0.30110722454958749</v>
      </c>
      <c r="O13" s="1242">
        <f t="shared" ref="O13:O14" si="5">O12</f>
        <v>0</v>
      </c>
      <c r="P13" s="1241">
        <f t="shared" ref="P13:P14" si="6">P12</f>
        <v>3.1536000000000002E-2</v>
      </c>
      <c r="Q13" s="1245">
        <f t="shared" ref="Q13:Q14" si="7">Q12</f>
        <v>8.3999999999999991E-2</v>
      </c>
    </row>
    <row r="14" spans="2:17" ht="15">
      <c r="B14" s="1221"/>
      <c r="C14" s="1221"/>
      <c r="F14" s="1213"/>
      <c r="G14" s="1213"/>
      <c r="H14" s="1213" t="s">
        <v>795</v>
      </c>
      <c r="I14" s="1213">
        <v>2050</v>
      </c>
      <c r="J14" s="1181"/>
      <c r="K14" s="1246">
        <v>1</v>
      </c>
      <c r="L14" s="1242">
        <f t="shared" si="2"/>
        <v>12</v>
      </c>
      <c r="M14" s="1245">
        <f t="shared" si="3"/>
        <v>3.1662499999999998</v>
      </c>
      <c r="N14" s="1245">
        <f t="shared" si="4"/>
        <v>0.30110722454958749</v>
      </c>
      <c r="O14" s="1242">
        <f t="shared" si="5"/>
        <v>0</v>
      </c>
      <c r="P14" s="1241">
        <f t="shared" si="6"/>
        <v>3.1536000000000002E-2</v>
      </c>
      <c r="Q14" s="1245">
        <f t="shared" si="7"/>
        <v>8.3999999999999991E-2</v>
      </c>
    </row>
    <row r="15" spans="2:17" ht="15">
      <c r="B15" s="1221" t="str">
        <f>Processes!D56</f>
        <v>CCTUDELCAN1</v>
      </c>
      <c r="C15" s="1221" t="str">
        <f>Processes!E56</f>
        <v>Commercial Cooling Technology Urban Detached - Electricity Appliances - New 1</v>
      </c>
      <c r="D15" s="1221" t="s">
        <v>870</v>
      </c>
      <c r="E15" s="1221" t="s">
        <v>873</v>
      </c>
      <c r="F15" s="1213" t="str">
        <f>Commodities_VT!$C$28</f>
        <v>COMELCC</v>
      </c>
      <c r="G15" s="1213" t="str">
        <f>Commodities_VT!$C$52</f>
        <v>COMCUMB</v>
      </c>
      <c r="H15" s="1213" t="s">
        <v>795</v>
      </c>
      <c r="I15" s="1213">
        <v>2015</v>
      </c>
      <c r="J15" s="1240">
        <v>2018</v>
      </c>
      <c r="K15" s="1246">
        <v>1</v>
      </c>
      <c r="L15" s="1243">
        <f>INDEX('Heat pump, air-to-air'!$D$9:$J$12,MATCH($I15,'Heat pump, air-to-air'!$B$9:$B$12,0),MATCH(L$5,'Heat pump, air-to-air'!$D$5:$J$5,0))</f>
        <v>12</v>
      </c>
      <c r="M15" s="1244">
        <f>INDEX('Heat pump, air-to-air'!$D$9:$J$12,MATCH($I15,'Heat pump, air-to-air'!$B$9:$B$12,0),MATCH(M$5,'Heat pump, air-to-air'!$D$5:$J$5,0))</f>
        <v>3.3525</v>
      </c>
      <c r="N15" s="1244">
        <f>INDEX('Heat pump, air-to-air'!$D$9:$J$12,MATCH($I15,'Heat pump, air-to-air'!$B$9:$B$12,0),MATCH(N$5,'Heat pump, air-to-air'!$D$5:$J$5,0))</f>
        <v>0.31662500000000005</v>
      </c>
      <c r="O15" s="1243">
        <f>INDEX('Heat pump, air-to-air'!$D$9:$J$12,MATCH($I15,'Heat pump, air-to-air'!$B$9:$B$12,0),MATCH(O$5,'Heat pump, air-to-air'!$D$5:$J$5,0))</f>
        <v>0</v>
      </c>
      <c r="P15" s="1241">
        <f t="shared" si="0"/>
        <v>3.1536000000000002E-2</v>
      </c>
      <c r="Q15" s="1244">
        <f>INDEX('Heat pump, air-to-air'!$D$9:$J$12,MATCH($I15,'Heat pump, air-to-air'!$B$9:$B$12,0),MATCH(Q$5,'Heat pump, air-to-air'!$D$5:$J$5,0))</f>
        <v>8.3999999999999991E-2</v>
      </c>
    </row>
    <row r="16" spans="2:17" ht="15">
      <c r="B16" s="1221"/>
      <c r="C16" s="1221"/>
      <c r="F16" s="1213"/>
      <c r="G16" s="1213"/>
      <c r="H16" s="1213" t="s">
        <v>795</v>
      </c>
      <c r="I16" s="1213">
        <v>2020</v>
      </c>
      <c r="J16" s="1181"/>
      <c r="K16" s="1246">
        <v>1</v>
      </c>
      <c r="L16" s="1243">
        <f>INDEX('Heat pump, air-to-air'!$D$9:$J$12,MATCH($I16,'Heat pump, air-to-air'!$B$9:$B$12,0),MATCH(L$5,'Heat pump, air-to-air'!$D$5:$J$5,0))</f>
        <v>12</v>
      </c>
      <c r="M16" s="1244">
        <f>INDEX('Heat pump, air-to-air'!$D$9:$J$12,MATCH($I16,'Heat pump, air-to-air'!$B$9:$B$12,0),MATCH(M$5,'Heat pump, air-to-air'!$D$5:$J$5,0))</f>
        <v>3.1662499999999998</v>
      </c>
      <c r="N16" s="1244">
        <f>INDEX('Heat pump, air-to-air'!$D$9:$J$12,MATCH($I16,'Heat pump, air-to-air'!$B$9:$B$12,0),MATCH(N$5,'Heat pump, air-to-air'!$D$5:$J$5,0))</f>
        <v>0.30110722454958749</v>
      </c>
      <c r="O16" s="1243">
        <f>INDEX('Heat pump, air-to-air'!$D$9:$J$12,MATCH($I16,'Heat pump, air-to-air'!$B$9:$B$12,0),MATCH(O$5,'Heat pump, air-to-air'!$D$5:$J$5,0))</f>
        <v>0</v>
      </c>
      <c r="P16" s="1241">
        <f t="shared" si="0"/>
        <v>3.1536000000000002E-2</v>
      </c>
      <c r="Q16" s="1244">
        <f>INDEX('Heat pump, air-to-air'!$D$9:$J$12,MATCH($I16,'Heat pump, air-to-air'!$B$9:$B$12,0),MATCH(Q$5,'Heat pump, air-to-air'!$D$5:$J$5,0))</f>
        <v>8.3999999999999991E-2</v>
      </c>
    </row>
    <row r="17" spans="2:17" ht="15">
      <c r="B17" s="1221"/>
      <c r="C17" s="1221"/>
      <c r="F17" s="1213"/>
      <c r="G17" s="1213"/>
      <c r="H17" s="1213" t="s">
        <v>795</v>
      </c>
      <c r="I17" s="1213">
        <v>2030</v>
      </c>
      <c r="J17" s="1181"/>
      <c r="K17" s="1246">
        <v>1</v>
      </c>
      <c r="L17" s="1242">
        <f t="shared" ref="L17:L18" si="8">L16</f>
        <v>12</v>
      </c>
      <c r="M17" s="1245">
        <f t="shared" ref="M17:M18" si="9">M16</f>
        <v>3.1662499999999998</v>
      </c>
      <c r="N17" s="1245">
        <f t="shared" ref="N17:N18" si="10">N16</f>
        <v>0.30110722454958749</v>
      </c>
      <c r="O17" s="1242">
        <f t="shared" ref="O17:O18" si="11">O16</f>
        <v>0</v>
      </c>
      <c r="P17" s="1241">
        <f t="shared" ref="P17:P18" si="12">P16</f>
        <v>3.1536000000000002E-2</v>
      </c>
      <c r="Q17" s="1245">
        <f t="shared" ref="Q17:Q18" si="13">Q16</f>
        <v>8.3999999999999991E-2</v>
      </c>
    </row>
    <row r="18" spans="2:17" ht="15">
      <c r="B18" s="1221"/>
      <c r="C18" s="1221"/>
      <c r="F18" s="1213"/>
      <c r="G18" s="1213"/>
      <c r="H18" s="1213" t="s">
        <v>795</v>
      </c>
      <c r="I18" s="1213">
        <v>2050</v>
      </c>
      <c r="J18" s="1181"/>
      <c r="K18" s="1246">
        <v>1</v>
      </c>
      <c r="L18" s="1242">
        <f t="shared" si="8"/>
        <v>12</v>
      </c>
      <c r="M18" s="1245">
        <f t="shared" si="9"/>
        <v>3.1662499999999998</v>
      </c>
      <c r="N18" s="1245">
        <f t="shared" si="10"/>
        <v>0.30110722454958749</v>
      </c>
      <c r="O18" s="1242">
        <f t="shared" si="11"/>
        <v>0</v>
      </c>
      <c r="P18" s="1241">
        <f t="shared" si="12"/>
        <v>3.1536000000000002E-2</v>
      </c>
      <c r="Q18" s="1245">
        <f t="shared" si="13"/>
        <v>8.3999999999999991E-2</v>
      </c>
    </row>
    <row r="19" spans="2:17" ht="15">
      <c r="B19" s="1221" t="str">
        <f>Processes!D57</f>
        <v>CCTRDELCAN1</v>
      </c>
      <c r="C19" s="1221" t="str">
        <f>Processes!E57</f>
        <v>Commercial Cooling Technology Rural Detached - Electricity Appliances - New 1</v>
      </c>
      <c r="D19" s="1221" t="s">
        <v>872</v>
      </c>
      <c r="E19" s="1221" t="s">
        <v>873</v>
      </c>
      <c r="F19" s="1213" t="str">
        <f>Commodities_VT!$C$28</f>
        <v>COMELCC</v>
      </c>
      <c r="G19" s="1213" t="str">
        <f>Commodities_VT!$C$53</f>
        <v>COMCRMB</v>
      </c>
      <c r="H19" s="1213" t="s">
        <v>795</v>
      </c>
      <c r="I19" s="1213">
        <v>2015</v>
      </c>
      <c r="J19" s="1240">
        <v>2018</v>
      </c>
      <c r="K19" s="1246">
        <v>1</v>
      </c>
      <c r="L19" s="1243">
        <f>INDEX('Heat pump, air-to-air'!$D$9:$J$12,MATCH($I19,'Heat pump, air-to-air'!$B$9:$B$12,0),MATCH(L$5,'Heat pump, air-to-air'!$D$5:$J$5,0))</f>
        <v>12</v>
      </c>
      <c r="M19" s="1244">
        <f>INDEX('Heat pump, air-to-air'!$D$9:$J$12,MATCH($I19,'Heat pump, air-to-air'!$B$9:$B$12,0),MATCH(M$5,'Heat pump, air-to-air'!$D$5:$J$5,0))</f>
        <v>3.3525</v>
      </c>
      <c r="N19" s="1244">
        <f>INDEX('Heat pump, air-to-air'!$D$9:$J$12,MATCH($I19,'Heat pump, air-to-air'!$B$9:$B$12,0),MATCH(N$5,'Heat pump, air-to-air'!$D$5:$J$5,0))</f>
        <v>0.31662500000000005</v>
      </c>
      <c r="O19" s="1243">
        <f>INDEX('Heat pump, air-to-air'!$D$9:$J$12,MATCH($I19,'Heat pump, air-to-air'!$B$9:$B$12,0),MATCH(O$5,'Heat pump, air-to-air'!$D$5:$J$5,0))</f>
        <v>0</v>
      </c>
      <c r="P19" s="1241">
        <f t="shared" si="0"/>
        <v>3.1536000000000002E-2</v>
      </c>
      <c r="Q19" s="1244">
        <f>INDEX('Heat pump, air-to-air'!$D$9:$J$12,MATCH($I19,'Heat pump, air-to-air'!$B$9:$B$12,0),MATCH(Q$5,'Heat pump, air-to-air'!$D$5:$J$5,0))</f>
        <v>8.3999999999999991E-2</v>
      </c>
    </row>
    <row r="20" spans="2:17" ht="15">
      <c r="B20" s="1221"/>
      <c r="C20" s="1221"/>
      <c r="F20" s="1213"/>
      <c r="G20" s="1213"/>
      <c r="H20" s="1213" t="s">
        <v>795</v>
      </c>
      <c r="I20" s="1213">
        <v>2020</v>
      </c>
      <c r="J20" s="1181"/>
      <c r="K20" s="1246">
        <v>1</v>
      </c>
      <c r="L20" s="1243">
        <f>INDEX('Heat pump, air-to-air'!$D$9:$J$12,MATCH($I20,'Heat pump, air-to-air'!$B$9:$B$12,0),MATCH(L$5,'Heat pump, air-to-air'!$D$5:$J$5,0))</f>
        <v>12</v>
      </c>
      <c r="M20" s="1244">
        <f>INDEX('Heat pump, air-to-air'!$D$9:$J$12,MATCH($I20,'Heat pump, air-to-air'!$B$9:$B$12,0),MATCH(M$5,'Heat pump, air-to-air'!$D$5:$J$5,0))</f>
        <v>3.1662499999999998</v>
      </c>
      <c r="N20" s="1244">
        <f>INDEX('Heat pump, air-to-air'!$D$9:$J$12,MATCH($I20,'Heat pump, air-to-air'!$B$9:$B$12,0),MATCH(N$5,'Heat pump, air-to-air'!$D$5:$J$5,0))</f>
        <v>0.30110722454958749</v>
      </c>
      <c r="O20" s="1243">
        <f>INDEX('Heat pump, air-to-air'!$D$9:$J$12,MATCH($I20,'Heat pump, air-to-air'!$B$9:$B$12,0),MATCH(O$5,'Heat pump, air-to-air'!$D$5:$J$5,0))</f>
        <v>0</v>
      </c>
      <c r="P20" s="1241">
        <f t="shared" si="0"/>
        <v>3.1536000000000002E-2</v>
      </c>
      <c r="Q20" s="1244">
        <f>INDEX('Heat pump, air-to-air'!$D$9:$J$12,MATCH($I20,'Heat pump, air-to-air'!$B$9:$B$12,0),MATCH(Q$5,'Heat pump, air-to-air'!$D$5:$J$5,0))</f>
        <v>8.3999999999999991E-2</v>
      </c>
    </row>
    <row r="21" spans="2:17" ht="15">
      <c r="B21" s="1221"/>
      <c r="C21" s="1221"/>
      <c r="F21" s="1213"/>
      <c r="G21" s="1213"/>
      <c r="H21" s="1213" t="s">
        <v>795</v>
      </c>
      <c r="I21" s="1213">
        <v>2030</v>
      </c>
      <c r="J21" s="1181"/>
      <c r="K21" s="1246">
        <v>1</v>
      </c>
      <c r="L21" s="1242">
        <f t="shared" ref="L21:L22" si="14">L20</f>
        <v>12</v>
      </c>
      <c r="M21" s="1245">
        <f t="shared" ref="M21:M22" si="15">M20</f>
        <v>3.1662499999999998</v>
      </c>
      <c r="N21" s="1245">
        <f t="shared" ref="N21:N22" si="16">N20</f>
        <v>0.30110722454958749</v>
      </c>
      <c r="O21" s="1242">
        <f t="shared" ref="O21:O22" si="17">O20</f>
        <v>0</v>
      </c>
      <c r="P21" s="1241">
        <f t="shared" ref="P21:P22" si="18">P20</f>
        <v>3.1536000000000002E-2</v>
      </c>
      <c r="Q21" s="1245">
        <f t="shared" ref="Q21:Q22" si="19">Q20</f>
        <v>8.3999999999999991E-2</v>
      </c>
    </row>
    <row r="22" spans="2:17" ht="15">
      <c r="B22" s="1221"/>
      <c r="C22" s="1221"/>
      <c r="F22" s="1213"/>
      <c r="G22" s="1213"/>
      <c r="H22" s="1213" t="s">
        <v>795</v>
      </c>
      <c r="I22" s="1213">
        <v>2050</v>
      </c>
      <c r="J22" s="1181"/>
      <c r="K22" s="1246">
        <v>1</v>
      </c>
      <c r="L22" s="1242">
        <f t="shared" si="14"/>
        <v>12</v>
      </c>
      <c r="M22" s="1245">
        <f t="shared" si="15"/>
        <v>3.1662499999999998</v>
      </c>
      <c r="N22" s="1245">
        <f t="shared" si="16"/>
        <v>0.30110722454958749</v>
      </c>
      <c r="O22" s="1242">
        <f t="shared" si="17"/>
        <v>0</v>
      </c>
      <c r="P22" s="1241">
        <f t="shared" si="18"/>
        <v>3.1536000000000002E-2</v>
      </c>
      <c r="Q22" s="1245">
        <f t="shared" si="19"/>
        <v>8.3999999999999991E-2</v>
      </c>
    </row>
    <row r="23" spans="2:17" ht="19">
      <c r="B23" s="1221"/>
      <c r="C23" s="1221"/>
      <c r="F23" s="1213"/>
      <c r="G23" s="1213"/>
      <c r="H23" s="1213"/>
      <c r="I23" s="1213"/>
      <c r="J23" s="1182"/>
      <c r="K23" s="1237"/>
      <c r="L23" s="1182"/>
      <c r="M23" s="1182"/>
      <c r="N23" s="1221"/>
      <c r="O23" s="1221"/>
      <c r="P23" s="1221"/>
    </row>
    <row r="24" spans="2:17" ht="19">
      <c r="B24" s="1221"/>
      <c r="C24" s="1221"/>
      <c r="D24" s="1238"/>
      <c r="F24" s="1213"/>
      <c r="G24" s="1213"/>
      <c r="H24" s="1213"/>
      <c r="I24" s="1213"/>
      <c r="J24" s="1182"/>
      <c r="K24" s="1237"/>
      <c r="L24" s="1182"/>
      <c r="M24" s="1182"/>
      <c r="N24" s="1221"/>
      <c r="O24" s="1221"/>
      <c r="P24" s="1221"/>
    </row>
    <row r="25" spans="2:17" ht="19">
      <c r="B25" s="1221"/>
      <c r="C25" s="1221"/>
      <c r="D25" s="1238"/>
      <c r="F25" s="1213"/>
      <c r="G25" s="1213"/>
      <c r="H25" s="1213"/>
      <c r="I25" s="1213"/>
      <c r="J25" s="1182"/>
      <c r="K25" s="1237"/>
      <c r="L25" s="1182"/>
      <c r="M25" s="1182"/>
      <c r="N25" s="1221"/>
      <c r="O25" s="1221"/>
      <c r="P25" s="1221"/>
    </row>
    <row r="26" spans="2:17">
      <c r="D26" s="1238"/>
    </row>
    <row r="27" spans="2:17">
      <c r="D27" s="1238"/>
    </row>
    <row r="115" spans="4:5">
      <c r="D115" s="1183"/>
      <c r="E115" s="1183"/>
    </row>
    <row r="116" spans="4:5">
      <c r="D116" s="1183"/>
      <c r="E116" s="1183"/>
    </row>
    <row r="117" spans="4:5">
      <c r="D117" s="1183"/>
      <c r="E117" s="1183"/>
    </row>
    <row r="118" spans="4:5">
      <c r="D118" s="1183"/>
      <c r="E118" s="1183"/>
    </row>
    <row r="119" spans="4:5">
      <c r="D119" s="1183"/>
      <c r="E119" s="1183"/>
    </row>
    <row r="120" spans="4:5">
      <c r="D120" s="1183"/>
      <c r="E120" s="1183"/>
    </row>
    <row r="121" spans="4:5">
      <c r="D121" s="1183"/>
      <c r="E121" s="1183"/>
    </row>
    <row r="122" spans="4:5">
      <c r="D122" s="1183"/>
      <c r="E122" s="1183"/>
    </row>
    <row r="123" spans="4:5">
      <c r="D123" s="1183"/>
      <c r="E123" s="1183"/>
    </row>
    <row r="124" spans="4:5">
      <c r="D124" s="1183"/>
      <c r="E124" s="1183"/>
    </row>
    <row r="125" spans="4:5">
      <c r="D125" s="1183"/>
      <c r="E125" s="1183"/>
    </row>
    <row r="126" spans="4:5">
      <c r="D126" s="1183"/>
      <c r="E126" s="1183"/>
    </row>
    <row r="127" spans="4:5">
      <c r="D127" s="1183"/>
      <c r="E127" s="1183"/>
    </row>
    <row r="128" spans="4:5">
      <c r="D128" s="1183"/>
      <c r="E128" s="1183"/>
    </row>
    <row r="129" spans="4:5">
      <c r="D129" s="1183"/>
      <c r="E129" s="1183"/>
    </row>
    <row r="130" spans="4:5">
      <c r="D130" s="1183"/>
      <c r="E130" s="1183"/>
    </row>
    <row r="131" spans="4:5">
      <c r="D131" s="1183"/>
      <c r="E131" s="1183"/>
    </row>
    <row r="132" spans="4:5">
      <c r="D132" s="1183"/>
      <c r="E132" s="1183"/>
    </row>
    <row r="133" spans="4:5">
      <c r="D133" s="1183"/>
      <c r="E133" s="1183"/>
    </row>
    <row r="134" spans="4:5">
      <c r="D134" s="1183"/>
      <c r="E134" s="1183"/>
    </row>
    <row r="135" spans="4:5">
      <c r="D135" s="1183"/>
      <c r="E135" s="1183"/>
    </row>
    <row r="136" spans="4:5">
      <c r="D136" s="1183"/>
      <c r="E136" s="1183"/>
    </row>
    <row r="137" spans="4:5">
      <c r="D137" s="1183"/>
      <c r="E137" s="1183"/>
    </row>
    <row r="138" spans="4:5">
      <c r="D138" s="1183"/>
      <c r="E138" s="1183"/>
    </row>
    <row r="139" spans="4:5">
      <c r="D139" s="1183"/>
      <c r="E139" s="1183"/>
    </row>
    <row r="140" spans="4:5">
      <c r="D140" s="1183"/>
      <c r="E140" s="1183"/>
    </row>
    <row r="141" spans="4:5">
      <c r="D141" s="1183"/>
      <c r="E141" s="1183"/>
    </row>
    <row r="142" spans="4:5">
      <c r="D142" s="1183"/>
      <c r="E142" s="1183"/>
    </row>
    <row r="143" spans="4:5">
      <c r="D143" s="1183"/>
      <c r="E143" s="1183"/>
    </row>
    <row r="144" spans="4:5">
      <c r="D144" s="1183"/>
      <c r="E144" s="1183"/>
    </row>
    <row r="145" spans="4:5">
      <c r="D145" s="1183"/>
      <c r="E145" s="1183"/>
    </row>
    <row r="146" spans="4:5">
      <c r="D146" s="1183"/>
      <c r="E146" s="1183"/>
    </row>
    <row r="147" spans="4:5">
      <c r="D147" s="1183"/>
      <c r="E147" s="1183"/>
    </row>
    <row r="148" spans="4:5">
      <c r="D148" s="1183"/>
      <c r="E148" s="1183"/>
    </row>
    <row r="149" spans="4:5">
      <c r="D149" s="1183"/>
      <c r="E149" s="1183"/>
    </row>
    <row r="150" spans="4:5">
      <c r="D150" s="1183"/>
      <c r="E150" s="1183"/>
    </row>
    <row r="151" spans="4:5">
      <c r="D151" s="1183"/>
      <c r="E151" s="1183"/>
    </row>
    <row r="152" spans="4:5">
      <c r="D152" s="1183"/>
      <c r="E152" s="1183"/>
    </row>
    <row r="153" spans="4:5">
      <c r="D153" s="1183"/>
      <c r="E153" s="1183"/>
    </row>
    <row r="154" spans="4:5">
      <c r="D154" s="1183"/>
      <c r="E154" s="1183"/>
    </row>
    <row r="155" spans="4:5">
      <c r="D155" s="1183"/>
      <c r="E155" s="1183"/>
    </row>
    <row r="156" spans="4:5">
      <c r="D156" s="1183"/>
      <c r="E156" s="118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2:AB156"/>
  <sheetViews>
    <sheetView topLeftCell="A74" workbookViewId="0">
      <selection activeCell="I73" sqref="I73"/>
    </sheetView>
  </sheetViews>
  <sheetFormatPr baseColWidth="10" defaultColWidth="9.1640625" defaultRowHeight="15"/>
  <cols>
    <col min="1" max="1" width="9.1640625" style="53"/>
    <col min="2" max="2" width="10.6640625" style="53" customWidth="1"/>
    <col min="3" max="3" width="15.33203125" style="53" bestFit="1" customWidth="1"/>
    <col min="4" max="4" width="90.5" style="53" customWidth="1"/>
    <col min="5" max="5" width="15.6640625" style="53" customWidth="1"/>
    <col min="6" max="6" width="25.1640625" style="53" bestFit="1" customWidth="1"/>
    <col min="7" max="7" width="9.1640625" style="821" customWidth="1"/>
    <col min="8" max="8" width="11" style="53" customWidth="1"/>
    <col min="9" max="10" width="9.1640625" style="53"/>
    <col min="11" max="11" width="14.5" style="53" customWidth="1"/>
    <col min="12" max="12" width="10" style="53" customWidth="1"/>
    <col min="13" max="14" width="9.1640625" style="53"/>
    <col min="15" max="15" width="9.1640625" style="53" customWidth="1"/>
    <col min="16" max="20" width="9.1640625" style="53"/>
    <col min="21" max="21" width="16.5" style="53" customWidth="1"/>
    <col min="22" max="22" width="9.1640625" style="53"/>
    <col min="23" max="23" width="9.1640625" style="696"/>
    <col min="24" max="24" width="9.1640625" style="53"/>
    <col min="25" max="25" width="21.5" style="53" customWidth="1"/>
    <col min="26" max="26" width="9.1640625" style="53"/>
    <col min="27" max="27" width="18.5" style="53" customWidth="1"/>
    <col min="28" max="28" width="39.6640625" style="53" customWidth="1"/>
    <col min="29" max="16384" width="9.1640625" style="53"/>
  </cols>
  <sheetData>
    <row r="2" spans="3:27">
      <c r="H2" s="69" t="s">
        <v>336</v>
      </c>
    </row>
    <row r="3" spans="3:27" ht="32">
      <c r="C3" s="27" t="s">
        <v>292</v>
      </c>
      <c r="D3" s="27" t="s">
        <v>293</v>
      </c>
      <c r="E3" s="27" t="s">
        <v>294</v>
      </c>
      <c r="F3" s="64" t="s">
        <v>295</v>
      </c>
      <c r="G3" s="836" t="s">
        <v>792</v>
      </c>
      <c r="H3" s="27" t="s">
        <v>255</v>
      </c>
      <c r="I3" s="27" t="s">
        <v>256</v>
      </c>
      <c r="J3" s="28" t="s">
        <v>257</v>
      </c>
      <c r="K3" s="28" t="s">
        <v>259</v>
      </c>
      <c r="L3" s="29" t="s">
        <v>260</v>
      </c>
      <c r="M3" s="30" t="s">
        <v>261</v>
      </c>
      <c r="N3" s="30" t="s">
        <v>262</v>
      </c>
      <c r="O3" s="30" t="s">
        <v>263</v>
      </c>
      <c r="P3" s="30" t="s">
        <v>264</v>
      </c>
      <c r="Q3" s="30"/>
      <c r="R3" s="30" t="s">
        <v>265</v>
      </c>
      <c r="S3" s="30" t="s">
        <v>266</v>
      </c>
      <c r="T3" s="30" t="s">
        <v>267</v>
      </c>
      <c r="U3" s="30" t="s">
        <v>268</v>
      </c>
      <c r="V3" s="30" t="s">
        <v>269</v>
      </c>
      <c r="W3" s="726"/>
      <c r="X3" s="53" t="s">
        <v>290</v>
      </c>
      <c r="Z3" s="28" t="s">
        <v>258</v>
      </c>
      <c r="AA3" s="106" t="s">
        <v>367</v>
      </c>
    </row>
    <row r="4" spans="3:27" ht="33" thickBot="1">
      <c r="C4" s="65" t="s">
        <v>296</v>
      </c>
      <c r="D4" s="31"/>
      <c r="E4" s="31"/>
      <c r="F4" s="66"/>
      <c r="G4" s="837" t="s">
        <v>793</v>
      </c>
      <c r="H4" s="31"/>
      <c r="I4" s="31"/>
      <c r="J4" s="32"/>
      <c r="K4" s="32"/>
      <c r="L4" s="33"/>
      <c r="M4" s="31"/>
      <c r="N4" s="31"/>
      <c r="O4" s="31"/>
      <c r="P4" s="31"/>
      <c r="Q4" s="31"/>
      <c r="R4" s="31"/>
      <c r="S4" s="31"/>
      <c r="T4" s="31"/>
      <c r="U4" s="31"/>
      <c r="V4" s="31"/>
      <c r="W4" s="727"/>
      <c r="Z4" s="32"/>
      <c r="AA4" s="107"/>
    </row>
    <row r="5" spans="3:27" ht="16" thickBot="1">
      <c r="C5" s="53" t="s">
        <v>318</v>
      </c>
      <c r="G5" s="838" t="s">
        <v>794</v>
      </c>
      <c r="H5" s="38"/>
      <c r="I5" s="38"/>
      <c r="J5" s="38" t="s">
        <v>662</v>
      </c>
      <c r="K5" s="38" t="s">
        <v>637</v>
      </c>
      <c r="L5" s="38" t="s">
        <v>353</v>
      </c>
      <c r="M5" s="38" t="s">
        <v>354</v>
      </c>
      <c r="N5" s="38" t="s">
        <v>355</v>
      </c>
      <c r="O5" s="38" t="s">
        <v>271</v>
      </c>
      <c r="P5" s="38" t="s">
        <v>271</v>
      </c>
      <c r="Q5" s="38"/>
      <c r="R5" s="38" t="s">
        <v>272</v>
      </c>
      <c r="S5" s="38" t="s">
        <v>272</v>
      </c>
      <c r="T5" s="38" t="s">
        <v>272</v>
      </c>
      <c r="U5" s="38" t="s">
        <v>272</v>
      </c>
      <c r="V5" s="38" t="s">
        <v>272</v>
      </c>
      <c r="W5" s="728"/>
      <c r="Z5" s="38"/>
      <c r="AA5" s="108"/>
    </row>
    <row r="6" spans="3:27">
      <c r="C6" s="172" t="str">
        <f>Processes!D58</f>
        <v>CHTDBNGABN1</v>
      </c>
      <c r="D6" s="172" t="str">
        <f>Processes!E58</f>
        <v>Commercial heating technology detached building - natural gas boiler - new 1</v>
      </c>
      <c r="E6" s="821" t="s">
        <v>962</v>
      </c>
      <c r="F6" s="1213" t="str">
        <f>Commodities_VT!$C$38&amp;","&amp;Commodities_VT!$C$39&amp;","&amp;Commodities_VT!$C$15</f>
        <v>COMHUDB,COMHRDB,CWFDEM</v>
      </c>
      <c r="G6" s="839" t="s">
        <v>795</v>
      </c>
      <c r="H6" s="46">
        <v>2012</v>
      </c>
      <c r="I6" s="46">
        <v>2018</v>
      </c>
      <c r="J6" s="831">
        <f>'Natural gas boiler'!D8-$J$96</f>
        <v>0.94</v>
      </c>
      <c r="K6" s="46">
        <f>'Natural gas boiler'!E8</f>
        <v>20</v>
      </c>
      <c r="L6" s="478">
        <f>'Natural gas boiler'!F8</f>
        <v>2.3839999999999999</v>
      </c>
      <c r="M6" s="83">
        <f>'Natural gas boiler'!G8</f>
        <v>0.15604025000000002</v>
      </c>
      <c r="N6" s="83">
        <f>'Natural gas boiler'!H8</f>
        <v>0</v>
      </c>
      <c r="O6" s="47">
        <v>3.1536000000000002E-2</v>
      </c>
      <c r="P6" s="83">
        <f>'Natural gas boiler'!J8</f>
        <v>0.2</v>
      </c>
      <c r="Q6" s="76"/>
      <c r="R6" s="73">
        <f>'Natural gas boiler'!K8</f>
        <v>0</v>
      </c>
      <c r="S6" s="46">
        <f>'Natural gas boiler'!L8</f>
        <v>20</v>
      </c>
      <c r="T6" s="46">
        <f>'Natural gas boiler'!M8</f>
        <v>2</v>
      </c>
      <c r="U6" s="73">
        <f>'Natural gas boiler'!N8</f>
        <v>0</v>
      </c>
      <c r="V6" s="46">
        <f>'Natural gas boiler'!O8</f>
        <v>0</v>
      </c>
      <c r="W6" s="86"/>
      <c r="X6" s="53" t="s">
        <v>542</v>
      </c>
      <c r="Z6" s="46"/>
      <c r="AA6" s="105"/>
    </row>
    <row r="7" spans="3:27">
      <c r="D7" s="821"/>
      <c r="G7" s="839" t="s">
        <v>795</v>
      </c>
      <c r="H7" s="46">
        <f>'Natural gas boiler'!B9</f>
        <v>2020</v>
      </c>
      <c r="I7" s="46"/>
      <c r="J7" s="831">
        <f>'Natural gas boiler'!D9-$J$96</f>
        <v>0.94</v>
      </c>
      <c r="K7" s="46">
        <f>'Natural gas boiler'!E9</f>
        <v>20</v>
      </c>
      <c r="L7" s="478">
        <f>'Natural gas boiler'!F9</f>
        <v>2.3249930274425501</v>
      </c>
      <c r="M7" s="83">
        <f>'Natural gas boiler'!G9</f>
        <v>0.15250876421515935</v>
      </c>
      <c r="N7" s="83">
        <f>'Natural gas boiler'!H9</f>
        <v>0</v>
      </c>
      <c r="O7" s="47"/>
      <c r="P7" s="76"/>
      <c r="Q7" s="76"/>
      <c r="R7" s="73">
        <f>'Natural gas boiler'!K9</f>
        <v>0</v>
      </c>
      <c r="S7" s="46">
        <f>'Natural gas boiler'!L9</f>
        <v>10</v>
      </c>
      <c r="T7" s="46">
        <f>'Natural gas boiler'!M9</f>
        <v>1</v>
      </c>
      <c r="U7" s="73">
        <f>'Natural gas boiler'!N9</f>
        <v>0</v>
      </c>
      <c r="V7" s="46">
        <f>'Natural gas boiler'!O9</f>
        <v>0</v>
      </c>
      <c r="W7" s="86"/>
      <c r="Z7" s="46"/>
      <c r="AA7" s="105"/>
    </row>
    <row r="8" spans="3:27">
      <c r="D8" s="821"/>
      <c r="G8" s="839" t="s">
        <v>795</v>
      </c>
      <c r="H8" s="46">
        <f>'Natural gas boiler'!B10</f>
        <v>2030</v>
      </c>
      <c r="I8" s="46"/>
      <c r="J8" s="831">
        <f>'Natural gas boiler'!D10-$J$96</f>
        <v>0.95</v>
      </c>
      <c r="K8" s="46">
        <f>'Natural gas boiler'!E10</f>
        <v>20</v>
      </c>
      <c r="L8" s="478">
        <f>'Natural gas boiler'!F10</f>
        <v>2.2113244216628942</v>
      </c>
      <c r="M8" s="83">
        <f>'Natural gas boiler'!G10</f>
        <v>0.14798962635393087</v>
      </c>
      <c r="N8" s="83">
        <f>'Natural gas boiler'!H10</f>
        <v>0</v>
      </c>
      <c r="O8" s="47"/>
      <c r="P8" s="76"/>
      <c r="Q8" s="76"/>
      <c r="R8" s="73">
        <f>'Natural gas boiler'!K10</f>
        <v>0</v>
      </c>
      <c r="S8" s="46">
        <f>'Natural gas boiler'!L10</f>
        <v>5</v>
      </c>
      <c r="T8" s="46">
        <f>'Natural gas boiler'!M10</f>
        <v>0.5</v>
      </c>
      <c r="U8" s="73">
        <f>'Natural gas boiler'!N10</f>
        <v>0</v>
      </c>
      <c r="V8" s="46">
        <f>'Natural gas boiler'!O10</f>
        <v>0</v>
      </c>
      <c r="W8" s="86"/>
      <c r="Z8" s="46"/>
      <c r="AA8" s="105"/>
    </row>
    <row r="9" spans="3:27">
      <c r="D9" s="821"/>
      <c r="G9" s="839" t="s">
        <v>795</v>
      </c>
      <c r="H9" s="46">
        <f>'Natural gas boiler'!B11</f>
        <v>2050</v>
      </c>
      <c r="I9" s="46"/>
      <c r="J9" s="831">
        <f>'Natural gas boiler'!D11-$J$96</f>
        <v>0.96</v>
      </c>
      <c r="K9" s="46">
        <f>'Natural gas boiler'!E11</f>
        <v>20</v>
      </c>
      <c r="L9" s="478">
        <f>'Natural gas boiler'!F11</f>
        <v>2.0003872471234621</v>
      </c>
      <c r="M9" s="83">
        <f>'Natural gas boiler'!G11</f>
        <v>0.1346123529452164</v>
      </c>
      <c r="N9" s="83">
        <f>'Natural gas boiler'!H11</f>
        <v>0</v>
      </c>
      <c r="O9" s="47"/>
      <c r="P9" s="76"/>
      <c r="Q9" s="76"/>
      <c r="R9" s="73">
        <f>'Natural gas boiler'!K11</f>
        <v>0</v>
      </c>
      <c r="S9" s="46">
        <f>'Natural gas boiler'!L11</f>
        <v>3</v>
      </c>
      <c r="T9" s="46">
        <f>'Natural gas boiler'!M11</f>
        <v>0.25</v>
      </c>
      <c r="U9" s="73">
        <f>'Natural gas boiler'!N11</f>
        <v>0</v>
      </c>
      <c r="V9" s="46">
        <f>'Natural gas boiler'!O11</f>
        <v>0</v>
      </c>
      <c r="W9" s="86"/>
      <c r="Z9" s="46"/>
      <c r="AA9" s="105"/>
    </row>
    <row r="10" spans="3:27">
      <c r="C10" s="53" t="str">
        <f>Processes!D59</f>
        <v>CHTDBDSLBN1</v>
      </c>
      <c r="D10" s="821" t="str">
        <f>Processes!E59</f>
        <v>Commercial heating technology detached building - oil boiler - new 1</v>
      </c>
      <c r="E10" s="824" t="s">
        <v>963</v>
      </c>
      <c r="F10" s="1213" t="str">
        <f>Commodities_VT!$C$38&amp;","&amp;Commodities_VT!$C$39&amp;","&amp;Commodities_VT!$C$15</f>
        <v>COMHUDB,COMHRDB,CWFDEM</v>
      </c>
      <c r="G10" s="839" t="s">
        <v>795</v>
      </c>
      <c r="H10" s="46">
        <v>2012</v>
      </c>
      <c r="I10" s="46">
        <v>2018</v>
      </c>
      <c r="J10" s="840">
        <f>'Oil-fired boiler'!D8-$J$96</f>
        <v>0.89</v>
      </c>
      <c r="K10" s="84">
        <f>'Oil-fired boiler'!E8</f>
        <v>20</v>
      </c>
      <c r="L10" s="480">
        <f>'Oil-fired boiler'!F8</f>
        <v>2.9800000000000004</v>
      </c>
      <c r="M10" s="84">
        <f>'Oil-fired boiler'!G8</f>
        <v>0.12389349999999999</v>
      </c>
      <c r="N10" s="84">
        <f>'Oil-fired boiler'!H8</f>
        <v>0</v>
      </c>
      <c r="O10" s="47">
        <v>3.1536000000000002E-2</v>
      </c>
      <c r="P10" s="84">
        <f>'Oil-fired boiler'!J8</f>
        <v>0.13333333333333333</v>
      </c>
      <c r="Q10" s="76"/>
      <c r="R10" s="48">
        <f>'Oil-fired boiler'!K8</f>
        <v>0.5</v>
      </c>
      <c r="S10" s="48">
        <f>'Oil-fired boiler'!L8</f>
        <v>30</v>
      </c>
      <c r="T10" s="48">
        <f>'Oil-fired boiler'!M8</f>
        <v>0</v>
      </c>
      <c r="U10" s="48">
        <f>'Oil-fired boiler'!N8</f>
        <v>0</v>
      </c>
      <c r="V10" s="48">
        <f>'Oil-fired boiler'!O8</f>
        <v>0.03</v>
      </c>
      <c r="W10" s="79"/>
      <c r="X10" s="427" t="s">
        <v>542</v>
      </c>
      <c r="Z10" s="48"/>
      <c r="AA10" s="105"/>
    </row>
    <row r="11" spans="3:27">
      <c r="D11" s="821"/>
      <c r="E11" s="70"/>
      <c r="F11" s="70"/>
      <c r="G11" s="839" t="s">
        <v>795</v>
      </c>
      <c r="H11" s="48">
        <f>'Oil-fired boiler'!B9</f>
        <v>2020</v>
      </c>
      <c r="I11" s="48"/>
      <c r="J11" s="84">
        <f>'Oil-fired boiler'!D9-$J$96</f>
        <v>0.89</v>
      </c>
      <c r="K11" s="84">
        <f>'Oil-fired boiler'!E9</f>
        <v>20</v>
      </c>
      <c r="L11" s="480">
        <f>'Oil-fired boiler'!F9</f>
        <v>2.9062412843031877</v>
      </c>
      <c r="M11" s="84">
        <f>'Oil-fired boiler'!G9</f>
        <v>0.12104745137212751</v>
      </c>
      <c r="N11" s="84">
        <f>'Oil-fired boiler'!H9</f>
        <v>0</v>
      </c>
      <c r="O11" s="47"/>
      <c r="P11" s="76"/>
      <c r="Q11" s="76"/>
      <c r="R11" s="48">
        <f>'Oil-fired boiler'!K9</f>
        <v>0.5</v>
      </c>
      <c r="S11" s="48">
        <f>'Oil-fired boiler'!L9</f>
        <v>25</v>
      </c>
      <c r="T11" s="48">
        <f>'Oil-fired boiler'!M9</f>
        <v>0</v>
      </c>
      <c r="U11" s="48">
        <f>'Oil-fired boiler'!N9</f>
        <v>0</v>
      </c>
      <c r="V11" s="48">
        <f>'Oil-fired boiler'!O9</f>
        <v>0.02</v>
      </c>
      <c r="W11" s="79"/>
      <c r="Z11" s="48"/>
      <c r="AA11" s="105"/>
    </row>
    <row r="12" spans="3:27">
      <c r="D12" s="821"/>
      <c r="E12" s="70"/>
      <c r="F12" s="70"/>
      <c r="G12" s="839" t="s">
        <v>795</v>
      </c>
      <c r="H12" s="48">
        <f>'Oil-fired boiler'!B10</f>
        <v>2030</v>
      </c>
      <c r="I12" s="48"/>
      <c r="J12" s="84">
        <f>'Oil-fired boiler'!D10-$J$96</f>
        <v>0.9</v>
      </c>
      <c r="K12" s="84">
        <f>'Oil-fired boiler'!E10</f>
        <v>20</v>
      </c>
      <c r="L12" s="480">
        <f>'Oil-fired boiler'!F10</f>
        <v>2.7641555270786178</v>
      </c>
      <c r="M12" s="84">
        <f>'Oil-fired boiler'!G10</f>
        <v>0.11708745441647805</v>
      </c>
      <c r="N12" s="84">
        <f>'Oil-fired boiler'!H10</f>
        <v>0</v>
      </c>
      <c r="O12" s="47"/>
      <c r="P12" s="76"/>
      <c r="Q12" s="76"/>
      <c r="R12" s="48">
        <f>'Oil-fired boiler'!K10</f>
        <v>0.5</v>
      </c>
      <c r="S12" s="48">
        <f>'Oil-fired boiler'!L10</f>
        <v>20</v>
      </c>
      <c r="T12" s="48">
        <f>'Oil-fired boiler'!M10</f>
        <v>0</v>
      </c>
      <c r="U12" s="48">
        <f>'Oil-fired boiler'!N10</f>
        <v>0</v>
      </c>
      <c r="V12" s="48">
        <f>'Oil-fired boiler'!O10</f>
        <v>0.01</v>
      </c>
      <c r="W12" s="79"/>
      <c r="Z12" s="48"/>
      <c r="AA12" s="105"/>
    </row>
    <row r="13" spans="3:27">
      <c r="D13" s="821"/>
      <c r="E13" s="70"/>
      <c r="F13" s="70"/>
      <c r="G13" s="839" t="s">
        <v>795</v>
      </c>
      <c r="H13" s="48">
        <f>'Oil-fired boiler'!B11</f>
        <v>2050</v>
      </c>
      <c r="I13" s="48"/>
      <c r="J13" s="84">
        <f>'Oil-fired boiler'!D11-$J$96</f>
        <v>0.91999999999999993</v>
      </c>
      <c r="K13" s="84">
        <f>'Oil-fired boiler'!E11</f>
        <v>20</v>
      </c>
      <c r="L13" s="480">
        <f>'Oil-fired boiler'!F11</f>
        <v>2.5004840589043273</v>
      </c>
      <c r="M13" s="84">
        <f>'Oil-fired boiler'!G11</f>
        <v>0.10641146235617312</v>
      </c>
      <c r="N13" s="84">
        <f>'Oil-fired boiler'!H11</f>
        <v>0</v>
      </c>
      <c r="O13" s="47"/>
      <c r="P13" s="76"/>
      <c r="Q13" s="76"/>
      <c r="R13" s="48">
        <f>'Oil-fired boiler'!K11</f>
        <v>0.5</v>
      </c>
      <c r="S13" s="48">
        <f>'Oil-fired boiler'!L11</f>
        <v>15</v>
      </c>
      <c r="T13" s="48">
        <f>'Oil-fired boiler'!M11</f>
        <v>0</v>
      </c>
      <c r="U13" s="48">
        <f>'Oil-fired boiler'!N11</f>
        <v>0</v>
      </c>
      <c r="V13" s="48">
        <f>'Oil-fired boiler'!O11</f>
        <v>0.01</v>
      </c>
      <c r="W13" s="79"/>
      <c r="Z13" s="48"/>
      <c r="AA13" s="105"/>
    </row>
    <row r="14" spans="3:27">
      <c r="C14" s="53" t="str">
        <f>Processes!D60</f>
        <v>CHTDBWPEBN1</v>
      </c>
      <c r="D14" s="821" t="str">
        <f>Processes!E60</f>
        <v>Commercial heating technology detached building - biomass boiler automatic stoking - new 1</v>
      </c>
      <c r="E14" s="70" t="s">
        <v>964</v>
      </c>
      <c r="F14" s="1213" t="str">
        <f>Commodities_VT!$C$38&amp;","&amp;Commodities_VT!$C$39&amp;","&amp;Commodities_VT!$C$15</f>
        <v>COMHUDB,COMHRDB,CWFDEM</v>
      </c>
      <c r="G14" s="839" t="s">
        <v>795</v>
      </c>
      <c r="H14" s="46">
        <v>2012</v>
      </c>
      <c r="I14" s="46">
        <v>2018</v>
      </c>
      <c r="J14" s="830">
        <f>'DBcompar after new tech ka sept'!E12-$J$96</f>
        <v>0.77</v>
      </c>
      <c r="K14" s="84">
        <f>'Biomass boiler, automatic'!E8</f>
        <v>20</v>
      </c>
      <c r="L14" s="480">
        <f>'Biomass boiler, automatic'!F8</f>
        <v>4.3458333333333341</v>
      </c>
      <c r="M14" s="830">
        <f>M10</f>
        <v>0.12389349999999999</v>
      </c>
      <c r="N14" s="84">
        <f>'Biomass boiler, automatic'!H8</f>
        <v>0</v>
      </c>
      <c r="O14" s="47">
        <v>3.1536000000000002E-2</v>
      </c>
      <c r="P14" s="84">
        <f>'Biomass boiler, automatic'!J8</f>
        <v>0.16666666666666666</v>
      </c>
      <c r="Q14" s="76"/>
      <c r="R14" s="73">
        <f>'Biomass boiler, automatic'!K8</f>
        <v>25</v>
      </c>
      <c r="S14" s="73">
        <f>'Biomass boiler, automatic'!L8</f>
        <v>90</v>
      </c>
      <c r="T14" s="73">
        <f>'Biomass boiler, automatic'!M8</f>
        <v>3</v>
      </c>
      <c r="U14" s="73">
        <f>'Biomass boiler, automatic'!N8</f>
        <v>4</v>
      </c>
      <c r="V14" s="73">
        <f>'Biomass boiler, automatic'!O8</f>
        <v>19</v>
      </c>
      <c r="W14" s="93"/>
      <c r="X14" s="427" t="s">
        <v>542</v>
      </c>
      <c r="Z14" s="48"/>
      <c r="AA14" s="105"/>
    </row>
    <row r="15" spans="3:27">
      <c r="D15" s="821"/>
      <c r="G15" s="839" t="s">
        <v>795</v>
      </c>
      <c r="H15" s="48">
        <f>'Biomass boiler, automatic'!B9</f>
        <v>2020</v>
      </c>
      <c r="I15" s="48"/>
      <c r="J15" s="830">
        <f>'DBcompar after new tech ka sept'!E13-$J$96</f>
        <v>0.84</v>
      </c>
      <c r="K15" s="84">
        <f>'Biomass boiler, automatic'!E9</f>
        <v>20</v>
      </c>
      <c r="L15" s="480">
        <f>'Biomass boiler, automatic'!F9</f>
        <v>5.0859222475305792</v>
      </c>
      <c r="M15" s="830">
        <f>M11</f>
        <v>0.12104745137212751</v>
      </c>
      <c r="N15" s="84">
        <f>'Biomass boiler, automatic'!H9</f>
        <v>0</v>
      </c>
      <c r="O15" s="47"/>
      <c r="P15" s="76"/>
      <c r="Q15" s="76"/>
      <c r="R15" s="73">
        <f>'Biomass boiler, automatic'!K9</f>
        <v>25</v>
      </c>
      <c r="S15" s="73">
        <f>'Biomass boiler, automatic'!L9</f>
        <v>70</v>
      </c>
      <c r="T15" s="73">
        <f>'Biomass boiler, automatic'!M9</f>
        <v>2</v>
      </c>
      <c r="U15" s="73">
        <f>'Biomass boiler, automatic'!N9</f>
        <v>4</v>
      </c>
      <c r="V15" s="73">
        <f>'Biomass boiler, automatic'!O9</f>
        <v>15</v>
      </c>
      <c r="W15" s="93"/>
      <c r="Z15" s="48"/>
      <c r="AA15" s="105"/>
    </row>
    <row r="16" spans="3:27">
      <c r="D16" s="821"/>
      <c r="G16" s="839" t="s">
        <v>795</v>
      </c>
      <c r="H16" s="48">
        <f>'Biomass boiler, automatic'!B10</f>
        <v>2030</v>
      </c>
      <c r="I16" s="48"/>
      <c r="J16" s="830">
        <f>'DBcompar after new tech ka sept'!E14-$J$96</f>
        <v>0.88</v>
      </c>
      <c r="K16" s="84">
        <f>'Biomass boiler, automatic'!E10</f>
        <v>20</v>
      </c>
      <c r="L16" s="480">
        <f>'Biomass boiler, automatic'!F10</f>
        <v>4.8372721723875811</v>
      </c>
      <c r="M16" s="830">
        <f>M12</f>
        <v>0.11708745441647805</v>
      </c>
      <c r="N16" s="84">
        <f>'Biomass boiler, automatic'!H10</f>
        <v>0</v>
      </c>
      <c r="O16" s="47"/>
      <c r="P16" s="76"/>
      <c r="Q16" s="76"/>
      <c r="R16" s="73">
        <f>'Biomass boiler, automatic'!K10</f>
        <v>25</v>
      </c>
      <c r="S16" s="73">
        <f>'Biomass boiler, automatic'!L10</f>
        <v>50</v>
      </c>
      <c r="T16" s="73">
        <f>'Biomass boiler, automatic'!M10</f>
        <v>1</v>
      </c>
      <c r="U16" s="73">
        <f>'Biomass boiler, automatic'!N10</f>
        <v>4</v>
      </c>
      <c r="V16" s="73">
        <f>'Biomass boiler, automatic'!O10</f>
        <v>12</v>
      </c>
      <c r="W16" s="93"/>
      <c r="Z16" s="48"/>
      <c r="AA16" s="105"/>
    </row>
    <row r="17" spans="3:27">
      <c r="D17" s="821"/>
      <c r="G17" s="839" t="s">
        <v>795</v>
      </c>
      <c r="H17" s="48">
        <f>'Biomass boiler, automatic'!B11</f>
        <v>2050</v>
      </c>
      <c r="I17" s="48"/>
      <c r="J17" s="830">
        <f>'DBcompar after new tech ka sept'!E15-$J$96</f>
        <v>0.91999999999999993</v>
      </c>
      <c r="K17" s="84">
        <f>'Biomass boiler, automatic'!E11</f>
        <v>20</v>
      </c>
      <c r="L17" s="480">
        <f>'Biomass boiler, automatic'!F11</f>
        <v>4.375847103082573</v>
      </c>
      <c r="M17" s="830">
        <f>M13</f>
        <v>0.10641146235617312</v>
      </c>
      <c r="N17" s="84">
        <f>'Biomass boiler, automatic'!H11</f>
        <v>0</v>
      </c>
      <c r="O17" s="47"/>
      <c r="P17" s="76"/>
      <c r="Q17" s="76"/>
      <c r="R17" s="73">
        <f>'Biomass boiler, automatic'!K11</f>
        <v>25</v>
      </c>
      <c r="S17" s="73">
        <f>'Biomass boiler, automatic'!L11</f>
        <v>40</v>
      </c>
      <c r="T17" s="73">
        <f>'Biomass boiler, automatic'!M11</f>
        <v>0</v>
      </c>
      <c r="U17" s="73">
        <f>'Biomass boiler, automatic'!N11</f>
        <v>4</v>
      </c>
      <c r="V17" s="73">
        <f>'Biomass boiler, automatic'!O11</f>
        <v>10</v>
      </c>
      <c r="W17" s="93"/>
      <c r="Z17" s="48"/>
      <c r="AA17" s="105"/>
    </row>
    <row r="18" spans="3:27" s="764" customFormat="1">
      <c r="C18" s="764" t="str">
        <f>Processes!D61</f>
        <v>CHTDBFIWBN1</v>
      </c>
      <c r="D18" s="821" t="str">
        <f>Processes!E61</f>
        <v>Commercial heating technology detached building - Firewoods - new 1</v>
      </c>
      <c r="E18" s="70" t="s">
        <v>965</v>
      </c>
      <c r="F18" s="1213" t="str">
        <f>Commodities_VT!$C$38&amp;","&amp;Commodities_VT!$C$39&amp;","&amp;Commodities_VT!$C$15</f>
        <v>COMHUDB,COMHRDB,CWFDEM</v>
      </c>
      <c r="G18" s="839" t="s">
        <v>795</v>
      </c>
      <c r="H18" s="46">
        <v>2012</v>
      </c>
      <c r="I18" s="46">
        <v>2018</v>
      </c>
      <c r="J18" s="84">
        <f>'Wood stove'!D8</f>
        <v>0.65</v>
      </c>
      <c r="K18" s="84">
        <f>'Wood stove'!E8</f>
        <v>20</v>
      </c>
      <c r="L18" s="84">
        <f>'Wood stove'!F8</f>
        <v>3.104166666666667</v>
      </c>
      <c r="M18" s="830">
        <f>M10</f>
        <v>0.12389349999999999</v>
      </c>
      <c r="N18" s="84">
        <v>0</v>
      </c>
      <c r="O18" s="47">
        <v>3.1536000000000002E-2</v>
      </c>
      <c r="P18" s="84">
        <f>'Wood stove'!J8</f>
        <v>5.5999999999999994E-2</v>
      </c>
      <c r="Q18" s="76"/>
      <c r="R18" s="819">
        <f>'Wood stove'!K8</f>
        <v>25</v>
      </c>
      <c r="S18" s="819">
        <f>'Wood stove'!L8</f>
        <v>90</v>
      </c>
      <c r="T18" s="819">
        <f>'Wood stove'!M8</f>
        <v>320</v>
      </c>
      <c r="U18" s="819">
        <f>'Wood stove'!N8</f>
        <v>4</v>
      </c>
      <c r="V18" s="819">
        <f>'Wood stove'!O8</f>
        <v>50</v>
      </c>
      <c r="W18" s="93"/>
      <c r="X18" s="764" t="s">
        <v>542</v>
      </c>
      <c r="Z18" s="48"/>
      <c r="AA18" s="105"/>
    </row>
    <row r="19" spans="3:27" s="764" customFormat="1">
      <c r="D19" s="821"/>
      <c r="G19" s="839" t="s">
        <v>795</v>
      </c>
      <c r="H19" s="46">
        <f>'Wood stove'!B9</f>
        <v>2020</v>
      </c>
      <c r="I19" s="84"/>
      <c r="J19" s="84">
        <f>'Wood stove'!D9</f>
        <v>0.7</v>
      </c>
      <c r="K19" s="84">
        <f>'Wood stove'!E9</f>
        <v>20</v>
      </c>
      <c r="L19" s="84">
        <f>'Wood stove'!F9</f>
        <v>3.7250000000000001</v>
      </c>
      <c r="M19" s="830">
        <f>M11</f>
        <v>0.12104745137212751</v>
      </c>
      <c r="N19" s="84">
        <v>0</v>
      </c>
      <c r="O19" s="47"/>
      <c r="P19" s="76"/>
      <c r="Q19" s="76"/>
      <c r="R19" s="819">
        <f>'Wood stove'!K9</f>
        <v>25</v>
      </c>
      <c r="S19" s="819">
        <f>'Wood stove'!L9</f>
        <v>90</v>
      </c>
      <c r="T19" s="819">
        <f>'Wood stove'!M9</f>
        <v>125</v>
      </c>
      <c r="U19" s="819">
        <f>'Wood stove'!N9</f>
        <v>4</v>
      </c>
      <c r="V19" s="819">
        <f>'Wood stove'!O9</f>
        <v>40</v>
      </c>
      <c r="W19" s="93"/>
      <c r="Z19" s="48"/>
      <c r="AA19" s="105"/>
    </row>
    <row r="20" spans="3:27" s="764" customFormat="1">
      <c r="D20" s="821"/>
      <c r="G20" s="839" t="s">
        <v>795</v>
      </c>
      <c r="H20" s="46">
        <f>'Wood stove'!B10</f>
        <v>2030</v>
      </c>
      <c r="I20" s="48"/>
      <c r="J20" s="84">
        <f>'Wood stove'!D10</f>
        <v>0.75</v>
      </c>
      <c r="K20" s="84">
        <f>'Wood stove'!E10</f>
        <v>20</v>
      </c>
      <c r="L20" s="84">
        <f>'Wood stove'!F10</f>
        <v>6.5187499999999998</v>
      </c>
      <c r="M20" s="830">
        <f>M12</f>
        <v>0.11708745441647805</v>
      </c>
      <c r="N20" s="84">
        <v>0</v>
      </c>
      <c r="O20" s="47"/>
      <c r="P20" s="76"/>
      <c r="Q20" s="76"/>
      <c r="R20" s="819">
        <f>'Wood stove'!K10</f>
        <v>25</v>
      </c>
      <c r="S20" s="819">
        <f>'Wood stove'!L10</f>
        <v>90</v>
      </c>
      <c r="T20" s="819">
        <f>'Wood stove'!M10</f>
        <v>100</v>
      </c>
      <c r="U20" s="819">
        <f>'Wood stove'!N10</f>
        <v>4</v>
      </c>
      <c r="V20" s="819">
        <f>'Wood stove'!O10</f>
        <v>30</v>
      </c>
      <c r="W20" s="93"/>
      <c r="Z20" s="48"/>
      <c r="AA20" s="105"/>
    </row>
    <row r="21" spans="3:27" s="764" customFormat="1">
      <c r="D21" s="821"/>
      <c r="G21" s="839" t="s">
        <v>795</v>
      </c>
      <c r="H21" s="46">
        <f>'Wood stove'!B11</f>
        <v>2050</v>
      </c>
      <c r="I21" s="48"/>
      <c r="J21" s="84">
        <f>'Wood stove'!D11</f>
        <v>0.75</v>
      </c>
      <c r="K21" s="84">
        <f>'Wood stove'!E11</f>
        <v>20</v>
      </c>
      <c r="L21" s="84">
        <f>'Wood stove'!F11</f>
        <v>5.7737500000000006</v>
      </c>
      <c r="M21" s="830">
        <f>M13</f>
        <v>0.10641146235617312</v>
      </c>
      <c r="N21" s="84">
        <v>0</v>
      </c>
      <c r="O21" s="47"/>
      <c r="P21" s="76"/>
      <c r="Q21" s="76"/>
      <c r="R21" s="819">
        <f>'Wood stove'!K11</f>
        <v>25</v>
      </c>
      <c r="S21" s="819">
        <f>'Wood stove'!L11</f>
        <v>90</v>
      </c>
      <c r="T21" s="819">
        <f>'Wood stove'!M11</f>
        <v>100</v>
      </c>
      <c r="U21" s="819">
        <f>'Wood stove'!N11</f>
        <v>4</v>
      </c>
      <c r="V21" s="819">
        <f>'Wood stove'!O11</f>
        <v>25</v>
      </c>
      <c r="W21" s="93"/>
      <c r="Z21" s="48"/>
      <c r="AA21" s="105"/>
    </row>
    <row r="22" spans="3:27">
      <c r="C22" s="53" t="str">
        <f>Processes!D62</f>
        <v>CHTDBELCXN1</v>
      </c>
      <c r="D22" s="821" t="str">
        <f>Processes!E62</f>
        <v>Commercial heating technology detached building - direct eletrical heating - new 1</v>
      </c>
      <c r="E22" s="53" t="s">
        <v>966</v>
      </c>
      <c r="F22" s="1213" t="str">
        <f>Commodities_VT!$C$38&amp;","&amp;Commodities_VT!$C$39&amp;","&amp;Commodities_VT!$C$15</f>
        <v>COMHUDB,COMHRDB,CWFDEM</v>
      </c>
      <c r="G22" s="839" t="s">
        <v>795</v>
      </c>
      <c r="H22" s="46">
        <v>2012</v>
      </c>
      <c r="I22" s="46">
        <v>2018</v>
      </c>
      <c r="J22" s="833">
        <f>'Electric heating'!D8-$J$96</f>
        <v>0.97</v>
      </c>
      <c r="K22" s="48">
        <f>'Electric heating'!E8</f>
        <v>30</v>
      </c>
      <c r="L22" s="480">
        <f>'Electric heating'!F8</f>
        <v>2.2349999999999999</v>
      </c>
      <c r="M22" s="84">
        <f>'Electric heating'!G8</f>
        <v>3.7249999999999998E-2</v>
      </c>
      <c r="N22" s="84">
        <f>'Electric heating'!H8</f>
        <v>0</v>
      </c>
      <c r="O22" s="47">
        <v>3.1536000000000002E-2</v>
      </c>
      <c r="P22" s="84">
        <f>'Electric heating'!J8</f>
        <v>0.2</v>
      </c>
      <c r="Q22" s="76"/>
      <c r="R22" s="48">
        <f>'Electric heating'!K8</f>
        <v>0</v>
      </c>
      <c r="S22" s="48">
        <f>'Electric heating'!L8</f>
        <v>0</v>
      </c>
      <c r="T22" s="48">
        <f>'Electric heating'!M8</f>
        <v>0</v>
      </c>
      <c r="U22" s="48">
        <f>'Electric heating'!N8</f>
        <v>0</v>
      </c>
      <c r="V22" s="48">
        <f>'Electric heating'!O8</f>
        <v>0</v>
      </c>
      <c r="W22" s="79"/>
      <c r="X22" s="427" t="s">
        <v>542</v>
      </c>
      <c r="Z22" s="48"/>
      <c r="AA22" s="105"/>
    </row>
    <row r="23" spans="3:27">
      <c r="D23" s="821"/>
      <c r="G23" s="839" t="s">
        <v>795</v>
      </c>
      <c r="H23" s="48">
        <f>'Electric heating'!B9</f>
        <v>2020</v>
      </c>
      <c r="I23" s="48"/>
      <c r="J23" s="833">
        <f>'Electric heating'!D9-$J$96</f>
        <v>0.97</v>
      </c>
      <c r="K23" s="48">
        <f>'Electric heating'!E9</f>
        <v>30</v>
      </c>
      <c r="L23" s="480">
        <f>'Electric heating'!F9</f>
        <v>2.179680963227391</v>
      </c>
      <c r="M23" s="84">
        <f>'Electric heating'!G9</f>
        <v>3.6328016053789852E-2</v>
      </c>
      <c r="N23" s="84">
        <f>'Electric heating'!H9</f>
        <v>0</v>
      </c>
      <c r="O23" s="47"/>
      <c r="P23" s="76"/>
      <c r="Q23" s="76"/>
      <c r="R23" s="48">
        <f>'Electric heating'!K9</f>
        <v>0</v>
      </c>
      <c r="S23" s="48">
        <f>'Electric heating'!L9</f>
        <v>0</v>
      </c>
      <c r="T23" s="48">
        <f>'Electric heating'!M9</f>
        <v>0</v>
      </c>
      <c r="U23" s="48">
        <f>'Electric heating'!N9</f>
        <v>0</v>
      </c>
      <c r="V23" s="48">
        <f>'Electric heating'!O9</f>
        <v>0</v>
      </c>
      <c r="W23" s="79"/>
      <c r="Z23" s="48"/>
      <c r="AA23" s="105"/>
    </row>
    <row r="24" spans="3:27">
      <c r="D24" s="821"/>
      <c r="G24" s="839" t="s">
        <v>795</v>
      </c>
      <c r="H24" s="48">
        <f>'Electric heating'!B10</f>
        <v>2030</v>
      </c>
      <c r="I24" s="48"/>
      <c r="J24" s="833">
        <f>'Electric heating'!D10-$J$96</f>
        <v>0.97</v>
      </c>
      <c r="K24" s="48">
        <f>'Electric heating'!E10</f>
        <v>30</v>
      </c>
      <c r="L24" s="480">
        <f>'Electric heating'!F10</f>
        <v>2.0731166453089633</v>
      </c>
      <c r="M24" s="84">
        <f>'Electric heating'!G10</f>
        <v>3.4551944088482722E-2</v>
      </c>
      <c r="N24" s="84">
        <f>'Electric heating'!H10</f>
        <v>0</v>
      </c>
      <c r="O24" s="47"/>
      <c r="P24" s="76"/>
      <c r="Q24" s="76"/>
      <c r="R24" s="48">
        <f>'Electric heating'!K10</f>
        <v>0</v>
      </c>
      <c r="S24" s="48">
        <f>'Electric heating'!L10</f>
        <v>0</v>
      </c>
      <c r="T24" s="48">
        <f>'Electric heating'!M10</f>
        <v>0</v>
      </c>
      <c r="U24" s="48">
        <f>'Electric heating'!N10</f>
        <v>0</v>
      </c>
      <c r="V24" s="48">
        <f>'Electric heating'!O10</f>
        <v>0</v>
      </c>
      <c r="W24" s="79"/>
      <c r="Z24" s="48"/>
      <c r="AA24" s="105"/>
    </row>
    <row r="25" spans="3:27">
      <c r="D25" s="821"/>
      <c r="G25" s="839" t="s">
        <v>795</v>
      </c>
      <c r="H25" s="48">
        <f>'Electric heating'!B11</f>
        <v>2050</v>
      </c>
      <c r="I25" s="48"/>
      <c r="J25" s="833">
        <f>'Electric heating'!D11-$J$96</f>
        <v>0.97</v>
      </c>
      <c r="K25" s="48">
        <f>'Electric heating'!E11</f>
        <v>30</v>
      </c>
      <c r="L25" s="480">
        <f>'Electric heating'!F11</f>
        <v>1.8753630441782456</v>
      </c>
      <c r="M25" s="84">
        <f>'Electric heating'!G11</f>
        <v>3.1256050736304095E-2</v>
      </c>
      <c r="N25" s="84">
        <f>'Electric heating'!H11</f>
        <v>0</v>
      </c>
      <c r="O25" s="47"/>
      <c r="P25" s="76"/>
      <c r="Q25" s="76"/>
      <c r="R25" s="48">
        <f>'Electric heating'!K11</f>
        <v>0</v>
      </c>
      <c r="S25" s="48">
        <f>'Electric heating'!L11</f>
        <v>0</v>
      </c>
      <c r="T25" s="48">
        <f>'Electric heating'!M11</f>
        <v>0</v>
      </c>
      <c r="U25" s="48">
        <f>'Electric heating'!N11</f>
        <v>0</v>
      </c>
      <c r="V25" s="48">
        <f>'Electric heating'!O11</f>
        <v>0</v>
      </c>
      <c r="W25" s="79"/>
      <c r="Z25" s="48"/>
      <c r="AA25" s="105"/>
    </row>
    <row r="26" spans="3:27">
      <c r="C26" s="25" t="str">
        <f>Processes!D63</f>
        <v>CHTDBELCXN2E</v>
      </c>
      <c r="D26" s="25" t="str">
        <f>Processes!E63</f>
        <v>Commercial heating technology detached building - Heat pump, air-to-air - new 2, existing buildings</v>
      </c>
      <c r="E26" s="821" t="s">
        <v>966</v>
      </c>
      <c r="F26" s="1213" t="str">
        <f>Commodities_VT!$C$38&amp;","&amp;Commodities_VT!$C$39</f>
        <v>COMHUDB,COMHRDB</v>
      </c>
      <c r="G26" s="839" t="s">
        <v>795</v>
      </c>
      <c r="H26" s="46">
        <v>2012</v>
      </c>
      <c r="I26" s="46">
        <v>2018</v>
      </c>
      <c r="J26" s="105">
        <v>1</v>
      </c>
      <c r="K26" s="84">
        <f>'Heat pump, air-to-air'!E9</f>
        <v>12</v>
      </c>
      <c r="L26" s="84">
        <f>'Heat pump, air-to-air'!F9</f>
        <v>3.3525</v>
      </c>
      <c r="M26" s="84">
        <f>'Heat pump, air-to-air'!G9</f>
        <v>0.31662500000000005</v>
      </c>
      <c r="N26" s="84">
        <f>'Heat pump, air-to-air'!H9</f>
        <v>0</v>
      </c>
      <c r="O26" s="47">
        <v>3.1536000000000002E-2</v>
      </c>
      <c r="P26" s="84">
        <f>'Heat pump, air-to-air'!J9</f>
        <v>8.3999999999999991E-2</v>
      </c>
      <c r="Q26" s="76"/>
      <c r="R26" s="75">
        <f>'Heat pump, air-to-air'!K9</f>
        <v>0</v>
      </c>
      <c r="S26" s="48">
        <f>'Heat pump, air-to-air'!L9</f>
        <v>0</v>
      </c>
      <c r="T26" s="48">
        <f>'Heat pump, air-to-air'!M9</f>
        <v>0</v>
      </c>
      <c r="U26" s="48">
        <f>'Heat pump, air-to-air'!N9</f>
        <v>0</v>
      </c>
      <c r="V26" s="49">
        <f>'Heat pump, air-to-air'!O9</f>
        <v>0</v>
      </c>
      <c r="W26" s="729"/>
      <c r="X26" s="53" t="s">
        <v>291</v>
      </c>
      <c r="Z26" s="48" t="e">
        <f>'Heat pump, air-to-air'!#REF!</f>
        <v>#REF!</v>
      </c>
      <c r="AA26" s="109">
        <f>'Heat pump, air-to-air'!D9</f>
        <v>5</v>
      </c>
    </row>
    <row r="27" spans="3:27">
      <c r="D27" s="821"/>
      <c r="F27" s="43"/>
      <c r="G27" s="839" t="s">
        <v>795</v>
      </c>
      <c r="H27" s="48">
        <f>'Heat pump, air-to-air'!B10</f>
        <v>2020</v>
      </c>
      <c r="I27" s="48"/>
      <c r="J27" s="105">
        <v>1</v>
      </c>
      <c r="K27" s="84">
        <f>'Heat pump, air-to-air'!E10</f>
        <v>12</v>
      </c>
      <c r="L27" s="84">
        <f>'Heat pump, air-to-air'!F10</f>
        <v>3.1662499999999998</v>
      </c>
      <c r="M27" s="84">
        <f>'Heat pump, air-to-air'!G10</f>
        <v>0.30110722454958749</v>
      </c>
      <c r="N27" s="84">
        <f>'Heat pump, air-to-air'!H10</f>
        <v>0</v>
      </c>
      <c r="O27" s="47"/>
      <c r="P27" s="84">
        <f>'Heat pump, air-to-air'!J10</f>
        <v>8.3999999999999991E-2</v>
      </c>
      <c r="Q27" s="76"/>
      <c r="R27" s="48">
        <f>'Heat pump, air-to-air'!K10</f>
        <v>0</v>
      </c>
      <c r="S27" s="48">
        <f>'Heat pump, air-to-air'!L10</f>
        <v>0</v>
      </c>
      <c r="T27" s="48">
        <f>'Heat pump, air-to-air'!M10</f>
        <v>0</v>
      </c>
      <c r="U27" s="48">
        <f>'Heat pump, air-to-air'!N10</f>
        <v>0</v>
      </c>
      <c r="V27" s="49">
        <f>'Heat pump, air-to-air'!O10</f>
        <v>0</v>
      </c>
      <c r="W27" s="729"/>
      <c r="Z27" s="48" t="e">
        <f>'Heat pump, air-to-air'!#REF!</f>
        <v>#REF!</v>
      </c>
      <c r="AA27" s="109">
        <f>'Heat pump, air-to-air'!D10</f>
        <v>5.0999999999999996</v>
      </c>
    </row>
    <row r="28" spans="3:27">
      <c r="D28" s="821"/>
      <c r="F28" s="43"/>
      <c r="G28" s="839" t="s">
        <v>795</v>
      </c>
      <c r="H28" s="48">
        <f>'Heat pump, air-to-air'!B11</f>
        <v>2030</v>
      </c>
      <c r="I28" s="48"/>
      <c r="J28" s="105">
        <v>1</v>
      </c>
      <c r="K28" s="84">
        <f>'Heat pump, air-to-air'!E11</f>
        <v>12</v>
      </c>
      <c r="L28" s="84">
        <f>'Heat pump, air-to-air'!F11</f>
        <v>2.3591666666666664</v>
      </c>
      <c r="M28" s="84">
        <f>'Heat pump, air-to-air'!G11</f>
        <v>0.18154398435886526</v>
      </c>
      <c r="N28" s="84">
        <f>'Heat pump, air-to-air'!H11</f>
        <v>0</v>
      </c>
      <c r="O28" s="47"/>
      <c r="P28" s="84">
        <f>'Heat pump, air-to-air'!J11</f>
        <v>0.14399999999999999</v>
      </c>
      <c r="Q28" s="76"/>
      <c r="R28" s="48">
        <f>'Heat pump, air-to-air'!K11</f>
        <v>0</v>
      </c>
      <c r="S28" s="48">
        <f>'Heat pump, air-to-air'!L11</f>
        <v>0</v>
      </c>
      <c r="T28" s="48">
        <f>'Heat pump, air-to-air'!M11</f>
        <v>0</v>
      </c>
      <c r="U28" s="48">
        <f>'Heat pump, air-to-air'!N11</f>
        <v>0</v>
      </c>
      <c r="V28" s="49">
        <f>'Heat pump, air-to-air'!O11</f>
        <v>0</v>
      </c>
      <c r="W28" s="729"/>
      <c r="Z28" s="48" t="e">
        <f>'Heat pump, air-to-air'!#REF!</f>
        <v>#REF!</v>
      </c>
      <c r="AA28" s="109">
        <f>'Heat pump, air-to-air'!D11</f>
        <v>4.0999999999999996</v>
      </c>
    </row>
    <row r="29" spans="3:27">
      <c r="D29" s="821"/>
      <c r="F29" s="43"/>
      <c r="G29" s="839" t="s">
        <v>795</v>
      </c>
      <c r="H29" s="48">
        <f>'Heat pump, air-to-air'!B12</f>
        <v>2050</v>
      </c>
      <c r="I29" s="48"/>
      <c r="J29" s="105">
        <v>1</v>
      </c>
      <c r="K29" s="84">
        <f>'Heat pump, air-to-air'!E12</f>
        <v>12</v>
      </c>
      <c r="L29" s="84">
        <f>'Heat pump, air-to-air'!F12</f>
        <v>2.2349999999999999</v>
      </c>
      <c r="M29" s="84">
        <f>'Heat pump, air-to-air'!G12</f>
        <v>0.16422659088184083</v>
      </c>
      <c r="N29" s="84">
        <f>'Heat pump, air-to-air'!H12</f>
        <v>0</v>
      </c>
      <c r="O29" s="47"/>
      <c r="P29" s="84">
        <f>'Heat pump, air-to-air'!J12</f>
        <v>0.14399999999999999</v>
      </c>
      <c r="Q29" s="76"/>
      <c r="R29" s="48">
        <f>'Heat pump, air-to-air'!K12</f>
        <v>0</v>
      </c>
      <c r="S29" s="48">
        <f>'Heat pump, air-to-air'!L12</f>
        <v>0</v>
      </c>
      <c r="T29" s="48">
        <f>'Heat pump, air-to-air'!M12</f>
        <v>0</v>
      </c>
      <c r="U29" s="48">
        <f>'Heat pump, air-to-air'!N12</f>
        <v>0</v>
      </c>
      <c r="V29" s="49">
        <f>'Heat pump, air-to-air'!O12</f>
        <v>0</v>
      </c>
      <c r="W29" s="729"/>
      <c r="Z29" s="48" t="e">
        <f>'Heat pump, air-to-air'!#REF!</f>
        <v>#REF!</v>
      </c>
      <c r="AA29" s="109">
        <f>'Heat pump, air-to-air'!D12</f>
        <v>4.2</v>
      </c>
    </row>
    <row r="30" spans="3:27">
      <c r="C30" s="25" t="str">
        <f>Processes!D64</f>
        <v>CHTDBELCXN3E</v>
      </c>
      <c r="D30" s="25" t="str">
        <f>Processes!E64</f>
        <v>Commercial heating technology detached building - Heat pump, air-to-water - new 3, existing buildings</v>
      </c>
      <c r="E30" s="821" t="s">
        <v>966</v>
      </c>
      <c r="F30" s="1213" t="str">
        <f>Commodities_VT!$C$38&amp;","&amp;Commodities_VT!$C$39&amp;","&amp;Commodities_VT!$C$15</f>
        <v>COMHUDB,COMHRDB,CWFDEM</v>
      </c>
      <c r="G30" s="839" t="s">
        <v>795</v>
      </c>
      <c r="H30" s="46">
        <v>2012</v>
      </c>
      <c r="I30" s="46">
        <v>2018</v>
      </c>
      <c r="J30" s="105">
        <v>1</v>
      </c>
      <c r="K30" s="480">
        <f>'Heat pump, air-to-water'!E9</f>
        <v>18</v>
      </c>
      <c r="L30" s="480">
        <f>'Heat pump, air-to-water'!F9</f>
        <v>7.45</v>
      </c>
      <c r="M30" s="84">
        <f>'Heat pump, air-to-water'!G9</f>
        <v>0.21679500000000002</v>
      </c>
      <c r="N30" s="84">
        <f>'Heat pump, air-to-water'!H9</f>
        <v>0</v>
      </c>
      <c r="O30" s="47">
        <v>3.1536000000000002E-2</v>
      </c>
      <c r="P30" s="84">
        <f>'Heat pump, air-to-water'!J9</f>
        <v>0.2</v>
      </c>
      <c r="Q30" s="76"/>
      <c r="R30" s="48">
        <f>'Heat pump, air-to-water'!K9</f>
        <v>0</v>
      </c>
      <c r="S30" s="48">
        <f>'Heat pump, air-to-water'!L9</f>
        <v>0</v>
      </c>
      <c r="T30" s="48">
        <f>'Heat pump, air-to-water'!M9</f>
        <v>0</v>
      </c>
      <c r="U30" s="48">
        <f>'Heat pump, air-to-water'!N9</f>
        <v>0</v>
      </c>
      <c r="V30" s="49">
        <f>'Heat pump, air-to-water'!O9</f>
        <v>0</v>
      </c>
      <c r="W30" s="729"/>
      <c r="X30" s="53" t="s">
        <v>291</v>
      </c>
      <c r="Z30" s="48" t="e">
        <f>'Heat pump, air-to-water'!#REF!</f>
        <v>#REF!</v>
      </c>
      <c r="AA30" s="109">
        <f>'Heat pump, air-to-water'!D10</f>
        <v>3.6749999999999998</v>
      </c>
    </row>
    <row r="31" spans="3:27">
      <c r="D31" s="821"/>
      <c r="F31" s="43"/>
      <c r="G31" s="839" t="s">
        <v>795</v>
      </c>
      <c r="H31" s="48">
        <f>'Heat pump, air-to-water'!B10</f>
        <v>2020</v>
      </c>
      <c r="I31" s="48"/>
      <c r="J31" s="105">
        <v>1</v>
      </c>
      <c r="K31" s="480">
        <f>'Heat pump, air-to-water'!E10</f>
        <v>18</v>
      </c>
      <c r="L31" s="480">
        <f>'Heat pump, air-to-water'!F10</f>
        <v>7.0029999999999992</v>
      </c>
      <c r="M31" s="84">
        <f>'Heat pump, air-to-water'!G10</f>
        <v>0.20713396234501746</v>
      </c>
      <c r="N31" s="84">
        <f>'Heat pump, air-to-water'!H10</f>
        <v>0</v>
      </c>
      <c r="O31" s="47"/>
      <c r="P31" s="76"/>
      <c r="Q31" s="76"/>
      <c r="R31" s="48">
        <f>'Heat pump, air-to-water'!K10</f>
        <v>0</v>
      </c>
      <c r="S31" s="48">
        <f>'Heat pump, air-to-water'!L10</f>
        <v>0</v>
      </c>
      <c r="T31" s="48">
        <f>'Heat pump, air-to-water'!M10</f>
        <v>0</v>
      </c>
      <c r="U31" s="48">
        <f>'Heat pump, air-to-water'!N10</f>
        <v>0</v>
      </c>
      <c r="V31" s="49">
        <f>'Heat pump, air-to-water'!O10</f>
        <v>0</v>
      </c>
      <c r="W31" s="729"/>
      <c r="Z31" s="48" t="e">
        <f>'Heat pump, air-to-water'!#REF!</f>
        <v>#REF!</v>
      </c>
      <c r="AA31" s="109">
        <f>'Heat pump, air-to-water'!D11</f>
        <v>3.875</v>
      </c>
    </row>
    <row r="32" spans="3:27">
      <c r="D32" s="821"/>
      <c r="F32" s="43"/>
      <c r="G32" s="839" t="s">
        <v>795</v>
      </c>
      <c r="H32" s="48">
        <f>'Heat pump, air-to-water'!B11</f>
        <v>2030</v>
      </c>
      <c r="I32" s="48"/>
      <c r="J32" s="105">
        <v>1</v>
      </c>
      <c r="K32" s="480">
        <f>'Heat pump, air-to-water'!E11</f>
        <v>18</v>
      </c>
      <c r="L32" s="480">
        <f>'Heat pump, air-to-water'!F11</f>
        <v>6.3324999999999996</v>
      </c>
      <c r="M32" s="84">
        <f>'Heat pump, air-to-water'!G11</f>
        <v>0.19006189014921157</v>
      </c>
      <c r="N32" s="84">
        <f>'Heat pump, air-to-water'!H11</f>
        <v>0</v>
      </c>
      <c r="O32" s="47"/>
      <c r="P32" s="76"/>
      <c r="Q32" s="76"/>
      <c r="R32" s="48">
        <f>'Heat pump, air-to-water'!K11</f>
        <v>0</v>
      </c>
      <c r="S32" s="48">
        <f>'Heat pump, air-to-water'!L11</f>
        <v>0</v>
      </c>
      <c r="T32" s="48">
        <f>'Heat pump, air-to-water'!M11</f>
        <v>0</v>
      </c>
      <c r="U32" s="48">
        <f>'Heat pump, air-to-water'!N11</f>
        <v>0</v>
      </c>
      <c r="V32" s="49">
        <f>'Heat pump, air-to-water'!O11</f>
        <v>0</v>
      </c>
      <c r="W32" s="729"/>
      <c r="Z32" s="48" t="e">
        <f>'Heat pump, air-to-water'!#REF!</f>
        <v>#REF!</v>
      </c>
      <c r="AA32" s="109">
        <f>'Heat pump, air-to-water'!D12</f>
        <v>4.05</v>
      </c>
    </row>
    <row r="33" spans="3:27">
      <c r="D33" s="821"/>
      <c r="F33" s="43"/>
      <c r="G33" s="839" t="s">
        <v>795</v>
      </c>
      <c r="H33" s="48">
        <f>'Heat pump, air-to-water'!B12</f>
        <v>2050</v>
      </c>
      <c r="I33" s="48"/>
      <c r="J33" s="105">
        <v>1</v>
      </c>
      <c r="K33" s="480">
        <f>'Heat pump, air-to-water'!E12</f>
        <v>18</v>
      </c>
      <c r="L33" s="480">
        <f>'Heat pump, air-to-water'!F12</f>
        <v>5.6619999999999999</v>
      </c>
      <c r="M33" s="84">
        <f>'Heat pump, air-to-water'!G12</f>
        <v>0.17785762965173399</v>
      </c>
      <c r="N33" s="84">
        <f>'Heat pump, air-to-water'!H12</f>
        <v>0</v>
      </c>
      <c r="O33" s="47"/>
      <c r="P33" s="76"/>
      <c r="Q33" s="76"/>
      <c r="R33" s="48">
        <f>'Heat pump, air-to-water'!K12</f>
        <v>0</v>
      </c>
      <c r="S33" s="48">
        <f>'Heat pump, air-to-water'!L12</f>
        <v>0</v>
      </c>
      <c r="T33" s="48">
        <f>'Heat pump, air-to-water'!M12</f>
        <v>0</v>
      </c>
      <c r="U33" s="48">
        <f>'Heat pump, air-to-water'!N12</f>
        <v>0</v>
      </c>
      <c r="V33" s="49">
        <f>'Heat pump, air-to-water'!O12</f>
        <v>0</v>
      </c>
      <c r="W33" s="729"/>
      <c r="Z33" s="48" t="e">
        <f>'Heat pump, air-to-water'!#REF!</f>
        <v>#REF!</v>
      </c>
      <c r="AA33" s="109">
        <f>'Heat pump, air-to-water'!D13</f>
        <v>0</v>
      </c>
    </row>
    <row r="34" spans="3:27">
      <c r="C34" s="25" t="str">
        <f>Processes!D65</f>
        <v>CHTDBELCXN4E</v>
      </c>
      <c r="D34" s="25" t="str">
        <f>Processes!E65</f>
        <v>Commercial heating technology detached building - Heat pump, brine-to-water - new 4, existing buildings</v>
      </c>
      <c r="E34" s="821" t="s">
        <v>966</v>
      </c>
      <c r="F34" s="1213" t="str">
        <f>Commodities_VT!$C$38&amp;","&amp;Commodities_VT!$C$39&amp;","&amp;Commodities_VT!$C$15</f>
        <v>COMHUDB,COMHRDB,CWFDEM</v>
      </c>
      <c r="G34" s="839" t="s">
        <v>795</v>
      </c>
      <c r="H34" s="46">
        <v>2012</v>
      </c>
      <c r="I34" s="46">
        <v>2018</v>
      </c>
      <c r="J34" s="105">
        <v>1</v>
      </c>
      <c r="K34" s="480">
        <f>'Heat pump, ground source'!E9</f>
        <v>20</v>
      </c>
      <c r="L34" s="480">
        <f>'Heat pump, ground source'!F9</f>
        <v>11.920000000000002</v>
      </c>
      <c r="M34" s="84">
        <f>'Heat pump, ground source'!G9</f>
        <v>0.21679500000000002</v>
      </c>
      <c r="N34" s="84">
        <f>'Heat pump, ground source'!H9</f>
        <v>0</v>
      </c>
      <c r="O34" s="47">
        <v>3.1536000000000002E-2</v>
      </c>
      <c r="P34" s="84">
        <f>'Heat pump, ground source'!J9</f>
        <v>0.2</v>
      </c>
      <c r="Q34" s="76"/>
      <c r="R34" s="48">
        <f>'Heat pump, ground source'!L9</f>
        <v>0</v>
      </c>
      <c r="S34" s="48">
        <f>'Heat pump, ground source'!M9</f>
        <v>0</v>
      </c>
      <c r="T34" s="48">
        <f>'Heat pump, ground source'!N9</f>
        <v>0</v>
      </c>
      <c r="U34" s="48">
        <f>'Heat pump, ground source'!O9</f>
        <v>0</v>
      </c>
      <c r="V34" s="49">
        <f>'Heat pump, ground source'!P9</f>
        <v>0</v>
      </c>
      <c r="W34" s="729"/>
      <c r="X34" s="53" t="s">
        <v>291</v>
      </c>
      <c r="Z34" s="48">
        <f>'Heat pump, ground source'!E9</f>
        <v>20</v>
      </c>
      <c r="AA34" s="109">
        <f>'Heat pump, ground source'!D9</f>
        <v>3.6</v>
      </c>
    </row>
    <row r="35" spans="3:27">
      <c r="D35" s="821"/>
      <c r="F35" s="43"/>
      <c r="G35" s="839" t="s">
        <v>795</v>
      </c>
      <c r="H35" s="48">
        <f>'Heat pump, ground source'!B10</f>
        <v>2020</v>
      </c>
      <c r="I35" s="48"/>
      <c r="J35" s="105">
        <v>1</v>
      </c>
      <c r="K35" s="480">
        <f>'Heat pump, ground source'!E10</f>
        <v>20</v>
      </c>
      <c r="L35" s="480">
        <f>'Heat pump, ground source'!F10</f>
        <v>11.175000000000001</v>
      </c>
      <c r="M35" s="84">
        <f>'Heat pump, ground source'!G10</f>
        <v>0.20713396234501746</v>
      </c>
      <c r="N35" s="84">
        <f>'Heat pump, ground source'!H10</f>
        <v>0</v>
      </c>
      <c r="O35" s="47"/>
      <c r="P35" s="76"/>
      <c r="Q35" s="76"/>
      <c r="R35" s="48">
        <f>'Heat pump, ground source'!L10</f>
        <v>0</v>
      </c>
      <c r="S35" s="48">
        <f>'Heat pump, ground source'!M10</f>
        <v>0</v>
      </c>
      <c r="T35" s="48">
        <f>'Heat pump, ground source'!N10</f>
        <v>0</v>
      </c>
      <c r="U35" s="48">
        <f>'Heat pump, ground source'!O10</f>
        <v>0</v>
      </c>
      <c r="V35" s="49">
        <f>'Heat pump, ground source'!P10</f>
        <v>0</v>
      </c>
      <c r="W35" s="729"/>
      <c r="Z35" s="48">
        <f>'Heat pump, ground source'!E10</f>
        <v>20</v>
      </c>
      <c r="AA35" s="109">
        <f>'Heat pump, ground source'!D10</f>
        <v>3.7</v>
      </c>
    </row>
    <row r="36" spans="3:27">
      <c r="D36" s="821"/>
      <c r="F36" s="43"/>
      <c r="G36" s="839" t="s">
        <v>795</v>
      </c>
      <c r="H36" s="48">
        <f>'Heat pump, ground source'!B11</f>
        <v>2030</v>
      </c>
      <c r="I36" s="48"/>
      <c r="J36" s="105">
        <v>1</v>
      </c>
      <c r="K36" s="480">
        <f>'Heat pump, ground source'!E11</f>
        <v>20</v>
      </c>
      <c r="L36" s="480">
        <f>'Heat pump, ground source'!F11</f>
        <v>10.43</v>
      </c>
      <c r="M36" s="84">
        <f>'Heat pump, ground source'!G11</f>
        <v>0.19006189014921157</v>
      </c>
      <c r="N36" s="84">
        <f>'Heat pump, ground source'!H11</f>
        <v>0</v>
      </c>
      <c r="O36" s="47"/>
      <c r="P36" s="76"/>
      <c r="Q36" s="76"/>
      <c r="R36" s="48">
        <f>'Heat pump, ground source'!L11</f>
        <v>0</v>
      </c>
      <c r="S36" s="48">
        <f>'Heat pump, ground source'!M11</f>
        <v>0</v>
      </c>
      <c r="T36" s="48">
        <f>'Heat pump, ground source'!N11</f>
        <v>0</v>
      </c>
      <c r="U36" s="48">
        <f>'Heat pump, ground source'!O11</f>
        <v>0</v>
      </c>
      <c r="V36" s="49">
        <f>'Heat pump, ground source'!P11</f>
        <v>0</v>
      </c>
      <c r="W36" s="729"/>
      <c r="Z36" s="48">
        <f>'Heat pump, ground source'!E11</f>
        <v>20</v>
      </c>
      <c r="AA36" s="109">
        <f>'Heat pump, ground source'!D11</f>
        <v>3.8</v>
      </c>
    </row>
    <row r="37" spans="3:27">
      <c r="D37" s="821"/>
      <c r="F37" s="43"/>
      <c r="G37" s="839" t="s">
        <v>795</v>
      </c>
      <c r="H37" s="48">
        <f>'Heat pump, ground source'!B12</f>
        <v>2050</v>
      </c>
      <c r="I37" s="48"/>
      <c r="J37" s="105">
        <v>1</v>
      </c>
      <c r="K37" s="480">
        <f>'Heat pump, ground source'!E12</f>
        <v>20</v>
      </c>
      <c r="L37" s="480">
        <f>'Heat pump, ground source'!F12</f>
        <v>8.94</v>
      </c>
      <c r="M37" s="84">
        <f>'Heat pump, ground source'!G12</f>
        <v>0.17785762965173399</v>
      </c>
      <c r="N37" s="84">
        <f>'Heat pump, ground source'!H12</f>
        <v>0</v>
      </c>
      <c r="O37" s="47"/>
      <c r="P37" s="76"/>
      <c r="Q37" s="76"/>
      <c r="R37" s="48">
        <f>'Heat pump, ground source'!L12</f>
        <v>0</v>
      </c>
      <c r="S37" s="48">
        <f>'Heat pump, ground source'!M12</f>
        <v>0</v>
      </c>
      <c r="T37" s="48">
        <f>'Heat pump, ground source'!N12</f>
        <v>0</v>
      </c>
      <c r="U37" s="48">
        <f>'Heat pump, ground source'!O12</f>
        <v>0</v>
      </c>
      <c r="V37" s="49">
        <f>'Heat pump, ground source'!P12</f>
        <v>0</v>
      </c>
      <c r="W37" s="729"/>
      <c r="Z37" s="48">
        <f>'Heat pump, ground source'!E12</f>
        <v>20</v>
      </c>
      <c r="AA37" s="109">
        <f>'Heat pump, ground source'!D12</f>
        <v>3.95</v>
      </c>
    </row>
    <row r="38" spans="3:27" s="821" customFormat="1">
      <c r="C38" s="853" t="s">
        <v>976</v>
      </c>
      <c r="D38" s="853" t="str">
        <f>Processes!E66</f>
        <v>Commercial heating technology detached building - Heat pump, air-to-air - new 2, existing buildings</v>
      </c>
      <c r="E38" s="821" t="s">
        <v>966</v>
      </c>
      <c r="F38" s="1213" t="str">
        <f>Commodities_VT!$C$38&amp;","&amp;Commodities_VT!$C$39</f>
        <v>COMHUDB,COMHRDB</v>
      </c>
      <c r="G38" s="839" t="s">
        <v>795</v>
      </c>
      <c r="H38" s="46">
        <v>2012</v>
      </c>
      <c r="I38" s="46">
        <v>2018</v>
      </c>
      <c r="J38" s="105">
        <v>1</v>
      </c>
      <c r="K38" s="819">
        <f>'Heat pump, air-to-air'!E14</f>
        <v>12</v>
      </c>
      <c r="L38" s="84">
        <f>'Heat pump, air-to-air'!F14</f>
        <v>3.5760000000000001</v>
      </c>
      <c r="M38" s="84">
        <f>'Heat pump, air-to-air'!G14</f>
        <v>0.50660000000000005</v>
      </c>
      <c r="N38" s="84">
        <f>'Heat pump, air-to-air'!H14</f>
        <v>0</v>
      </c>
      <c r="O38" s="47">
        <v>3.1536000000000002E-2</v>
      </c>
      <c r="P38" s="84">
        <f>'Heat pump, air-to-air'!J14</f>
        <v>8.3999999999999991E-2</v>
      </c>
      <c r="Q38" s="76"/>
      <c r="R38" s="48">
        <f>'Heat pump, air-to-air'!K14</f>
        <v>0</v>
      </c>
      <c r="S38" s="48">
        <f>'Heat pump, air-to-air'!L14</f>
        <v>0</v>
      </c>
      <c r="T38" s="48">
        <f>'Heat pump, air-to-air'!M14</f>
        <v>0</v>
      </c>
      <c r="U38" s="48">
        <f>'Heat pump, air-to-air'!N14</f>
        <v>0</v>
      </c>
      <c r="V38" s="49">
        <f>'Heat pump, air-to-air'!O14</f>
        <v>0</v>
      </c>
      <c r="W38" s="729"/>
      <c r="X38" s="821" t="s">
        <v>291</v>
      </c>
      <c r="Z38" s="48" t="e">
        <f>'Heat pump, air-to-air'!#REF!</f>
        <v>#REF!</v>
      </c>
      <c r="AA38" s="109">
        <f>'Heat pump, air-to-air'!D27</f>
        <v>510</v>
      </c>
    </row>
    <row r="39" spans="3:27" s="821" customFormat="1">
      <c r="C39" s="42" t="s">
        <v>318</v>
      </c>
      <c r="D39" s="42"/>
      <c r="F39" s="43"/>
      <c r="G39" s="839" t="s">
        <v>795</v>
      </c>
      <c r="H39" s="48">
        <f>'Heat pump, air-to-air'!B15</f>
        <v>2020</v>
      </c>
      <c r="I39" s="48"/>
      <c r="J39" s="105">
        <v>1</v>
      </c>
      <c r="K39" s="819">
        <f>'Heat pump, air-to-air'!E15</f>
        <v>12</v>
      </c>
      <c r="L39" s="84">
        <f>'Heat pump, air-to-air'!F15</f>
        <v>3.2780000000000005</v>
      </c>
      <c r="M39" s="84">
        <f>'Heat pump, air-to-air'!G15</f>
        <v>0.48177155927934001</v>
      </c>
      <c r="N39" s="84">
        <f>'Heat pump, air-to-air'!H15</f>
        <v>0</v>
      </c>
      <c r="O39" s="47"/>
      <c r="P39" s="84">
        <f>'Heat pump, air-to-air'!J15</f>
        <v>8.3999999999999991E-2</v>
      </c>
      <c r="Q39" s="76"/>
      <c r="R39" s="48">
        <f>'Heat pump, air-to-air'!K15</f>
        <v>0</v>
      </c>
      <c r="S39" s="48">
        <f>'Heat pump, air-to-air'!L15</f>
        <v>0</v>
      </c>
      <c r="T39" s="48">
        <f>'Heat pump, air-to-air'!M15</f>
        <v>0</v>
      </c>
      <c r="U39" s="48">
        <f>'Heat pump, air-to-air'!N15</f>
        <v>0</v>
      </c>
      <c r="V39" s="49">
        <f>'Heat pump, air-to-air'!O15</f>
        <v>0</v>
      </c>
      <c r="W39" s="729"/>
      <c r="Z39" s="48" t="e">
        <f>'Heat pump, air-to-air'!#REF!</f>
        <v>#REF!</v>
      </c>
      <c r="AA39" s="109">
        <f>'Heat pump, air-to-air'!D28</f>
        <v>510</v>
      </c>
    </row>
    <row r="40" spans="3:27" s="821" customFormat="1">
      <c r="C40" s="42" t="s">
        <v>318</v>
      </c>
      <c r="D40" s="42"/>
      <c r="F40" s="43"/>
      <c r="G40" s="839" t="s">
        <v>795</v>
      </c>
      <c r="H40" s="48">
        <f>'Heat pump, air-to-air'!B16</f>
        <v>2030</v>
      </c>
      <c r="I40" s="48"/>
      <c r="J40" s="105">
        <v>1</v>
      </c>
      <c r="K40" s="819">
        <f>'Heat pump, air-to-air'!E16</f>
        <v>12</v>
      </c>
      <c r="L40" s="84">
        <f>'Heat pump, air-to-air'!F16</f>
        <v>3.8314285714285718</v>
      </c>
      <c r="M40" s="84">
        <f>'Heat pump, air-to-air'!G16</f>
        <v>0.31121825890091193</v>
      </c>
      <c r="N40" s="84">
        <f>'Heat pump, air-to-air'!H16</f>
        <v>0</v>
      </c>
      <c r="O40" s="47"/>
      <c r="P40" s="84">
        <f>'Heat pump, air-to-air'!J16</f>
        <v>0.14399999999999999</v>
      </c>
      <c r="Q40" s="76"/>
      <c r="R40" s="48">
        <f>'Heat pump, air-to-air'!K16</f>
        <v>0</v>
      </c>
      <c r="S40" s="48">
        <f>'Heat pump, air-to-air'!L16</f>
        <v>0</v>
      </c>
      <c r="T40" s="48">
        <f>'Heat pump, air-to-air'!M16</f>
        <v>0</v>
      </c>
      <c r="U40" s="48">
        <f>'Heat pump, air-to-air'!N16</f>
        <v>0</v>
      </c>
      <c r="V40" s="49">
        <f>'Heat pump, air-to-air'!O16</f>
        <v>0</v>
      </c>
      <c r="W40" s="729"/>
      <c r="Z40" s="48" t="e">
        <f>'Heat pump, air-to-air'!#REF!</f>
        <v>#REF!</v>
      </c>
      <c r="AA40" s="109">
        <f>'Heat pump, air-to-air'!D29</f>
        <v>0</v>
      </c>
    </row>
    <row r="41" spans="3:27" s="821" customFormat="1">
      <c r="C41" s="42" t="s">
        <v>318</v>
      </c>
      <c r="D41" s="42"/>
      <c r="F41" s="43"/>
      <c r="G41" s="839" t="s">
        <v>795</v>
      </c>
      <c r="H41" s="48">
        <f>'Heat pump, air-to-air'!B17</f>
        <v>2050</v>
      </c>
      <c r="I41" s="48"/>
      <c r="J41" s="105">
        <v>1</v>
      </c>
      <c r="K41" s="819">
        <f>'Heat pump, air-to-air'!E17</f>
        <v>12</v>
      </c>
      <c r="L41" s="84">
        <f>'Heat pump, air-to-air'!F17</f>
        <v>3.6185714285714288</v>
      </c>
      <c r="M41" s="84">
        <f>'Heat pump, air-to-air'!G17</f>
        <v>0.28153129865458426</v>
      </c>
      <c r="N41" s="84">
        <f>'Heat pump, air-to-air'!H17</f>
        <v>0</v>
      </c>
      <c r="O41" s="47"/>
      <c r="P41" s="84">
        <f>'Heat pump, air-to-air'!J17</f>
        <v>0.14399999999999999</v>
      </c>
      <c r="Q41" s="76"/>
      <c r="R41" s="48">
        <f>'Heat pump, air-to-air'!K17</f>
        <v>0</v>
      </c>
      <c r="S41" s="48">
        <f>'Heat pump, air-to-air'!L17</f>
        <v>0</v>
      </c>
      <c r="T41" s="48">
        <f>'Heat pump, air-to-air'!M17</f>
        <v>0</v>
      </c>
      <c r="U41" s="48">
        <f>'Heat pump, air-to-air'!N17</f>
        <v>0</v>
      </c>
      <c r="V41" s="49">
        <f>'Heat pump, air-to-air'!O17</f>
        <v>0</v>
      </c>
      <c r="W41" s="729"/>
      <c r="Z41" s="48" t="e">
        <f>'Heat pump, air-to-air'!#REF!</f>
        <v>#REF!</v>
      </c>
      <c r="AA41" s="109">
        <f>'Heat pump, air-to-air'!D30</f>
        <v>12</v>
      </c>
    </row>
    <row r="42" spans="3:27" s="821" customFormat="1">
      <c r="C42" s="853" t="s">
        <v>977</v>
      </c>
      <c r="D42" s="853" t="str">
        <f>Processes!E67</f>
        <v>Commercial heating technology detached building - Heat pump, air-to-water - new 3, existing buildings</v>
      </c>
      <c r="E42" s="821" t="s">
        <v>966</v>
      </c>
      <c r="F42" s="1213" t="str">
        <f>Commodities_VT!$C$38&amp;","&amp;Commodities_VT!$C$39&amp;","&amp;Commodities_VT!$C$15</f>
        <v>COMHUDB,COMHRDB,CWFDEM</v>
      </c>
      <c r="G42" s="839" t="s">
        <v>795</v>
      </c>
      <c r="H42" s="46">
        <v>2012</v>
      </c>
      <c r="I42" s="46">
        <v>2018</v>
      </c>
      <c r="J42" s="105">
        <v>1</v>
      </c>
      <c r="K42" s="819">
        <f>'Heat pump, air-to-water'!E14</f>
        <v>18</v>
      </c>
      <c r="L42" s="480">
        <f>'Heat pump, air-to-water'!F14</f>
        <v>13.0375</v>
      </c>
      <c r="M42" s="84">
        <f>'Heat pump, air-to-water'!G14</f>
        <v>0.54198749999999996</v>
      </c>
      <c r="N42" s="84">
        <f>'Heat pump, air-to-water'!H14</f>
        <v>0</v>
      </c>
      <c r="O42" s="47">
        <v>3.1536000000000002E-2</v>
      </c>
      <c r="P42" s="84">
        <f>'Heat pump, air-to-water'!J14</f>
        <v>0.2</v>
      </c>
      <c r="Q42" s="76"/>
      <c r="R42" s="48">
        <f>'Heat pump, air-to-water'!K14</f>
        <v>0</v>
      </c>
      <c r="S42" s="48">
        <f>'Heat pump, air-to-water'!L14</f>
        <v>0</v>
      </c>
      <c r="T42" s="48">
        <f>'Heat pump, air-to-water'!M14</f>
        <v>0</v>
      </c>
      <c r="U42" s="48">
        <f>'Heat pump, air-to-water'!N14</f>
        <v>0</v>
      </c>
      <c r="V42" s="49">
        <f>'Heat pump, air-to-water'!O14</f>
        <v>0</v>
      </c>
      <c r="W42" s="729"/>
      <c r="X42" s="821" t="s">
        <v>291</v>
      </c>
      <c r="Z42" s="48" t="e">
        <f>'Heat pump, air-to-water'!#REF!</f>
        <v>#REF!</v>
      </c>
      <c r="AA42" s="109">
        <f>'Heat pump, air-to-water'!D30</f>
        <v>335</v>
      </c>
    </row>
    <row r="43" spans="3:27" s="821" customFormat="1">
      <c r="C43" s="42" t="s">
        <v>318</v>
      </c>
      <c r="D43" s="42"/>
      <c r="F43" s="43"/>
      <c r="G43" s="839" t="s">
        <v>795</v>
      </c>
      <c r="H43" s="48">
        <f>'Heat pump, air-to-water'!B15</f>
        <v>2020</v>
      </c>
      <c r="I43" s="48"/>
      <c r="J43" s="105">
        <v>1</v>
      </c>
      <c r="K43" s="819">
        <f>'Heat pump, air-to-water'!E15</f>
        <v>18</v>
      </c>
      <c r="L43" s="480">
        <f>'Heat pump, air-to-water'!F15</f>
        <v>12.2925</v>
      </c>
      <c r="M43" s="84">
        <f>'Heat pump, air-to-water'!G15</f>
        <v>0.51783490586254366</v>
      </c>
      <c r="N43" s="84">
        <f>'Heat pump, air-to-water'!H15</f>
        <v>0</v>
      </c>
      <c r="O43" s="47"/>
      <c r="P43" s="76"/>
      <c r="Q43" s="76"/>
      <c r="R43" s="48">
        <f>'Heat pump, air-to-water'!K15</f>
        <v>0</v>
      </c>
      <c r="S43" s="48">
        <f>'Heat pump, air-to-water'!L15</f>
        <v>0</v>
      </c>
      <c r="T43" s="48">
        <f>'Heat pump, air-to-water'!M15</f>
        <v>0</v>
      </c>
      <c r="U43" s="48">
        <f>'Heat pump, air-to-water'!N15</f>
        <v>0</v>
      </c>
      <c r="V43" s="49">
        <f>'Heat pump, air-to-water'!O15</f>
        <v>0</v>
      </c>
      <c r="W43" s="729"/>
      <c r="Z43" s="48" t="e">
        <f>'Heat pump, air-to-water'!#REF!</f>
        <v>#REF!</v>
      </c>
      <c r="AA43" s="109">
        <f>'Heat pump, air-to-water'!D31</f>
        <v>100</v>
      </c>
    </row>
    <row r="44" spans="3:27" s="821" customFormat="1">
      <c r="C44" s="42" t="s">
        <v>318</v>
      </c>
      <c r="D44" s="42"/>
      <c r="F44" s="43"/>
      <c r="G44" s="839" t="s">
        <v>795</v>
      </c>
      <c r="H44" s="48">
        <f>'Heat pump, air-to-water'!B16</f>
        <v>2030</v>
      </c>
      <c r="I44" s="48"/>
      <c r="J44" s="105">
        <v>1</v>
      </c>
      <c r="K44" s="819">
        <f>'Heat pump, air-to-water'!E16</f>
        <v>18</v>
      </c>
      <c r="L44" s="480">
        <f>'Heat pump, air-to-water'!F16</f>
        <v>10.988750000000001</v>
      </c>
      <c r="M44" s="84">
        <f>'Heat pump, air-to-water'!G16</f>
        <v>0.47515472537302883</v>
      </c>
      <c r="N44" s="84">
        <f>'Heat pump, air-to-water'!H16</f>
        <v>0</v>
      </c>
      <c r="O44" s="47"/>
      <c r="P44" s="76"/>
      <c r="Q44" s="76"/>
      <c r="R44" s="48">
        <f>'Heat pump, air-to-water'!K16</f>
        <v>0</v>
      </c>
      <c r="S44" s="48">
        <f>'Heat pump, air-to-water'!L16</f>
        <v>0</v>
      </c>
      <c r="T44" s="48">
        <f>'Heat pump, air-to-water'!M16</f>
        <v>0</v>
      </c>
      <c r="U44" s="48">
        <f>'Heat pump, air-to-water'!N16</f>
        <v>0</v>
      </c>
      <c r="V44" s="49">
        <f>'Heat pump, air-to-water'!O16</f>
        <v>0</v>
      </c>
      <c r="W44" s="729"/>
      <c r="Z44" s="48" t="e">
        <f>'Heat pump, air-to-water'!#REF!</f>
        <v>#REF!</v>
      </c>
      <c r="AA44" s="109">
        <f>'Heat pump, air-to-water'!D32</f>
        <v>18</v>
      </c>
    </row>
    <row r="45" spans="3:27" s="821" customFormat="1">
      <c r="C45" s="42" t="s">
        <v>318</v>
      </c>
      <c r="D45" s="42"/>
      <c r="F45" s="43"/>
      <c r="G45" s="839" t="s">
        <v>795</v>
      </c>
      <c r="H45" s="48">
        <f>'Heat pump, air-to-water'!B17</f>
        <v>2050</v>
      </c>
      <c r="I45" s="48"/>
      <c r="J45" s="105">
        <v>1</v>
      </c>
      <c r="K45" s="819">
        <f>'Heat pump, air-to-water'!E17</f>
        <v>18</v>
      </c>
      <c r="L45" s="480">
        <f>'Heat pump, air-to-water'!F17</f>
        <v>9.8712499999999999</v>
      </c>
      <c r="M45" s="84">
        <f>'Heat pump, air-to-water'!G17</f>
        <v>0.44464407412933504</v>
      </c>
      <c r="N45" s="84">
        <f>'Heat pump, air-to-water'!H17</f>
        <v>0</v>
      </c>
      <c r="O45" s="47"/>
      <c r="P45" s="76"/>
      <c r="Q45" s="76"/>
      <c r="R45" s="48">
        <f>'Heat pump, air-to-water'!K17</f>
        <v>0</v>
      </c>
      <c r="S45" s="48">
        <f>'Heat pump, air-to-water'!L17</f>
        <v>0</v>
      </c>
      <c r="T45" s="48">
        <f>'Heat pump, air-to-water'!M17</f>
        <v>0</v>
      </c>
      <c r="U45" s="48">
        <f>'Heat pump, air-to-water'!N17</f>
        <v>0</v>
      </c>
      <c r="V45" s="49">
        <f>'Heat pump, air-to-water'!O17</f>
        <v>0</v>
      </c>
      <c r="W45" s="729"/>
      <c r="Z45" s="48" t="e">
        <f>'Heat pump, air-to-water'!#REF!</f>
        <v>#REF!</v>
      </c>
      <c r="AA45" s="109">
        <f>'Heat pump, air-to-water'!D33</f>
        <v>0</v>
      </c>
    </row>
    <row r="46" spans="3:27" s="821" customFormat="1">
      <c r="C46" s="853" t="s">
        <v>978</v>
      </c>
      <c r="D46" s="853" t="str">
        <f>Processes!E68</f>
        <v>Commercial heating technology detached building - Heat pump, brine-to-water - new 4, existing buildings</v>
      </c>
      <c r="E46" s="821" t="s">
        <v>966</v>
      </c>
      <c r="F46" s="1213" t="str">
        <f>Commodities_VT!$C$38&amp;","&amp;Commodities_VT!$C$39&amp;","&amp;Commodities_VT!$C$15</f>
        <v>COMHUDB,COMHRDB,CWFDEM</v>
      </c>
      <c r="G46" s="839" t="s">
        <v>795</v>
      </c>
      <c r="H46" s="46">
        <v>2012</v>
      </c>
      <c r="I46" s="46">
        <v>2018</v>
      </c>
      <c r="J46" s="105">
        <v>1</v>
      </c>
      <c r="K46" s="480">
        <f>'Heat pump, ground source'!E14</f>
        <v>20</v>
      </c>
      <c r="L46" s="480">
        <f>'Heat pump, ground source'!F14</f>
        <v>22.35</v>
      </c>
      <c r="M46" s="84">
        <f>'Heat pump, ground source'!G14</f>
        <v>0.54198749999999996</v>
      </c>
      <c r="N46" s="84">
        <f>'Heat pump, ground source'!H14</f>
        <v>0</v>
      </c>
      <c r="O46" s="47">
        <v>3.1536000000000002E-2</v>
      </c>
      <c r="P46" s="84">
        <f>'Heat pump, ground source'!J14</f>
        <v>0.2</v>
      </c>
      <c r="Q46" s="76"/>
      <c r="R46" s="48">
        <f>'Heat pump, ground source'!L14</f>
        <v>0</v>
      </c>
      <c r="S46" s="48">
        <f>'Heat pump, ground source'!M14</f>
        <v>0</v>
      </c>
      <c r="T46" s="48">
        <f>'Heat pump, ground source'!N14</f>
        <v>0</v>
      </c>
      <c r="U46" s="48">
        <f>'Heat pump, ground source'!O14</f>
        <v>0</v>
      </c>
      <c r="V46" s="49">
        <f>'Heat pump, ground source'!P14</f>
        <v>0</v>
      </c>
      <c r="W46" s="729"/>
      <c r="X46" s="821" t="s">
        <v>291</v>
      </c>
      <c r="Z46" s="48">
        <f>'Heat pump, ground source'!E26</f>
        <v>460</v>
      </c>
      <c r="AA46" s="109">
        <f>'Heat pump, ground source'!D26</f>
        <v>450</v>
      </c>
    </row>
    <row r="47" spans="3:27" s="821" customFormat="1">
      <c r="C47" s="42" t="s">
        <v>318</v>
      </c>
      <c r="G47" s="839" t="s">
        <v>795</v>
      </c>
      <c r="H47" s="48">
        <f>'Heat pump, ground source'!B15</f>
        <v>2020</v>
      </c>
      <c r="I47" s="48"/>
      <c r="J47" s="105">
        <v>1</v>
      </c>
      <c r="K47" s="480">
        <f>'Heat pump, ground source'!E15</f>
        <v>20</v>
      </c>
      <c r="L47" s="480">
        <f>'Heat pump, ground source'!F15</f>
        <v>20.487500000000001</v>
      </c>
      <c r="M47" s="84">
        <f>'Heat pump, ground source'!G15</f>
        <v>0.51783490586254366</v>
      </c>
      <c r="N47" s="84">
        <f>'Heat pump, ground source'!H15</f>
        <v>0</v>
      </c>
      <c r="O47" s="47"/>
      <c r="P47" s="76"/>
      <c r="Q47" s="76"/>
      <c r="R47" s="48">
        <f>'Heat pump, ground source'!L15</f>
        <v>0</v>
      </c>
      <c r="S47" s="48">
        <f>'Heat pump, ground source'!M15</f>
        <v>0</v>
      </c>
      <c r="T47" s="48">
        <f>'Heat pump, ground source'!N15</f>
        <v>0</v>
      </c>
      <c r="U47" s="48">
        <f>'Heat pump, ground source'!O15</f>
        <v>0</v>
      </c>
      <c r="V47" s="49">
        <f>'Heat pump, ground source'!P15</f>
        <v>0</v>
      </c>
      <c r="W47" s="729"/>
      <c r="Z47" s="48">
        <f>'Heat pump, ground source'!E27</f>
        <v>450</v>
      </c>
      <c r="AA47" s="109">
        <f>'Heat pump, ground source'!D27</f>
        <v>440</v>
      </c>
    </row>
    <row r="48" spans="3:27" s="821" customFormat="1">
      <c r="C48" s="42" t="s">
        <v>318</v>
      </c>
      <c r="G48" s="839" t="s">
        <v>795</v>
      </c>
      <c r="H48" s="48">
        <f>'Heat pump, ground source'!B16</f>
        <v>2030</v>
      </c>
      <c r="I48" s="48"/>
      <c r="J48" s="105">
        <v>1</v>
      </c>
      <c r="K48" s="480">
        <f>'Heat pump, ground source'!E16</f>
        <v>20</v>
      </c>
      <c r="L48" s="480">
        <f>'Heat pump, ground source'!F16</f>
        <v>18.625</v>
      </c>
      <c r="M48" s="84">
        <f>'Heat pump, ground source'!G16</f>
        <v>0.47515472537302883</v>
      </c>
      <c r="N48" s="84">
        <f>'Heat pump, ground source'!H16</f>
        <v>0</v>
      </c>
      <c r="O48" s="47"/>
      <c r="P48" s="76"/>
      <c r="Q48" s="76"/>
      <c r="R48" s="48">
        <f>'Heat pump, ground source'!L16</f>
        <v>0</v>
      </c>
      <c r="S48" s="48">
        <f>'Heat pump, ground source'!M16</f>
        <v>0</v>
      </c>
      <c r="T48" s="48">
        <f>'Heat pump, ground source'!N16</f>
        <v>0</v>
      </c>
      <c r="U48" s="48">
        <f>'Heat pump, ground source'!O16</f>
        <v>0</v>
      </c>
      <c r="V48" s="49">
        <f>'Heat pump, ground source'!P16</f>
        <v>0</v>
      </c>
      <c r="W48" s="729"/>
      <c r="Z48" s="48">
        <f>'Heat pump, ground source'!E28</f>
        <v>390</v>
      </c>
      <c r="AA48" s="109">
        <f>'Heat pump, ground source'!D28</f>
        <v>380</v>
      </c>
    </row>
    <row r="49" spans="3:28" s="821" customFormat="1">
      <c r="C49" s="42" t="s">
        <v>318</v>
      </c>
      <c r="G49" s="839" t="s">
        <v>795</v>
      </c>
      <c r="H49" s="48">
        <f>'Heat pump, ground source'!B17</f>
        <v>2050</v>
      </c>
      <c r="I49" s="48"/>
      <c r="J49" s="105">
        <v>1</v>
      </c>
      <c r="K49" s="480">
        <f>'Heat pump, ground source'!E17</f>
        <v>20</v>
      </c>
      <c r="L49" s="480">
        <f>'Heat pump, ground source'!F17</f>
        <v>16.762499999999999</v>
      </c>
      <c r="M49" s="84">
        <f>'Heat pump, ground source'!G17</f>
        <v>0.44464407412933504</v>
      </c>
      <c r="N49" s="84">
        <f>'Heat pump, ground source'!H17</f>
        <v>0</v>
      </c>
      <c r="O49" s="47"/>
      <c r="P49" s="76"/>
      <c r="Q49" s="76"/>
      <c r="R49" s="48">
        <f>'Heat pump, ground source'!L17</f>
        <v>0</v>
      </c>
      <c r="S49" s="48">
        <f>'Heat pump, ground source'!M17</f>
        <v>0</v>
      </c>
      <c r="T49" s="48">
        <f>'Heat pump, ground source'!N17</f>
        <v>0</v>
      </c>
      <c r="U49" s="48">
        <f>'Heat pump, ground source'!O17</f>
        <v>0</v>
      </c>
      <c r="V49" s="49">
        <f>'Heat pump, ground source'!P17</f>
        <v>0</v>
      </c>
      <c r="W49" s="729"/>
      <c r="Z49" s="48">
        <f>'Heat pump, ground source'!E29</f>
        <v>380</v>
      </c>
      <c r="AA49" s="109">
        <f>'Heat pump, ground source'!D29</f>
        <v>370</v>
      </c>
    </row>
    <row r="50" spans="3:28">
      <c r="C50" s="42" t="str">
        <f>Processes!D69</f>
        <v>CHTDBSOLXN1</v>
      </c>
      <c r="D50" s="42" t="str">
        <f>Processes!E69</f>
        <v>Commercial heating technology detached building - solar - new 1</v>
      </c>
      <c r="E50" s="42" t="s">
        <v>967</v>
      </c>
      <c r="F50" s="1213" t="str">
        <f>Commodities_VT!$C$38&amp;","&amp;Commodities_VT!$C$39</f>
        <v>COMHUDB,COMHRDB</v>
      </c>
      <c r="G50" s="839" t="s">
        <v>795</v>
      </c>
      <c r="H50" s="46">
        <v>2012</v>
      </c>
      <c r="I50" s="46">
        <v>2025</v>
      </c>
      <c r="J50" s="477">
        <f>1-$J$96</f>
        <v>0.97</v>
      </c>
      <c r="K50" s="602">
        <f>'Solar heating'!E8</f>
        <v>20</v>
      </c>
      <c r="L50" s="480">
        <f>'Solar heating'!F8</f>
        <v>7.1428571428571415</v>
      </c>
      <c r="M50" s="83">
        <f>'Solar heating'!G8</f>
        <v>0.10642857142857143</v>
      </c>
      <c r="N50" s="83">
        <f>'Solar heating'!H8</f>
        <v>8.3233536957951024</v>
      </c>
      <c r="O50" s="47">
        <v>3.1536000000000002E-2</v>
      </c>
      <c r="P50" s="1176">
        <f>'Solar heating'!J8</f>
        <v>0.76190476190476175</v>
      </c>
      <c r="Q50" s="76"/>
      <c r="R50" s="48">
        <f>'Solar heating'!K8</f>
        <v>0</v>
      </c>
      <c r="S50" s="48">
        <f>'Solar heating'!L8</f>
        <v>0</v>
      </c>
      <c r="T50" s="48">
        <f>'Solar heating'!M8</f>
        <v>0</v>
      </c>
      <c r="U50" s="48">
        <f>'Solar heating'!N8</f>
        <v>0</v>
      </c>
      <c r="V50" s="48">
        <f>'Solar heating'!O8</f>
        <v>0</v>
      </c>
      <c r="W50" s="79"/>
      <c r="X50" s="53" t="s">
        <v>291</v>
      </c>
      <c r="Z50" s="48" t="e">
        <f>'Solar heating'!#REF!</f>
        <v>#REF!</v>
      </c>
      <c r="AA50" s="105"/>
    </row>
    <row r="51" spans="3:28">
      <c r="C51" s="42"/>
      <c r="D51" s="42"/>
      <c r="E51" s="42"/>
      <c r="F51" s="42"/>
      <c r="G51" s="839" t="s">
        <v>795</v>
      </c>
      <c r="H51" s="46">
        <f>'Solar heating'!B9</f>
        <v>2020</v>
      </c>
      <c r="I51" s="46"/>
      <c r="J51" s="477">
        <f>J50</f>
        <v>0.97</v>
      </c>
      <c r="K51" s="602">
        <f>'Solar heating'!E9</f>
        <v>25</v>
      </c>
      <c r="L51" s="480">
        <f>'Solar heating'!F9</f>
        <v>6.4285714285714279</v>
      </c>
      <c r="M51" s="83">
        <f>'Solar heating'!G9</f>
        <v>0.1037943315822567</v>
      </c>
      <c r="N51" s="83">
        <f>'Solar heating'!H9</f>
        <v>8.6189851432178486</v>
      </c>
      <c r="O51" s="47"/>
      <c r="P51" s="1176">
        <f>'Solar heating'!J9</f>
        <v>0.80952380952380953</v>
      </c>
      <c r="Q51" s="76"/>
      <c r="R51" s="48">
        <f>'Solar heating'!K9</f>
        <v>0</v>
      </c>
      <c r="S51" s="48">
        <f>'Solar heating'!L9</f>
        <v>0</v>
      </c>
      <c r="T51" s="48">
        <f>'Solar heating'!M9</f>
        <v>0</v>
      </c>
      <c r="U51" s="48">
        <f>'Solar heating'!N9</f>
        <v>0</v>
      </c>
      <c r="V51" s="48">
        <f>'Solar heating'!O9</f>
        <v>0</v>
      </c>
      <c r="W51" s="79"/>
      <c r="Z51" s="48" t="e">
        <f>'Solar heating'!#REF!</f>
        <v>#REF!</v>
      </c>
      <c r="AA51" s="105"/>
      <c r="AB51" s="764"/>
    </row>
    <row r="52" spans="3:28">
      <c r="C52" s="42"/>
      <c r="D52" s="42"/>
      <c r="E52" s="42"/>
      <c r="F52" s="42"/>
      <c r="G52" s="839" t="s">
        <v>795</v>
      </c>
      <c r="H52" s="46">
        <f>'Solar heating'!B10</f>
        <v>2030</v>
      </c>
      <c r="I52" s="46"/>
      <c r="J52" s="477">
        <f>J51</f>
        <v>0.97</v>
      </c>
      <c r="K52" s="602">
        <f>'Solar heating'!E10</f>
        <v>30</v>
      </c>
      <c r="L52" s="480">
        <f>'Solar heating'!F10</f>
        <v>5.9523809523809526</v>
      </c>
      <c r="M52" s="83">
        <f>'Solar heating'!G10</f>
        <v>9.8719840252807778E-2</v>
      </c>
      <c r="N52" s="83">
        <f>'Solar heating'!H10</f>
        <v>11.742630769541696</v>
      </c>
      <c r="O52" s="47"/>
      <c r="P52" s="1176">
        <f>'Solar heating'!J10</f>
        <v>0.85714285714285698</v>
      </c>
      <c r="Q52" s="76"/>
      <c r="R52" s="48">
        <f>'Solar heating'!K10</f>
        <v>0</v>
      </c>
      <c r="S52" s="48">
        <f>'Solar heating'!L10</f>
        <v>0</v>
      </c>
      <c r="T52" s="48">
        <f>'Solar heating'!M10</f>
        <v>0</v>
      </c>
      <c r="U52" s="48">
        <f>'Solar heating'!N10</f>
        <v>0</v>
      </c>
      <c r="V52" s="48">
        <f>'Solar heating'!O10</f>
        <v>0</v>
      </c>
      <c r="W52" s="79"/>
      <c r="Z52" s="48" t="e">
        <f>'Solar heating'!#REF!</f>
        <v>#REF!</v>
      </c>
      <c r="AA52" s="105"/>
      <c r="AB52" s="764"/>
    </row>
    <row r="53" spans="3:28">
      <c r="C53" s="42"/>
      <c r="D53" s="42"/>
      <c r="E53" s="42"/>
      <c r="F53" s="42"/>
      <c r="G53" s="839" t="s">
        <v>795</v>
      </c>
      <c r="H53" s="46">
        <f>'Solar heating'!B11</f>
        <v>2050</v>
      </c>
      <c r="I53" s="46"/>
      <c r="J53" s="477">
        <f>J52</f>
        <v>0.97</v>
      </c>
      <c r="K53" s="602">
        <f>'Solar heating'!E11</f>
        <v>30</v>
      </c>
      <c r="L53" s="480">
        <f>'Solar heating'!F11</f>
        <v>4.7619047619047619</v>
      </c>
      <c r="M53" s="83">
        <f>'Solar heating'!G11</f>
        <v>8.9303002103725979E-2</v>
      </c>
      <c r="N53" s="83">
        <f>'Solar heating'!H11</f>
        <v>17.103168588720809</v>
      </c>
      <c r="O53" s="47"/>
      <c r="P53" s="1176">
        <f>'Solar heating'!J11</f>
        <v>0.95238095238095233</v>
      </c>
      <c r="Q53" s="76"/>
      <c r="R53" s="48">
        <f>'Solar heating'!K11</f>
        <v>0</v>
      </c>
      <c r="S53" s="48">
        <f>'Solar heating'!L11</f>
        <v>0</v>
      </c>
      <c r="T53" s="48">
        <f>'Solar heating'!M11</f>
        <v>0</v>
      </c>
      <c r="U53" s="48">
        <f>'Solar heating'!N11</f>
        <v>0</v>
      </c>
      <c r="V53" s="48">
        <f>'Solar heating'!O11</f>
        <v>0</v>
      </c>
      <c r="W53" s="79"/>
      <c r="Z53" s="48" t="e">
        <f>'Solar heating'!#REF!</f>
        <v>#REF!</v>
      </c>
      <c r="AA53" s="105"/>
      <c r="AB53" s="764"/>
    </row>
    <row r="54" spans="3:28">
      <c r="C54" s="42" t="str">
        <f>Processes!D70</f>
        <v>CHTDBNGABN2</v>
      </c>
      <c r="D54" s="42" t="str">
        <f>Processes!E70</f>
        <v>Commercial heating technology detached building - Heat pump,gas absorption, air-to-water - new 2</v>
      </c>
      <c r="E54" s="821" t="s">
        <v>962</v>
      </c>
      <c r="F54" s="1213" t="str">
        <f>Commodities_VT!$C$38&amp;","&amp;Commodities_VT!$C$39&amp;","&amp;Commodities_VT!$C$15</f>
        <v>COMHUDB,COMHRDB,CWFDEM</v>
      </c>
      <c r="G54" s="839" t="s">
        <v>795</v>
      </c>
      <c r="H54" s="46">
        <v>2012</v>
      </c>
      <c r="I54" s="46">
        <v>2018</v>
      </c>
      <c r="J54" s="105">
        <v>1</v>
      </c>
      <c r="K54" s="46">
        <f>'HP, gas absorption,air-to-water'!E8</f>
        <v>20</v>
      </c>
      <c r="L54" s="480">
        <f>'HP, gas absorption,air-to-water'!F8</f>
        <v>9.6850000000000005</v>
      </c>
      <c r="M54" s="83">
        <f>'HP, gas absorption,air-to-water'!G8</f>
        <v>0.17507500000000001</v>
      </c>
      <c r="N54" s="83">
        <f>'HP, gas absorption,air-to-water'!H8</f>
        <v>0</v>
      </c>
      <c r="O54" s="47">
        <v>3.1536000000000002E-2</v>
      </c>
      <c r="P54" s="83">
        <f>'HP, gas absorption,air-to-water'!J8</f>
        <v>0.2</v>
      </c>
      <c r="Q54" s="76"/>
      <c r="R54" s="74">
        <f>'HP, gas absorption,air-to-water'!L8</f>
        <v>0</v>
      </c>
      <c r="S54" s="50">
        <f>'HP, gas absorption,air-to-water'!M8</f>
        <v>0</v>
      </c>
      <c r="T54" s="50">
        <f>'HP, gas absorption,air-to-water'!N8</f>
        <v>0</v>
      </c>
      <c r="U54" s="74">
        <f>'HP, gas absorption,air-to-water'!O8</f>
        <v>0</v>
      </c>
      <c r="V54" s="74">
        <f>'HP, gas absorption,air-to-water'!Q8</f>
        <v>0</v>
      </c>
      <c r="W54" s="82"/>
      <c r="X54" s="764" t="s">
        <v>542</v>
      </c>
      <c r="Z54" s="48">
        <f>'HP, gas absorption,air-to-water'!E8</f>
        <v>20</v>
      </c>
      <c r="AA54" s="625">
        <v>1.35</v>
      </c>
    </row>
    <row r="55" spans="3:28">
      <c r="C55" s="42"/>
      <c r="D55" s="42"/>
      <c r="E55" s="42"/>
      <c r="F55" s="42"/>
      <c r="G55" s="839" t="s">
        <v>795</v>
      </c>
      <c r="H55" s="46">
        <f>'HP, gas absorption,air-to-water'!B9</f>
        <v>2020</v>
      </c>
      <c r="I55" s="46"/>
      <c r="J55" s="105">
        <v>1</v>
      </c>
      <c r="K55" s="46">
        <f>'HP, gas absorption,air-to-water'!E9</f>
        <v>20</v>
      </c>
      <c r="L55" s="480">
        <f>'HP, gas absorption,air-to-water'!F9</f>
        <v>9.1038999999999994</v>
      </c>
      <c r="M55" s="83">
        <f>'HP, gas absorption,air-to-water'!G9</f>
        <v>0.17507500000000001</v>
      </c>
      <c r="N55" s="83">
        <f>'HP, gas absorption,air-to-water'!H9</f>
        <v>0</v>
      </c>
      <c r="O55" s="47"/>
      <c r="P55" s="76"/>
      <c r="Q55" s="76"/>
      <c r="R55" s="74">
        <f>'HP, gas absorption,air-to-water'!L9</f>
        <v>0</v>
      </c>
      <c r="S55" s="50">
        <f>'HP, gas absorption,air-to-water'!M9</f>
        <v>0</v>
      </c>
      <c r="T55" s="50">
        <f>'HP, gas absorption,air-to-water'!N9</f>
        <v>0</v>
      </c>
      <c r="U55" s="74">
        <f>'HP, gas absorption,air-to-water'!O9</f>
        <v>0</v>
      </c>
      <c r="V55" s="74">
        <f>'HP, gas absorption,air-to-water'!Q9</f>
        <v>0</v>
      </c>
      <c r="W55" s="82"/>
      <c r="Z55" s="48">
        <f>'HP, gas absorption,air-to-water'!E9</f>
        <v>20</v>
      </c>
      <c r="AA55" s="625">
        <v>1.45</v>
      </c>
    </row>
    <row r="56" spans="3:28">
      <c r="C56" s="42"/>
      <c r="D56" s="42"/>
      <c r="E56" s="42"/>
      <c r="F56" s="42"/>
      <c r="G56" s="839" t="s">
        <v>795</v>
      </c>
      <c r="H56" s="46">
        <f>'HP, gas absorption,air-to-water'!B10</f>
        <v>2030</v>
      </c>
      <c r="I56" s="46"/>
      <c r="J56" s="105">
        <v>1</v>
      </c>
      <c r="K56" s="46">
        <f>'HP, gas absorption,air-to-water'!E10</f>
        <v>20</v>
      </c>
      <c r="L56" s="480">
        <f>'HP, gas absorption,air-to-water'!F10</f>
        <v>8.1935099999999998</v>
      </c>
      <c r="M56" s="83">
        <f>'HP, gas absorption,air-to-water'!G10</f>
        <v>0.17507500000000001</v>
      </c>
      <c r="N56" s="83">
        <f>'HP, gas absorption,air-to-water'!H10</f>
        <v>0</v>
      </c>
      <c r="O56" s="47"/>
      <c r="P56" s="76"/>
      <c r="Q56" s="76"/>
      <c r="R56" s="74">
        <f>'HP, gas absorption,air-to-water'!L10</f>
        <v>0</v>
      </c>
      <c r="S56" s="50">
        <f>'HP, gas absorption,air-to-water'!M10</f>
        <v>0</v>
      </c>
      <c r="T56" s="50">
        <f>'HP, gas absorption,air-to-water'!N10</f>
        <v>0</v>
      </c>
      <c r="U56" s="74">
        <f>'HP, gas absorption,air-to-water'!O10</f>
        <v>0</v>
      </c>
      <c r="V56" s="74">
        <f>'HP, gas absorption,air-to-water'!Q10</f>
        <v>0</v>
      </c>
      <c r="W56" s="82"/>
      <c r="Z56" s="48">
        <f>'HP, gas absorption,air-to-water'!E10</f>
        <v>20</v>
      </c>
      <c r="AA56" s="625">
        <v>1.7</v>
      </c>
    </row>
    <row r="57" spans="3:28">
      <c r="C57" s="42"/>
      <c r="D57" s="42"/>
      <c r="E57" s="42"/>
      <c r="F57" s="42"/>
      <c r="G57" s="839" t="s">
        <v>795</v>
      </c>
      <c r="H57" s="46">
        <f>'HP, gas absorption,air-to-water'!B11</f>
        <v>2050</v>
      </c>
      <c r="I57" s="46"/>
      <c r="J57" s="105">
        <v>1</v>
      </c>
      <c r="K57" s="46">
        <f>'HP, gas absorption,air-to-water'!E11</f>
        <v>20</v>
      </c>
      <c r="L57" s="480">
        <f>'HP, gas absorption,air-to-water'!F11</f>
        <v>7.3741589999999997</v>
      </c>
      <c r="M57" s="83">
        <f>'HP, gas absorption,air-to-water'!G11</f>
        <v>0.17507500000000001</v>
      </c>
      <c r="N57" s="83">
        <f>'HP, gas absorption,air-to-water'!H11</f>
        <v>0</v>
      </c>
      <c r="O57" s="47"/>
      <c r="P57" s="76"/>
      <c r="Q57" s="76"/>
      <c r="R57" s="74">
        <f>'HP, gas absorption,air-to-water'!L11</f>
        <v>0</v>
      </c>
      <c r="S57" s="50">
        <f>'HP, gas absorption,air-to-water'!M11</f>
        <v>0</v>
      </c>
      <c r="T57" s="50">
        <f>'HP, gas absorption,air-to-water'!N11</f>
        <v>0</v>
      </c>
      <c r="U57" s="74">
        <f>'HP, gas absorption,air-to-water'!O11</f>
        <v>0</v>
      </c>
      <c r="V57" s="74">
        <f>'HP, gas absorption,air-to-water'!Q11</f>
        <v>0</v>
      </c>
      <c r="W57" s="82"/>
      <c r="Z57" s="48">
        <f>'HP, gas absorption,air-to-water'!E11</f>
        <v>20</v>
      </c>
      <c r="AA57" s="625">
        <v>1.7</v>
      </c>
    </row>
    <row r="58" spans="3:28">
      <c r="C58" s="42" t="str">
        <f>Processes!D71</f>
        <v>CHTDBNGABN3</v>
      </c>
      <c r="D58" s="42" t="str">
        <f>Processes!E71</f>
        <v>Commercial heating technology detached building - Heat pump,gas absorption, brine-to-water - new 3</v>
      </c>
      <c r="E58" s="821" t="s">
        <v>962</v>
      </c>
      <c r="F58" s="1213" t="str">
        <f>Commodities_VT!$C$38&amp;","&amp;Commodities_VT!$C$39&amp;","&amp;Commodities_VT!$C$15</f>
        <v>COMHUDB,COMHRDB,CWFDEM</v>
      </c>
      <c r="G58" s="839" t="s">
        <v>795</v>
      </c>
      <c r="H58" s="46">
        <v>2012</v>
      </c>
      <c r="I58" s="46">
        <v>2018</v>
      </c>
      <c r="J58" s="105">
        <v>1</v>
      </c>
      <c r="K58" s="46">
        <f>'HP, gas absorpt,brine-to-water'!E8</f>
        <v>20</v>
      </c>
      <c r="L58" s="480">
        <f>'HP, gas absorpt,brine-to-water'!F8</f>
        <v>11.622</v>
      </c>
      <c r="M58" s="83">
        <f>'HP, gas absorpt,brine-to-water'!G8</f>
        <v>0.17507500000000001</v>
      </c>
      <c r="N58" s="83">
        <f>'HP, gas absorpt,brine-to-water'!H8</f>
        <v>0</v>
      </c>
      <c r="O58" s="47">
        <v>3.1536000000000002E-2</v>
      </c>
      <c r="P58" s="83">
        <f>'HP, gas absorpt,brine-to-water'!J8</f>
        <v>0.2</v>
      </c>
      <c r="Q58" s="76"/>
      <c r="R58" s="74">
        <f>'HP, gas absorpt,brine-to-water'!K8</f>
        <v>0</v>
      </c>
      <c r="S58" s="50">
        <f>'HP, gas absorpt,brine-to-water'!L8</f>
        <v>0</v>
      </c>
      <c r="T58" s="50">
        <f>'HP, gas absorpt,brine-to-water'!M8</f>
        <v>0</v>
      </c>
      <c r="U58" s="74">
        <f>'HP, gas absorpt,brine-to-water'!N8</f>
        <v>0</v>
      </c>
      <c r="V58" s="74">
        <f>'HP, gas absorpt,brine-to-water'!O8</f>
        <v>0</v>
      </c>
      <c r="W58" s="82"/>
      <c r="X58" s="764" t="s">
        <v>542</v>
      </c>
      <c r="Z58" s="48" t="e">
        <f>'HP, gas absorpt,brine-to-water'!#REF!</f>
        <v>#REF!</v>
      </c>
      <c r="AA58" s="625">
        <v>1.35</v>
      </c>
    </row>
    <row r="59" spans="3:28">
      <c r="C59" s="42"/>
      <c r="D59" s="42"/>
      <c r="E59" s="42"/>
      <c r="F59" s="42"/>
      <c r="G59" s="839" t="s">
        <v>795</v>
      </c>
      <c r="H59" s="46">
        <f>'HP, gas absorpt,brine-to-water'!B9</f>
        <v>2020</v>
      </c>
      <c r="I59" s="46"/>
      <c r="J59" s="105">
        <v>1</v>
      </c>
      <c r="K59" s="46">
        <f>'HP, gas absorpt,brine-to-water'!E9</f>
        <v>20</v>
      </c>
      <c r="L59" s="480">
        <f>'HP, gas absorpt,brine-to-water'!F9</f>
        <v>10.951499999999999</v>
      </c>
      <c r="M59" s="83">
        <f>'HP, gas absorpt,brine-to-water'!G9</f>
        <v>0.17507500000000001</v>
      </c>
      <c r="N59" s="83">
        <f>'HP, gas absorpt,brine-to-water'!H9</f>
        <v>0</v>
      </c>
      <c r="O59" s="47"/>
      <c r="P59" s="76"/>
      <c r="Q59" s="76"/>
      <c r="R59" s="74">
        <f>'HP, gas absorpt,brine-to-water'!K9</f>
        <v>0</v>
      </c>
      <c r="S59" s="50">
        <f>'HP, gas absorpt,brine-to-water'!L9</f>
        <v>0</v>
      </c>
      <c r="T59" s="50">
        <f>'HP, gas absorpt,brine-to-water'!M9</f>
        <v>0</v>
      </c>
      <c r="U59" s="74">
        <f>'HP, gas absorpt,brine-to-water'!N9</f>
        <v>0</v>
      </c>
      <c r="V59" s="74">
        <f>'HP, gas absorpt,brine-to-water'!O9</f>
        <v>0</v>
      </c>
      <c r="W59" s="82"/>
      <c r="Z59" s="48" t="e">
        <f>'HP, gas absorpt,brine-to-water'!#REF!</f>
        <v>#REF!</v>
      </c>
      <c r="AA59" s="625">
        <v>1.45</v>
      </c>
    </row>
    <row r="60" spans="3:28">
      <c r="D60" s="821"/>
      <c r="G60" s="839" t="s">
        <v>795</v>
      </c>
      <c r="H60" s="48">
        <f>'HP, gas absorpt,brine-to-water'!B10</f>
        <v>2030</v>
      </c>
      <c r="I60" s="48"/>
      <c r="J60" s="105">
        <v>1</v>
      </c>
      <c r="K60" s="46">
        <f>'HP, gas absorpt,brine-to-water'!E10</f>
        <v>20</v>
      </c>
      <c r="L60" s="480">
        <f>'HP, gas absorpt,brine-to-water'!F10</f>
        <v>9.8339999999999996</v>
      </c>
      <c r="M60" s="83">
        <f>'HP, gas absorpt,brine-to-water'!G10</f>
        <v>0.17507500000000001</v>
      </c>
      <c r="N60" s="83">
        <f>'HP, gas absorpt,brine-to-water'!H10</f>
        <v>0</v>
      </c>
      <c r="O60" s="47"/>
      <c r="P60" s="76"/>
      <c r="Q60" s="76"/>
      <c r="R60" s="74">
        <f>'HP, gas absorpt,brine-to-water'!K10</f>
        <v>0</v>
      </c>
      <c r="S60" s="50">
        <f>'HP, gas absorpt,brine-to-water'!L10</f>
        <v>0</v>
      </c>
      <c r="T60" s="50">
        <f>'HP, gas absorpt,brine-to-water'!M10</f>
        <v>0</v>
      </c>
      <c r="U60" s="74">
        <f>'HP, gas absorpt,brine-to-water'!N10</f>
        <v>0</v>
      </c>
      <c r="V60" s="74">
        <f>'HP, gas absorpt,brine-to-water'!O10</f>
        <v>0</v>
      </c>
      <c r="W60" s="82"/>
      <c r="Z60" s="48" t="e">
        <f>'HP, gas absorpt,brine-to-water'!#REF!</f>
        <v>#REF!</v>
      </c>
      <c r="AA60" s="625">
        <v>1.7</v>
      </c>
    </row>
    <row r="61" spans="3:28">
      <c r="D61" s="821"/>
      <c r="G61" s="839" t="s">
        <v>795</v>
      </c>
      <c r="H61" s="48">
        <f>'HP, gas absorpt,brine-to-water'!B11</f>
        <v>2050</v>
      </c>
      <c r="I61" s="48"/>
      <c r="J61" s="105">
        <v>1</v>
      </c>
      <c r="K61" s="46">
        <f>'HP, gas absorpt,brine-to-water'!E11</f>
        <v>20</v>
      </c>
      <c r="L61" s="480">
        <f>'HP, gas absorpt,brine-to-water'!F11</f>
        <v>8.865499999999999</v>
      </c>
      <c r="M61" s="83">
        <f>'HP, gas absorpt,brine-to-water'!G11</f>
        <v>0.17507500000000001</v>
      </c>
      <c r="N61" s="83">
        <f>'HP, gas absorpt,brine-to-water'!H11</f>
        <v>0</v>
      </c>
      <c r="O61" s="47"/>
      <c r="P61" s="76"/>
      <c r="Q61" s="76"/>
      <c r="R61" s="74">
        <f>'HP, gas absorpt,brine-to-water'!K11</f>
        <v>0</v>
      </c>
      <c r="S61" s="50">
        <f>'HP, gas absorpt,brine-to-water'!L11</f>
        <v>0</v>
      </c>
      <c r="T61" s="50">
        <f>'HP, gas absorpt,brine-to-water'!M11</f>
        <v>0</v>
      </c>
      <c r="U61" s="74">
        <f>'HP, gas absorpt,brine-to-water'!N11</f>
        <v>0</v>
      </c>
      <c r="V61" s="74">
        <f>'HP, gas absorpt,brine-to-water'!O11</f>
        <v>0</v>
      </c>
      <c r="W61" s="82"/>
      <c r="Z61" s="48" t="e">
        <f>'HP, gas absorpt,brine-to-water'!#REF!</f>
        <v>#REF!</v>
      </c>
      <c r="AA61" s="625">
        <v>1.7</v>
      </c>
    </row>
    <row r="62" spans="3:28">
      <c r="C62" s="172" t="s">
        <v>988</v>
      </c>
      <c r="D62" s="172" t="str">
        <f>Processes!E72</f>
        <v>Commercial heating technology detached building - Heat pump,gas engine, air-to-water - new 4</v>
      </c>
      <c r="E62" s="821" t="s">
        <v>962</v>
      </c>
      <c r="F62" s="1213" t="str">
        <f>Commodities_VT!$C$38&amp;","&amp;Commodities_VT!$C$39&amp;","&amp;Commodities_VT!$C$15</f>
        <v>COMHUDB,COMHRDB,CWFDEM</v>
      </c>
      <c r="G62" s="839" t="s">
        <v>795</v>
      </c>
      <c r="H62" s="46"/>
      <c r="I62" s="48"/>
      <c r="J62" s="105">
        <v>1</v>
      </c>
      <c r="K62" s="72"/>
      <c r="L62" s="26"/>
      <c r="M62" s="26"/>
      <c r="N62" s="50"/>
      <c r="O62" s="47"/>
      <c r="P62" s="76"/>
      <c r="Q62" s="76"/>
      <c r="R62" s="74"/>
      <c r="S62" s="50"/>
      <c r="T62" s="50"/>
      <c r="U62" s="74"/>
      <c r="V62" s="74"/>
      <c r="W62" s="82"/>
      <c r="Z62" s="48"/>
      <c r="AA62" s="625"/>
    </row>
    <row r="63" spans="3:28">
      <c r="C63" s="53" t="s">
        <v>318</v>
      </c>
      <c r="D63" s="821" t="s">
        <v>318</v>
      </c>
      <c r="G63" s="839" t="s">
        <v>795</v>
      </c>
      <c r="H63" s="48"/>
      <c r="I63" s="48"/>
      <c r="J63" s="105">
        <v>1</v>
      </c>
      <c r="K63" s="72"/>
      <c r="L63" s="26"/>
      <c r="M63" s="26"/>
      <c r="N63" s="50"/>
      <c r="O63" s="47"/>
      <c r="P63" s="76"/>
      <c r="Q63" s="76"/>
      <c r="R63" s="74"/>
      <c r="S63" s="50"/>
      <c r="T63" s="50"/>
      <c r="U63" s="74"/>
      <c r="V63" s="74"/>
      <c r="W63" s="82"/>
      <c r="Z63" s="48"/>
      <c r="AA63" s="625"/>
    </row>
    <row r="64" spans="3:28">
      <c r="C64" s="53" t="s">
        <v>318</v>
      </c>
      <c r="D64" s="821" t="s">
        <v>318</v>
      </c>
      <c r="G64" s="839" t="s">
        <v>795</v>
      </c>
      <c r="H64" s="48"/>
      <c r="I64" s="48"/>
      <c r="J64" s="105">
        <v>1</v>
      </c>
      <c r="K64" s="72"/>
      <c r="L64" s="26"/>
      <c r="M64" s="26"/>
      <c r="N64" s="50"/>
      <c r="O64" s="47"/>
      <c r="P64" s="76"/>
      <c r="Q64" s="76"/>
      <c r="R64" s="74"/>
      <c r="S64" s="50"/>
      <c r="T64" s="50"/>
      <c r="U64" s="74"/>
      <c r="V64" s="74"/>
      <c r="W64" s="82"/>
      <c r="Z64" s="48"/>
      <c r="AA64" s="625"/>
    </row>
    <row r="65" spans="3:27">
      <c r="C65" s="53" t="s">
        <v>318</v>
      </c>
      <c r="D65" s="821" t="s">
        <v>318</v>
      </c>
      <c r="G65" s="839" t="s">
        <v>795</v>
      </c>
      <c r="H65" s="48"/>
      <c r="I65" s="48"/>
      <c r="J65" s="105">
        <v>1</v>
      </c>
      <c r="K65" s="72"/>
      <c r="L65" s="26"/>
      <c r="M65" s="26"/>
      <c r="N65" s="50"/>
      <c r="O65" s="47"/>
      <c r="P65" s="76"/>
      <c r="Q65" s="76"/>
      <c r="R65" s="74"/>
      <c r="S65" s="50"/>
      <c r="T65" s="50"/>
      <c r="U65" s="74"/>
      <c r="V65" s="74"/>
      <c r="W65" s="82"/>
      <c r="Z65" s="48"/>
      <c r="AA65" s="625"/>
    </row>
    <row r="66" spans="3:27">
      <c r="C66" s="53" t="s">
        <v>989</v>
      </c>
      <c r="D66" s="821" t="str">
        <f>Processes!E73</f>
        <v>Commercial heating technology detached building - Heat pump,gas engine, brine-to-water - new 5</v>
      </c>
      <c r="E66" s="821" t="s">
        <v>962</v>
      </c>
      <c r="F66" s="1213" t="str">
        <f>Commodities_VT!$C$38&amp;","&amp;Commodities_VT!$C$39&amp;","&amp;Commodities_VT!$C$15</f>
        <v>COMHUDB,COMHRDB,CWFDEM</v>
      </c>
      <c r="G66" s="839" t="s">
        <v>795</v>
      </c>
      <c r="H66" s="46"/>
      <c r="I66" s="48"/>
      <c r="J66" s="105">
        <v>1</v>
      </c>
      <c r="K66" s="72"/>
      <c r="L66" s="26"/>
      <c r="M66" s="26"/>
      <c r="N66" s="50"/>
      <c r="O66" s="47"/>
      <c r="P66" s="76"/>
      <c r="Q66" s="76"/>
      <c r="R66" s="74"/>
      <c r="S66" s="50"/>
      <c r="T66" s="50"/>
      <c r="U66" s="74"/>
      <c r="V66" s="74"/>
      <c r="W66" s="82"/>
      <c r="Z66" s="48"/>
      <c r="AA66" s="625"/>
    </row>
    <row r="67" spans="3:27">
      <c r="C67" s="53" t="s">
        <v>318</v>
      </c>
      <c r="D67" s="821" t="s">
        <v>318</v>
      </c>
      <c r="G67" s="839" t="s">
        <v>795</v>
      </c>
      <c r="H67" s="48"/>
      <c r="I67" s="48"/>
      <c r="J67" s="105">
        <v>1</v>
      </c>
      <c r="K67" s="72"/>
      <c r="L67" s="26"/>
      <c r="M67" s="26"/>
      <c r="N67" s="50"/>
      <c r="O67" s="47"/>
      <c r="P67" s="76"/>
      <c r="Q67" s="76"/>
      <c r="R67" s="74"/>
      <c r="S67" s="50"/>
      <c r="T67" s="50"/>
      <c r="U67" s="74"/>
      <c r="V67" s="74"/>
      <c r="W67" s="82"/>
      <c r="Z67" s="48"/>
      <c r="AA67" s="625"/>
    </row>
    <row r="68" spans="3:27">
      <c r="C68" s="53" t="s">
        <v>318</v>
      </c>
      <c r="D68" s="821" t="s">
        <v>318</v>
      </c>
      <c r="G68" s="839" t="s">
        <v>795</v>
      </c>
      <c r="H68" s="48"/>
      <c r="I68" s="48"/>
      <c r="J68" s="105">
        <v>1</v>
      </c>
      <c r="K68" s="72"/>
      <c r="L68" s="26"/>
      <c r="M68" s="26"/>
      <c r="N68" s="50"/>
      <c r="O68" s="47"/>
      <c r="P68" s="76"/>
      <c r="Q68" s="76"/>
      <c r="R68" s="74"/>
      <c r="S68" s="50"/>
      <c r="T68" s="50"/>
      <c r="U68" s="74"/>
      <c r="V68" s="74"/>
      <c r="W68" s="82"/>
      <c r="Z68" s="48"/>
      <c r="AA68" s="625"/>
    </row>
    <row r="69" spans="3:27">
      <c r="C69" s="53" t="s">
        <v>318</v>
      </c>
      <c r="D69" s="821" t="s">
        <v>318</v>
      </c>
      <c r="G69" s="839" t="s">
        <v>795</v>
      </c>
      <c r="H69" s="48"/>
      <c r="I69" s="48"/>
      <c r="J69" s="105">
        <v>1</v>
      </c>
      <c r="K69" s="72"/>
      <c r="L69" s="26"/>
      <c r="M69" s="26"/>
      <c r="N69" s="50"/>
      <c r="O69" s="47"/>
      <c r="P69" s="76"/>
      <c r="Q69" s="76"/>
      <c r="R69" s="74"/>
      <c r="S69" s="50"/>
      <c r="T69" s="50"/>
      <c r="U69" s="74"/>
      <c r="V69" s="74"/>
      <c r="W69" s="82"/>
      <c r="Z69" s="48"/>
      <c r="AA69" s="625"/>
    </row>
    <row r="70" spans="3:27">
      <c r="C70" s="53" t="str">
        <f>Processes!D74</f>
        <v>CHTDBNGABN6</v>
      </c>
      <c r="D70" s="821" t="str">
        <f>Processes!E74</f>
        <v>Commercial heating technology detached building - Heat pump,gas adsoption, air-to-water - new 6</v>
      </c>
      <c r="E70" s="821" t="s">
        <v>962</v>
      </c>
      <c r="F70" s="1213" t="str">
        <f>Commodities_VT!$C$38&amp;","&amp;Commodities_VT!$C$39&amp;","&amp;Commodities_VT!$C$15</f>
        <v>COMHUDB,COMHRDB,CWFDEM</v>
      </c>
      <c r="G70" s="839" t="s">
        <v>795</v>
      </c>
      <c r="H70" s="46">
        <v>2012</v>
      </c>
      <c r="I70" s="46">
        <v>2018</v>
      </c>
      <c r="J70" s="105">
        <v>1</v>
      </c>
      <c r="K70" s="48">
        <f>'HP, gas adsorpt,brine to water'!E8</f>
        <v>20</v>
      </c>
      <c r="L70" s="480">
        <f>'HP, gas adsorpt,brine to water'!F8</f>
        <v>10.43</v>
      </c>
      <c r="M70" s="83">
        <f>'HP, gas adsorpt,brine to water'!G8</f>
        <v>0.17507500000000001</v>
      </c>
      <c r="N70" s="83">
        <f>'HP, gas adsorpt,brine to water'!H8</f>
        <v>0</v>
      </c>
      <c r="O70" s="47">
        <v>3.1536000000000002E-2</v>
      </c>
      <c r="P70" s="83">
        <f>'HP, gas adsorpt,brine to water'!J8</f>
        <v>0.2</v>
      </c>
      <c r="Q70" s="76"/>
      <c r="R70" s="74">
        <f>'HP, gas adsorpt,brine to water'!L7</f>
        <v>0</v>
      </c>
      <c r="S70" s="50">
        <f>'HP, gas adsorpt,brine to water'!M7</f>
        <v>0</v>
      </c>
      <c r="T70" s="50">
        <f>'HP, gas adsorpt,brine to water'!N7</f>
        <v>0</v>
      </c>
      <c r="U70" s="74">
        <f>'HP, gas adsorpt,brine to water'!O7</f>
        <v>0</v>
      </c>
      <c r="V70" s="74">
        <f>'HP, gas adsorpt,brine to water'!P7</f>
        <v>0</v>
      </c>
      <c r="W70" s="82"/>
      <c r="X70" s="764" t="s">
        <v>542</v>
      </c>
      <c r="Z70" s="48" t="e">
        <f>'HP, gas adsorpt,brine to water'!#REF!</f>
        <v>#REF!</v>
      </c>
      <c r="AA70" s="625">
        <v>1.35</v>
      </c>
    </row>
    <row r="71" spans="3:27">
      <c r="D71" s="821"/>
      <c r="G71" s="839" t="s">
        <v>795</v>
      </c>
      <c r="H71" s="48">
        <f>'HP, gas adsorpt,brine to water'!B9</f>
        <v>2020</v>
      </c>
      <c r="I71" s="48"/>
      <c r="J71" s="105">
        <v>1</v>
      </c>
      <c r="K71" s="48">
        <f>'HP, gas adsorpt,brine to water'!E9</f>
        <v>20</v>
      </c>
      <c r="L71" s="480">
        <f>'HP, gas adsorpt,brine to water'!F9</f>
        <v>9.8041999999999998</v>
      </c>
      <c r="M71" s="83">
        <f>'HP, gas adsorpt,brine to water'!G9</f>
        <v>0.17507500000000001</v>
      </c>
      <c r="N71" s="83">
        <f>'HP, gas adsorpt,brine to water'!H9</f>
        <v>0</v>
      </c>
      <c r="O71" s="47"/>
      <c r="P71" s="50"/>
      <c r="Q71" s="50"/>
      <c r="R71" s="74">
        <f>'HP, gas adsorpt,brine to water'!L8</f>
        <v>0</v>
      </c>
      <c r="S71" s="50">
        <f>'HP, gas adsorpt,brine to water'!M8</f>
        <v>0</v>
      </c>
      <c r="T71" s="50">
        <f>'HP, gas adsorpt,brine to water'!N8</f>
        <v>0</v>
      </c>
      <c r="U71" s="74">
        <f>'HP, gas adsorpt,brine to water'!O8</f>
        <v>0</v>
      </c>
      <c r="V71" s="74">
        <f>'HP, gas adsorpt,brine to water'!P8</f>
        <v>0</v>
      </c>
      <c r="W71" s="82"/>
      <c r="Z71" s="48" t="e">
        <f>'HP, gas adsorpt,brine to water'!#REF!</f>
        <v>#REF!</v>
      </c>
      <c r="AA71" s="625">
        <v>1.35</v>
      </c>
    </row>
    <row r="72" spans="3:27">
      <c r="D72" s="821"/>
      <c r="G72" s="839" t="s">
        <v>795</v>
      </c>
      <c r="H72" s="48">
        <f>'HP, gas adsorpt,brine to water'!B10</f>
        <v>2030</v>
      </c>
      <c r="I72" s="48"/>
      <c r="J72" s="105">
        <v>1</v>
      </c>
      <c r="K72" s="48">
        <f>'HP, gas adsorpt,brine to water'!E10</f>
        <v>20</v>
      </c>
      <c r="L72" s="480">
        <f>'HP, gas adsorpt,brine to water'!F10</f>
        <v>8.8237800000000011</v>
      </c>
      <c r="M72" s="83">
        <f>'HP, gas adsorpt,brine to water'!G10</f>
        <v>0.17507500000000001</v>
      </c>
      <c r="N72" s="83">
        <f>'HP, gas adsorpt,brine to water'!H10</f>
        <v>0</v>
      </c>
      <c r="O72" s="47"/>
      <c r="P72" s="50"/>
      <c r="Q72" s="50"/>
      <c r="R72" s="74">
        <f>'HP, gas adsorpt,brine to water'!L9</f>
        <v>0</v>
      </c>
      <c r="S72" s="50">
        <f>'HP, gas adsorpt,brine to water'!M9</f>
        <v>0</v>
      </c>
      <c r="T72" s="50">
        <f>'HP, gas adsorpt,brine to water'!N9</f>
        <v>0</v>
      </c>
      <c r="U72" s="74">
        <f>'HP, gas adsorpt,brine to water'!O9</f>
        <v>0</v>
      </c>
      <c r="V72" s="74">
        <f>'HP, gas adsorpt,brine to water'!P9</f>
        <v>0</v>
      </c>
      <c r="W72" s="82"/>
      <c r="Z72" s="48" t="e">
        <f>'HP, gas adsorpt,brine to water'!#REF!</f>
        <v>#REF!</v>
      </c>
      <c r="AA72" s="625">
        <v>1.35</v>
      </c>
    </row>
    <row r="73" spans="3:27">
      <c r="C73" s="91"/>
      <c r="D73" s="91"/>
      <c r="E73" s="91"/>
      <c r="F73" s="91"/>
      <c r="G73" s="839" t="s">
        <v>795</v>
      </c>
      <c r="H73" s="48">
        <f>'HP, gas adsorpt,brine to water'!B11</f>
        <v>2050</v>
      </c>
      <c r="I73" s="48"/>
      <c r="J73" s="105">
        <v>1</v>
      </c>
      <c r="K73" s="48">
        <f>'HP, gas adsorpt,brine to water'!E11</f>
        <v>20</v>
      </c>
      <c r="L73" s="480">
        <f>'HP, gas adsorpt,brine to water'!F11</f>
        <v>7.9414020000000001</v>
      </c>
      <c r="M73" s="83">
        <f>'HP, gas adsorpt,brine to water'!G11</f>
        <v>0.17507500000000001</v>
      </c>
      <c r="N73" s="83">
        <f>'HP, gas adsorpt,brine to water'!H11</f>
        <v>0</v>
      </c>
      <c r="O73" s="47"/>
      <c r="P73" s="50"/>
      <c r="Q73" s="50"/>
      <c r="R73" s="74">
        <f>'HP, gas adsorpt,brine to water'!L10</f>
        <v>0</v>
      </c>
      <c r="S73" s="50">
        <f>'HP, gas adsorpt,brine to water'!M10</f>
        <v>0</v>
      </c>
      <c r="T73" s="50">
        <f>'HP, gas adsorpt,brine to water'!N10</f>
        <v>0</v>
      </c>
      <c r="U73" s="74">
        <f>'HP, gas adsorpt,brine to water'!O10</f>
        <v>0</v>
      </c>
      <c r="V73" s="74">
        <f>'HP, gas adsorpt,brine to water'!P10</f>
        <v>0</v>
      </c>
      <c r="W73" s="730"/>
      <c r="X73" s="91"/>
      <c r="Y73" s="91"/>
      <c r="Z73" s="48" t="e">
        <f>'HP, gas adsorpt,brine to water'!#REF!</f>
        <v>#REF!</v>
      </c>
      <c r="AA73" s="625">
        <v>1.35</v>
      </c>
    </row>
    <row r="74" spans="3:27">
      <c r="C74" s="42" t="str">
        <f>Processes!D75</f>
        <v>CHTDBHCEBN1</v>
      </c>
      <c r="D74" s="42" t="str">
        <f>Processes!E75</f>
        <v>Commercial heating technology detached building - heat exchangers -centralised - new 1</v>
      </c>
      <c r="E74" s="42" t="s">
        <v>968</v>
      </c>
      <c r="F74" s="1213" t="str">
        <f>Commodities_VT!$C$34&amp;","&amp;Commodities_VT!$C$15</f>
        <v>COMHUDX,CWFDEM</v>
      </c>
      <c r="G74" s="839" t="s">
        <v>795</v>
      </c>
      <c r="H74" s="46">
        <v>2012</v>
      </c>
      <c r="I74" s="46">
        <v>2022</v>
      </c>
      <c r="J74" s="831">
        <f>'DH substation'!D8-$J$96</f>
        <v>0.97</v>
      </c>
      <c r="K74" s="46">
        <f>'DH substation'!E8</f>
        <v>25</v>
      </c>
      <c r="L74" s="478">
        <f>'DH substation'!F8</f>
        <v>1.4155</v>
      </c>
      <c r="M74" s="83">
        <f>'DH substation'!G8</f>
        <v>3.5015000000000004E-2</v>
      </c>
      <c r="N74" s="46">
        <f>'DH substation'!H8</f>
        <v>0</v>
      </c>
      <c r="O74" s="88">
        <v>3.1536000000000002E-2</v>
      </c>
      <c r="P74" s="46">
        <f>'DH substation'!J8</f>
        <v>0.2</v>
      </c>
      <c r="Q74" s="50"/>
      <c r="R74" s="74"/>
      <c r="S74" s="50"/>
      <c r="T74" s="50"/>
      <c r="U74" s="74"/>
      <c r="V74" s="74"/>
      <c r="W74" s="82"/>
      <c r="X74" s="53" t="s">
        <v>393</v>
      </c>
      <c r="Z74" s="79"/>
    </row>
    <row r="75" spans="3:27">
      <c r="D75" s="821"/>
      <c r="G75" s="839" t="s">
        <v>795</v>
      </c>
      <c r="H75" s="46">
        <f>'DH substation'!B9</f>
        <v>2020</v>
      </c>
      <c r="I75" s="46"/>
      <c r="J75" s="831">
        <f>'DH substation'!D9-$J$96</f>
        <v>0.97</v>
      </c>
      <c r="K75" s="46">
        <f>'DH substation'!E9</f>
        <v>25</v>
      </c>
      <c r="L75" s="478">
        <f>'DH substation'!F9</f>
        <v>1.3804646100440141</v>
      </c>
      <c r="M75" s="83">
        <f>'DH substation'!G9</f>
        <v>3.4148335090562455E-2</v>
      </c>
      <c r="N75" s="46">
        <f>'DH substation'!H9</f>
        <v>0</v>
      </c>
    </row>
    <row r="76" spans="3:27" s="113" customFormat="1">
      <c r="G76" s="839" t="s">
        <v>795</v>
      </c>
      <c r="H76" s="46">
        <f>'DH substation'!B10</f>
        <v>2030</v>
      </c>
      <c r="I76" s="46"/>
      <c r="J76" s="831">
        <f>'DH substation'!D10-$J$96</f>
        <v>0.97</v>
      </c>
      <c r="K76" s="46">
        <f>'DH substation'!E10</f>
        <v>25</v>
      </c>
      <c r="L76" s="478">
        <f>'DH substation'!F10</f>
        <v>1.3129738753623432</v>
      </c>
      <c r="M76" s="83">
        <f>'DH substation'!G10</f>
        <v>3.2478827443173756E-2</v>
      </c>
      <c r="N76" s="46">
        <f>'DH substation'!H10</f>
        <v>0</v>
      </c>
      <c r="O76" s="90"/>
      <c r="P76" s="115"/>
      <c r="Q76" s="80"/>
      <c r="R76" s="82"/>
      <c r="S76" s="80"/>
      <c r="T76" s="80"/>
      <c r="U76" s="82"/>
      <c r="V76" s="82"/>
      <c r="W76" s="82"/>
      <c r="Z76" s="86"/>
    </row>
    <row r="77" spans="3:27" s="113" customFormat="1">
      <c r="G77" s="839" t="s">
        <v>795</v>
      </c>
      <c r="H77" s="46">
        <f>'DH substation'!B11</f>
        <v>2050</v>
      </c>
      <c r="I77" s="46"/>
      <c r="J77" s="831">
        <f>'DH substation'!D11-$J$96</f>
        <v>0.97</v>
      </c>
      <c r="K77" s="46">
        <f>'DH substation'!E11</f>
        <v>25</v>
      </c>
      <c r="L77" s="478">
        <f>'DH substation'!F11</f>
        <v>1.1877299279795555</v>
      </c>
      <c r="M77" s="83">
        <f>'DH substation'!G11</f>
        <v>2.9380687692125845E-2</v>
      </c>
      <c r="N77" s="46">
        <f>'DH substation'!H11</f>
        <v>0</v>
      </c>
      <c r="O77" s="90"/>
      <c r="P77" s="115"/>
      <c r="Q77" s="80"/>
      <c r="R77" s="82"/>
      <c r="S77" s="80"/>
      <c r="T77" s="80"/>
      <c r="U77" s="82"/>
      <c r="V77" s="82"/>
      <c r="W77" s="82"/>
      <c r="Z77" s="86"/>
    </row>
    <row r="78" spans="3:27" s="821" customFormat="1">
      <c r="C78" s="42" t="str">
        <f>Processes!D76</f>
        <v>CHTDBHSEBN1</v>
      </c>
      <c r="D78" s="42" t="str">
        <f>Processes!E76</f>
        <v>Commercial heating technology detached building - heat exchangers -centralised - new 1</v>
      </c>
      <c r="E78" s="42" t="s">
        <v>985</v>
      </c>
      <c r="F78" s="1213" t="str">
        <f>Commodities_VT!$C$34&amp;","&amp;Commodities_VT!$C$15</f>
        <v>COMHUDX,CWFDEM</v>
      </c>
      <c r="G78" s="839" t="s">
        <v>795</v>
      </c>
      <c r="H78" s="46">
        <f t="shared" ref="H78:P78" si="0">H74</f>
        <v>2012</v>
      </c>
      <c r="I78" s="46">
        <v>2022</v>
      </c>
      <c r="J78" s="46">
        <f t="shared" si="0"/>
        <v>0.97</v>
      </c>
      <c r="K78" s="46">
        <f t="shared" si="0"/>
        <v>25</v>
      </c>
      <c r="L78" s="46">
        <f t="shared" si="0"/>
        <v>1.4155</v>
      </c>
      <c r="M78" s="46">
        <f t="shared" si="0"/>
        <v>3.5015000000000004E-2</v>
      </c>
      <c r="N78" s="46">
        <f t="shared" si="0"/>
        <v>0</v>
      </c>
      <c r="O78" s="46">
        <f t="shared" si="0"/>
        <v>3.1536000000000002E-2</v>
      </c>
      <c r="P78" s="46">
        <f t="shared" si="0"/>
        <v>0.2</v>
      </c>
      <c r="Q78" s="50"/>
      <c r="R78" s="74"/>
      <c r="S78" s="50"/>
      <c r="T78" s="50"/>
      <c r="U78" s="74"/>
      <c r="V78" s="74"/>
      <c r="W78" s="82"/>
      <c r="X78" s="821" t="s">
        <v>393</v>
      </c>
      <c r="Z78" s="79"/>
    </row>
    <row r="79" spans="3:27" s="821" customFormat="1">
      <c r="G79" s="839" t="s">
        <v>795</v>
      </c>
      <c r="H79" s="46">
        <f>H75</f>
        <v>2020</v>
      </c>
      <c r="I79" s="46"/>
      <c r="J79" s="46">
        <f t="shared" ref="J79:N81" si="1">J75</f>
        <v>0.97</v>
      </c>
      <c r="K79" s="46">
        <f t="shared" si="1"/>
        <v>25</v>
      </c>
      <c r="L79" s="46">
        <f t="shared" si="1"/>
        <v>1.3804646100440141</v>
      </c>
      <c r="M79" s="46">
        <f t="shared" si="1"/>
        <v>3.4148335090562455E-2</v>
      </c>
      <c r="N79" s="46">
        <f t="shared" si="1"/>
        <v>0</v>
      </c>
    </row>
    <row r="80" spans="3:27" s="113" customFormat="1">
      <c r="G80" s="839" t="s">
        <v>795</v>
      </c>
      <c r="H80" s="46">
        <f>H76</f>
        <v>2030</v>
      </c>
      <c r="I80" s="46"/>
      <c r="J80" s="46">
        <f t="shared" si="1"/>
        <v>0.97</v>
      </c>
      <c r="K80" s="46">
        <f t="shared" si="1"/>
        <v>25</v>
      </c>
      <c r="L80" s="46">
        <f t="shared" si="1"/>
        <v>1.3129738753623432</v>
      </c>
      <c r="M80" s="46">
        <f t="shared" si="1"/>
        <v>3.2478827443173756E-2</v>
      </c>
      <c r="N80" s="46">
        <f t="shared" si="1"/>
        <v>0</v>
      </c>
      <c r="O80" s="90"/>
      <c r="P80" s="115"/>
      <c r="Q80" s="80"/>
      <c r="R80" s="82"/>
      <c r="S80" s="80"/>
      <c r="T80" s="80"/>
      <c r="U80" s="82"/>
      <c r="V80" s="82"/>
      <c r="W80" s="82"/>
      <c r="Z80" s="86"/>
    </row>
    <row r="81" spans="2:28" s="113" customFormat="1">
      <c r="G81" s="839" t="s">
        <v>795</v>
      </c>
      <c r="H81" s="46">
        <f>H77</f>
        <v>2050</v>
      </c>
      <c r="I81" s="46"/>
      <c r="J81" s="46">
        <f t="shared" si="1"/>
        <v>0.97</v>
      </c>
      <c r="K81" s="46">
        <f t="shared" si="1"/>
        <v>25</v>
      </c>
      <c r="L81" s="46">
        <f t="shared" si="1"/>
        <v>1.1877299279795555</v>
      </c>
      <c r="M81" s="46">
        <f t="shared" si="1"/>
        <v>2.9380687692125845E-2</v>
      </c>
      <c r="N81" s="46">
        <f t="shared" si="1"/>
        <v>0</v>
      </c>
      <c r="O81" s="90"/>
      <c r="P81" s="115"/>
      <c r="Q81" s="80"/>
      <c r="R81" s="82"/>
      <c r="S81" s="80"/>
      <c r="T81" s="80"/>
      <c r="U81" s="82"/>
      <c r="V81" s="82"/>
      <c r="W81" s="82"/>
      <c r="Z81" s="86"/>
    </row>
    <row r="82" spans="2:28" s="113" customFormat="1">
      <c r="C82" s="128" t="str">
        <f>Processes!D77</f>
        <v>CHTDBHDEBN1</v>
      </c>
      <c r="D82" s="128" t="str">
        <f>Processes!E77</f>
        <v>Commercial heating technology detached building - heat excghanger- decentralised - new 1</v>
      </c>
      <c r="E82" s="128" t="s">
        <v>969</v>
      </c>
      <c r="F82" s="1213" t="str">
        <f>Commodities_VT!$C$35&amp;","&amp;Commodities_VT!$C$15</f>
        <v>COMHRDX,CWFDEM</v>
      </c>
      <c r="G82" s="839" t="s">
        <v>795</v>
      </c>
      <c r="H82" s="46">
        <f>H74</f>
        <v>2012</v>
      </c>
      <c r="I82" s="46">
        <f t="shared" ref="I82:P82" si="2">I74</f>
        <v>2022</v>
      </c>
      <c r="J82" s="46">
        <f t="shared" si="2"/>
        <v>0.97</v>
      </c>
      <c r="K82" s="46">
        <f t="shared" si="2"/>
        <v>25</v>
      </c>
      <c r="L82" s="46">
        <f t="shared" si="2"/>
        <v>1.4155</v>
      </c>
      <c r="M82" s="46">
        <f t="shared" si="2"/>
        <v>3.5015000000000004E-2</v>
      </c>
      <c r="N82" s="46">
        <f t="shared" si="2"/>
        <v>0</v>
      </c>
      <c r="O82" s="88">
        <f t="shared" si="2"/>
        <v>3.1536000000000002E-2</v>
      </c>
      <c r="P82" s="46">
        <f t="shared" si="2"/>
        <v>0.2</v>
      </c>
      <c r="Q82" s="50"/>
      <c r="R82" s="74"/>
      <c r="S82" s="50"/>
      <c r="T82" s="50"/>
      <c r="U82" s="74"/>
      <c r="V82" s="74"/>
      <c r="W82" s="82"/>
      <c r="X82" s="53" t="s">
        <v>393</v>
      </c>
      <c r="Y82" s="53"/>
      <c r="Z82" s="79"/>
      <c r="AA82" s="53"/>
      <c r="AB82" s="53"/>
    </row>
    <row r="83" spans="2:28" s="113" customFormat="1">
      <c r="F83" s="114"/>
      <c r="G83" s="839" t="s">
        <v>795</v>
      </c>
      <c r="H83" s="46">
        <f t="shared" ref="H83:N83" si="3">H75</f>
        <v>2020</v>
      </c>
      <c r="I83" s="46"/>
      <c r="J83" s="46">
        <f t="shared" si="3"/>
        <v>0.97</v>
      </c>
      <c r="K83" s="46">
        <f t="shared" si="3"/>
        <v>25</v>
      </c>
      <c r="L83" s="46">
        <f t="shared" si="3"/>
        <v>1.3804646100440141</v>
      </c>
      <c r="M83" s="46">
        <f t="shared" si="3"/>
        <v>3.4148335090562455E-2</v>
      </c>
      <c r="N83" s="46">
        <f t="shared" si="3"/>
        <v>0</v>
      </c>
      <c r="O83" s="90"/>
      <c r="P83" s="115"/>
      <c r="Q83" s="80"/>
      <c r="R83" s="82"/>
      <c r="S83" s="80"/>
      <c r="T83" s="80"/>
      <c r="U83" s="82"/>
      <c r="V83" s="82"/>
      <c r="W83" s="82"/>
      <c r="Z83" s="86"/>
    </row>
    <row r="84" spans="2:28" s="113" customFormat="1">
      <c r="G84" s="839" t="s">
        <v>795</v>
      </c>
      <c r="H84" s="46">
        <f t="shared" ref="H84:N84" si="4">H76</f>
        <v>2030</v>
      </c>
      <c r="I84" s="46"/>
      <c r="J84" s="46">
        <f t="shared" si="4"/>
        <v>0.97</v>
      </c>
      <c r="K84" s="46">
        <f t="shared" si="4"/>
        <v>25</v>
      </c>
      <c r="L84" s="46">
        <f t="shared" si="4"/>
        <v>1.3129738753623432</v>
      </c>
      <c r="M84" s="46">
        <f t="shared" si="4"/>
        <v>3.2478827443173756E-2</v>
      </c>
      <c r="N84" s="46">
        <f t="shared" si="4"/>
        <v>0</v>
      </c>
      <c r="O84" s="114"/>
      <c r="P84" s="90"/>
      <c r="Q84" s="115"/>
      <c r="R84" s="80"/>
      <c r="S84" s="82"/>
      <c r="T84" s="80"/>
      <c r="U84" s="80"/>
      <c r="V84" s="82"/>
      <c r="W84" s="82"/>
      <c r="X84" s="82"/>
      <c r="AA84" s="86"/>
    </row>
    <row r="85" spans="2:28" s="113" customFormat="1">
      <c r="G85" s="839" t="s">
        <v>795</v>
      </c>
      <c r="H85" s="46">
        <f t="shared" ref="H85:N85" si="5">H77</f>
        <v>2050</v>
      </c>
      <c r="I85" s="46"/>
      <c r="J85" s="46">
        <f t="shared" si="5"/>
        <v>0.97</v>
      </c>
      <c r="K85" s="46">
        <f t="shared" si="5"/>
        <v>25</v>
      </c>
      <c r="L85" s="46">
        <f t="shared" si="5"/>
        <v>1.1877299279795555</v>
      </c>
      <c r="M85" s="46">
        <f t="shared" si="5"/>
        <v>2.9380687692125845E-2</v>
      </c>
      <c r="N85" s="46">
        <f t="shared" si="5"/>
        <v>0</v>
      </c>
      <c r="O85" s="114"/>
      <c r="P85" s="90"/>
      <c r="Q85" s="115"/>
      <c r="R85" s="80"/>
      <c r="S85" s="82"/>
      <c r="T85" s="80"/>
      <c r="U85" s="80"/>
      <c r="V85" s="82"/>
      <c r="W85" s="82"/>
      <c r="X85" s="82"/>
      <c r="AA85" s="86"/>
    </row>
    <row r="86" spans="2:28" s="113" customFormat="1">
      <c r="C86" s="810" t="str">
        <f>Processes!D78</f>
        <v>CHTDBHCEBN2</v>
      </c>
      <c r="D86" s="810" t="str">
        <f>Processes!E78</f>
        <v>Commercial heat tech detached build - heat exchanger+connect pipe+meter - centralised - new 2</v>
      </c>
      <c r="E86" s="128" t="s">
        <v>968</v>
      </c>
      <c r="F86" s="1213" t="str">
        <f>Commodities_VT!$C$34&amp;","&amp;Commodities_VT!$C$15</f>
        <v>COMHUDX,CWFDEM</v>
      </c>
      <c r="G86" s="839" t="s">
        <v>795</v>
      </c>
      <c r="H86" s="46">
        <f>'DH substation'!B8</f>
        <v>2015</v>
      </c>
      <c r="I86" s="46">
        <v>2022</v>
      </c>
      <c r="J86" s="831">
        <f>'DH substation'!D8-$J$96</f>
        <v>0.97</v>
      </c>
      <c r="K86" s="46">
        <f>'DH substation'!E8</f>
        <v>25</v>
      </c>
      <c r="L86" s="83">
        <f>'DH substation'!L8</f>
        <v>3.6505000000000001</v>
      </c>
      <c r="M86" s="46">
        <f>'DH substation'!G8</f>
        <v>3.5015000000000004E-2</v>
      </c>
      <c r="N86" s="46">
        <f>'DH substation'!H8</f>
        <v>0</v>
      </c>
      <c r="O86" s="88">
        <f>O74</f>
        <v>3.1536000000000002E-2</v>
      </c>
      <c r="P86" s="46">
        <f>'DH substation'!J8</f>
        <v>0.2</v>
      </c>
      <c r="Q86" s="46"/>
      <c r="R86" s="46"/>
      <c r="S86" s="46"/>
      <c r="T86" s="46"/>
      <c r="U86" s="46"/>
      <c r="V86" s="46"/>
      <c r="W86" s="46"/>
      <c r="X86" s="821" t="s">
        <v>763</v>
      </c>
      <c r="AA86" s="86"/>
    </row>
    <row r="87" spans="2:28" s="113" customFormat="1">
      <c r="G87" s="839" t="s">
        <v>795</v>
      </c>
      <c r="H87" s="46">
        <f>'DH substation'!B9</f>
        <v>2020</v>
      </c>
      <c r="I87" s="46"/>
      <c r="J87" s="831">
        <f>'DH substation'!D9-$J$96</f>
        <v>0.97</v>
      </c>
      <c r="K87" s="46">
        <f>'DH substation'!E9</f>
        <v>25</v>
      </c>
      <c r="L87" s="83">
        <f>'DH substation'!L9</f>
        <v>3.5601455732714049</v>
      </c>
      <c r="M87" s="46">
        <f>'DH substation'!G9</f>
        <v>3.4148335090562455E-2</v>
      </c>
      <c r="N87" s="46">
        <f>'DH substation'!H9</f>
        <v>0</v>
      </c>
      <c r="O87" s="46"/>
      <c r="P87" s="46"/>
      <c r="Q87" s="46"/>
      <c r="R87" s="46"/>
      <c r="S87" s="46"/>
      <c r="T87" s="46"/>
      <c r="U87" s="46"/>
      <c r="V87" s="46"/>
      <c r="W87" s="46"/>
      <c r="X87" s="82"/>
      <c r="AA87" s="86"/>
    </row>
    <row r="88" spans="2:28" s="113" customFormat="1">
      <c r="G88" s="839" t="s">
        <v>795</v>
      </c>
      <c r="H88" s="46">
        <f>'DH substation'!B10</f>
        <v>2030</v>
      </c>
      <c r="I88" s="46"/>
      <c r="J88" s="831">
        <f>'DH substation'!D10-$J$96</f>
        <v>0.97</v>
      </c>
      <c r="K88" s="46">
        <f>'DH substation'!E10</f>
        <v>25</v>
      </c>
      <c r="L88" s="83">
        <f>'DH substation'!L10</f>
        <v>3.3860905206713063</v>
      </c>
      <c r="M88" s="46">
        <f>'DH substation'!G10</f>
        <v>3.2478827443173756E-2</v>
      </c>
      <c r="N88" s="46">
        <f>'DH substation'!H10</f>
        <v>0</v>
      </c>
      <c r="O88" s="46"/>
      <c r="P88" s="46"/>
      <c r="Q88" s="46"/>
      <c r="R88" s="46"/>
      <c r="S88" s="46"/>
      <c r="T88" s="46"/>
      <c r="U88" s="46"/>
      <c r="V88" s="46"/>
      <c r="W88" s="46"/>
      <c r="X88" s="82"/>
      <c r="AA88" s="86"/>
    </row>
    <row r="89" spans="2:28" s="113" customFormat="1">
      <c r="G89" s="839" t="s">
        <v>795</v>
      </c>
      <c r="H89" s="46">
        <f>'DH substation'!B11</f>
        <v>2050</v>
      </c>
      <c r="I89" s="46"/>
      <c r="J89" s="831">
        <f>'DH substation'!D11-$J$96</f>
        <v>0.97</v>
      </c>
      <c r="K89" s="46">
        <f>'DH substation'!E11</f>
        <v>25</v>
      </c>
      <c r="L89" s="83">
        <f>'DH substation'!L11</f>
        <v>3.0630929721578011</v>
      </c>
      <c r="M89" s="46">
        <f>'DH substation'!G11</f>
        <v>2.9380687692125845E-2</v>
      </c>
      <c r="N89" s="46">
        <f>'DH substation'!H11</f>
        <v>0</v>
      </c>
      <c r="O89" s="46"/>
      <c r="P89" s="46"/>
      <c r="Q89" s="46"/>
      <c r="R89" s="46"/>
      <c r="S89" s="46"/>
      <c r="T89" s="46"/>
      <c r="U89" s="46"/>
      <c r="V89" s="46"/>
      <c r="W89" s="46"/>
      <c r="X89" s="82"/>
      <c r="AA89" s="86"/>
    </row>
    <row r="90" spans="2:28" s="113" customFormat="1">
      <c r="C90" s="810" t="str">
        <f>Processes!D79</f>
        <v>CHTDBHDEBN2</v>
      </c>
      <c r="D90" s="810" t="str">
        <f>Processes!E79</f>
        <v>Commercial heat tech detached build - heat exchanger+connect pipe+meter - decentralised - new 2</v>
      </c>
      <c r="E90" s="128" t="s">
        <v>969</v>
      </c>
      <c r="F90" s="1213" t="str">
        <f>Commodities_VT!$C$35&amp;","&amp;Commodities_VT!$C$15</f>
        <v>COMHRDX,CWFDEM</v>
      </c>
      <c r="G90" s="839" t="s">
        <v>795</v>
      </c>
      <c r="H90" s="46">
        <f>H86</f>
        <v>2015</v>
      </c>
      <c r="I90" s="46">
        <v>2022</v>
      </c>
      <c r="J90" s="46">
        <f t="shared" ref="J90:P90" si="6">J86</f>
        <v>0.97</v>
      </c>
      <c r="K90" s="46">
        <f t="shared" si="6"/>
        <v>25</v>
      </c>
      <c r="L90" s="46">
        <f t="shared" si="6"/>
        <v>3.6505000000000001</v>
      </c>
      <c r="M90" s="46">
        <f t="shared" si="6"/>
        <v>3.5015000000000004E-2</v>
      </c>
      <c r="N90" s="46">
        <f t="shared" si="6"/>
        <v>0</v>
      </c>
      <c r="O90" s="88">
        <f>O82</f>
        <v>3.1536000000000002E-2</v>
      </c>
      <c r="P90" s="46">
        <f t="shared" si="6"/>
        <v>0.2</v>
      </c>
      <c r="Q90" s="46"/>
      <c r="R90" s="46"/>
      <c r="S90" s="46"/>
      <c r="T90" s="46"/>
      <c r="U90" s="46"/>
      <c r="V90" s="46"/>
      <c r="W90" s="46"/>
      <c r="X90" s="82"/>
      <c r="AA90" s="86"/>
    </row>
    <row r="91" spans="2:28" s="113" customFormat="1">
      <c r="C91" s="172"/>
      <c r="G91" s="839" t="s">
        <v>795</v>
      </c>
      <c r="H91" s="46">
        <f t="shared" ref="H91:N91" si="7">H87</f>
        <v>2020</v>
      </c>
      <c r="I91" s="46"/>
      <c r="J91" s="46">
        <f t="shared" si="7"/>
        <v>0.97</v>
      </c>
      <c r="K91" s="46">
        <f t="shared" si="7"/>
        <v>25</v>
      </c>
      <c r="L91" s="46">
        <f t="shared" si="7"/>
        <v>3.5601455732714049</v>
      </c>
      <c r="M91" s="46">
        <f t="shared" si="7"/>
        <v>3.4148335090562455E-2</v>
      </c>
      <c r="N91" s="46">
        <f t="shared" si="7"/>
        <v>0</v>
      </c>
      <c r="O91" s="46"/>
      <c r="P91" s="46"/>
      <c r="Q91" s="46"/>
      <c r="R91" s="46"/>
      <c r="S91" s="46"/>
      <c r="T91" s="46"/>
      <c r="U91" s="46"/>
      <c r="V91" s="46"/>
      <c r="W91" s="46"/>
      <c r="X91" s="82"/>
      <c r="AA91" s="86"/>
    </row>
    <row r="92" spans="2:28" s="113" customFormat="1">
      <c r="G92" s="839" t="s">
        <v>795</v>
      </c>
      <c r="H92" s="46">
        <f t="shared" ref="H92:N92" si="8">H88</f>
        <v>2030</v>
      </c>
      <c r="I92" s="46"/>
      <c r="J92" s="46">
        <f t="shared" si="8"/>
        <v>0.97</v>
      </c>
      <c r="K92" s="46">
        <f t="shared" si="8"/>
        <v>25</v>
      </c>
      <c r="L92" s="46">
        <f t="shared" si="8"/>
        <v>3.3860905206713063</v>
      </c>
      <c r="M92" s="46">
        <f t="shared" si="8"/>
        <v>3.2478827443173756E-2</v>
      </c>
      <c r="N92" s="46">
        <f t="shared" si="8"/>
        <v>0</v>
      </c>
      <c r="O92" s="46"/>
      <c r="P92" s="46"/>
      <c r="Q92" s="46"/>
      <c r="R92" s="46"/>
      <c r="S92" s="46"/>
      <c r="T92" s="46"/>
      <c r="U92" s="46"/>
      <c r="V92" s="46"/>
      <c r="W92" s="46"/>
      <c r="X92" s="82"/>
      <c r="AA92" s="86"/>
    </row>
    <row r="93" spans="2:28" s="113" customFormat="1">
      <c r="G93" s="839" t="s">
        <v>795</v>
      </c>
      <c r="H93" s="46">
        <f t="shared" ref="H93:N93" si="9">H89</f>
        <v>2050</v>
      </c>
      <c r="I93" s="46"/>
      <c r="J93" s="46">
        <f t="shared" si="9"/>
        <v>0.97</v>
      </c>
      <c r="K93" s="46">
        <f t="shared" si="9"/>
        <v>25</v>
      </c>
      <c r="L93" s="46">
        <f t="shared" si="9"/>
        <v>3.0630929721578011</v>
      </c>
      <c r="M93" s="46">
        <f t="shared" si="9"/>
        <v>2.9380687692125845E-2</v>
      </c>
      <c r="N93" s="46">
        <f t="shared" si="9"/>
        <v>0</v>
      </c>
      <c r="O93" s="46"/>
      <c r="P93" s="46"/>
      <c r="Q93" s="46"/>
      <c r="R93" s="46"/>
      <c r="S93" s="46"/>
      <c r="T93" s="46"/>
      <c r="U93" s="46"/>
      <c r="V93" s="46"/>
      <c r="W93" s="46"/>
      <c r="X93" s="82"/>
      <c r="AA93" s="86"/>
    </row>
    <row r="94" spans="2:28">
      <c r="C94" s="67"/>
      <c r="D94" s="42"/>
      <c r="E94" s="42"/>
      <c r="F94" s="42"/>
      <c r="G94" s="42"/>
      <c r="H94" s="42"/>
      <c r="I94" s="86"/>
      <c r="J94" s="86"/>
      <c r="K94" s="86"/>
      <c r="L94" s="86"/>
      <c r="M94" s="87"/>
      <c r="N94" s="87"/>
      <c r="O94" s="80"/>
      <c r="P94" s="90"/>
      <c r="Q94" s="80"/>
      <c r="R94" s="80"/>
      <c r="S94" s="82"/>
      <c r="T94" s="80"/>
      <c r="U94" s="80"/>
      <c r="V94" s="82"/>
      <c r="W94" s="82"/>
      <c r="X94" s="82"/>
      <c r="AA94" s="79"/>
    </row>
    <row r="95" spans="2:28">
      <c r="E95" s="113"/>
      <c r="I95" s="79"/>
      <c r="J95" s="79"/>
      <c r="K95" s="79"/>
      <c r="L95" s="79"/>
      <c r="M95" s="26"/>
      <c r="N95" s="26"/>
      <c r="O95" s="80"/>
      <c r="P95" s="81"/>
      <c r="Q95" s="80"/>
      <c r="R95" s="80"/>
      <c r="S95" s="82"/>
      <c r="T95" s="80"/>
      <c r="U95" s="80"/>
      <c r="V95" s="82"/>
      <c r="W95" s="82"/>
      <c r="X95" s="82"/>
      <c r="AA95" s="79"/>
    </row>
    <row r="96" spans="2:28" ht="30" customHeight="1">
      <c r="B96" s="834" t="s">
        <v>786</v>
      </c>
      <c r="E96" s="113"/>
      <c r="J96" s="832">
        <v>0.03</v>
      </c>
    </row>
    <row r="100" spans="1:10">
      <c r="J100" s="98"/>
    </row>
    <row r="103" spans="1:10">
      <c r="J103" s="96"/>
    </row>
    <row r="104" spans="1:10" s="764" customFormat="1">
      <c r="A104" s="53"/>
      <c r="B104" s="53"/>
      <c r="C104" s="53"/>
      <c r="D104" s="53"/>
      <c r="E104" s="53"/>
      <c r="F104" s="53"/>
      <c r="G104" s="821"/>
      <c r="H104" s="53"/>
      <c r="I104" s="53"/>
      <c r="J104" s="98"/>
    </row>
    <row r="105" spans="1:10">
      <c r="J105" s="98"/>
    </row>
    <row r="106" spans="1:10">
      <c r="J106" s="98"/>
    </row>
    <row r="107" spans="1:10">
      <c r="J107" s="98"/>
    </row>
    <row r="109" spans="1:10" s="821" customFormat="1">
      <c r="A109" s="53"/>
      <c r="B109" s="53"/>
      <c r="C109" s="53"/>
      <c r="D109" s="53"/>
      <c r="E109" s="53"/>
      <c r="F109" s="53"/>
      <c r="H109" s="53"/>
      <c r="I109" s="53"/>
      <c r="J109" s="53"/>
    </row>
    <row r="110" spans="1:10" s="821" customFormat="1">
      <c r="A110" s="53"/>
      <c r="B110" s="53"/>
      <c r="C110" s="53"/>
      <c r="D110" s="53"/>
      <c r="E110" s="53"/>
      <c r="F110" s="53"/>
      <c r="H110" s="53"/>
      <c r="I110" s="53"/>
      <c r="J110" s="53"/>
    </row>
    <row r="111" spans="1:10" s="821" customFormat="1">
      <c r="A111" s="53"/>
      <c r="B111" s="53"/>
      <c r="C111" s="53"/>
      <c r="D111" s="53"/>
      <c r="E111" s="53"/>
      <c r="F111" s="53"/>
      <c r="H111" s="53"/>
      <c r="I111" s="53"/>
      <c r="J111" s="53"/>
    </row>
    <row r="116" spans="12:13" ht="15" customHeight="1"/>
    <row r="118" spans="12:13">
      <c r="L118" s="68"/>
      <c r="M118" s="68"/>
    </row>
    <row r="119" spans="12:13">
      <c r="L119" s="68"/>
      <c r="M119" s="68"/>
    </row>
    <row r="120" spans="12:13">
      <c r="L120" s="68"/>
      <c r="M120" s="68"/>
    </row>
    <row r="121" spans="12:13">
      <c r="L121" s="68"/>
      <c r="M121" s="68"/>
    </row>
    <row r="156" ht="14.25" customHeight="1"/>
  </sheetData>
  <pageMargins left="0.7" right="0.7" top="0.75" bottom="0.75" header="0.3" footer="0.3"/>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92D050"/>
  </sheetPr>
  <dimension ref="A2:AD132"/>
  <sheetViews>
    <sheetView topLeftCell="E58" zoomScale="115" zoomScaleNormal="115" workbookViewId="0">
      <selection activeCell="I58" sqref="I58"/>
    </sheetView>
  </sheetViews>
  <sheetFormatPr baseColWidth="10" defaultColWidth="9.1640625" defaultRowHeight="15"/>
  <cols>
    <col min="1" max="2" width="9.1640625" style="53"/>
    <col min="3" max="3" width="17" style="53" bestFit="1" customWidth="1"/>
    <col min="4" max="4" width="87.5" style="53" customWidth="1"/>
    <col min="5" max="5" width="15.6640625" style="53" customWidth="1"/>
    <col min="6" max="6" width="19.5" style="53" bestFit="1" customWidth="1"/>
    <col min="7" max="7" width="9.1640625" style="821" customWidth="1"/>
    <col min="8" max="8" width="10.5" style="53" bestFit="1" customWidth="1"/>
    <col min="9" max="10" width="9.1640625" style="53"/>
    <col min="11" max="11" width="17.5" style="53" customWidth="1"/>
    <col min="12" max="12" width="10" style="53" customWidth="1"/>
    <col min="13" max="13" width="13.83203125" style="53" customWidth="1"/>
    <col min="14" max="14" width="10.5" style="53" bestFit="1" customWidth="1"/>
    <col min="15" max="16" width="9.1640625" style="53"/>
    <col min="17" max="17" width="9.5" style="53" bestFit="1" customWidth="1"/>
    <col min="18" max="22" width="9.1640625" style="53"/>
    <col min="23" max="23" width="9.1640625" style="696"/>
    <col min="24" max="16384" width="9.1640625" style="53"/>
  </cols>
  <sheetData>
    <row r="2" spans="3:27">
      <c r="H2" s="69" t="s">
        <v>336</v>
      </c>
    </row>
    <row r="3" spans="3:27" ht="26.25" customHeight="1">
      <c r="C3" s="27" t="s">
        <v>292</v>
      </c>
      <c r="D3" s="27" t="s">
        <v>293</v>
      </c>
      <c r="E3" s="27" t="s">
        <v>294</v>
      </c>
      <c r="F3" s="64" t="s">
        <v>295</v>
      </c>
      <c r="G3" s="836" t="s">
        <v>792</v>
      </c>
      <c r="H3" s="27" t="s">
        <v>255</v>
      </c>
      <c r="I3" s="27" t="s">
        <v>256</v>
      </c>
      <c r="J3" s="28" t="s">
        <v>257</v>
      </c>
      <c r="K3" s="28" t="s">
        <v>259</v>
      </c>
      <c r="L3" s="29" t="s">
        <v>260</v>
      </c>
      <c r="M3" s="30" t="s">
        <v>261</v>
      </c>
      <c r="N3" s="30" t="s">
        <v>262</v>
      </c>
      <c r="O3" s="30" t="s">
        <v>263</v>
      </c>
      <c r="P3" s="30" t="s">
        <v>264</v>
      </c>
      <c r="Q3" s="30"/>
      <c r="R3" s="30" t="s">
        <v>265</v>
      </c>
      <c r="S3" s="30" t="s">
        <v>266</v>
      </c>
      <c r="T3" s="30" t="s">
        <v>267</v>
      </c>
      <c r="U3" s="30" t="s">
        <v>268</v>
      </c>
      <c r="V3" s="30" t="s">
        <v>269</v>
      </c>
      <c r="W3" s="726"/>
      <c r="X3" s="53" t="s">
        <v>290</v>
      </c>
      <c r="Z3" s="28" t="s">
        <v>258</v>
      </c>
      <c r="AA3" s="106" t="s">
        <v>367</v>
      </c>
    </row>
    <row r="4" spans="3:27" ht="33" thickBot="1">
      <c r="C4" s="65" t="s">
        <v>296</v>
      </c>
      <c r="D4" s="31"/>
      <c r="E4" s="31"/>
      <c r="F4" s="66"/>
      <c r="G4" s="837" t="s">
        <v>793</v>
      </c>
      <c r="H4" s="31"/>
      <c r="I4" s="31"/>
      <c r="J4" s="32"/>
      <c r="K4" s="32"/>
      <c r="L4" s="33"/>
      <c r="M4" s="31"/>
      <c r="N4" s="31"/>
      <c r="O4" s="31"/>
      <c r="P4" s="31"/>
      <c r="Q4" s="31"/>
      <c r="R4" s="31"/>
      <c r="S4" s="31"/>
      <c r="T4" s="31"/>
      <c r="U4" s="31"/>
      <c r="V4" s="31"/>
      <c r="W4" s="727"/>
      <c r="Z4" s="32"/>
      <c r="AA4" s="107"/>
    </row>
    <row r="5" spans="3:27" ht="16" thickBot="1">
      <c r="C5" s="53" t="s">
        <v>318</v>
      </c>
      <c r="G5" s="838" t="s">
        <v>794</v>
      </c>
      <c r="H5" s="38"/>
      <c r="I5" s="38"/>
      <c r="J5" s="38"/>
      <c r="K5" s="38"/>
      <c r="L5" s="38" t="s">
        <v>353</v>
      </c>
      <c r="M5" s="38" t="s">
        <v>354</v>
      </c>
      <c r="N5" s="38" t="s">
        <v>355</v>
      </c>
      <c r="O5" s="38" t="s">
        <v>271</v>
      </c>
      <c r="P5" s="38" t="s">
        <v>271</v>
      </c>
      <c r="Q5" s="38"/>
      <c r="R5" s="38" t="s">
        <v>272</v>
      </c>
      <c r="S5" s="38" t="s">
        <v>272</v>
      </c>
      <c r="T5" s="38" t="s">
        <v>272</v>
      </c>
      <c r="U5" s="38" t="s">
        <v>272</v>
      </c>
      <c r="V5" s="38" t="s">
        <v>272</v>
      </c>
      <c r="W5" s="728"/>
      <c r="Z5" s="38"/>
      <c r="AA5" s="105"/>
    </row>
    <row r="6" spans="3:27">
      <c r="C6" s="172" t="str">
        <f>Processes!D80</f>
        <v>CHTMBNGABN1</v>
      </c>
      <c r="D6" s="172" t="str">
        <f>Processes!E80</f>
        <v>Commercial heating technology multistorey building - natural gas boiler - new 1</v>
      </c>
      <c r="E6" s="821" t="s">
        <v>962</v>
      </c>
      <c r="F6" s="1213" t="str">
        <f>Commodities_VT!$C$40&amp;","&amp;Commodities_VT!$C$41&amp;","&amp;Commodities_VT!$C$15</f>
        <v>COMHUMB,COMHRMB,CWFDEM</v>
      </c>
      <c r="G6" s="839" t="s">
        <v>795</v>
      </c>
      <c r="H6" s="46">
        <v>2012</v>
      </c>
      <c r="I6" s="46">
        <v>2018</v>
      </c>
      <c r="J6" s="831">
        <f>'Natural gas boiler'!AB8-$J$89</f>
        <v>0.99</v>
      </c>
      <c r="K6" s="46">
        <f>'Natural gas boiler'!AC8</f>
        <v>22</v>
      </c>
      <c r="L6" s="478">
        <f>'Natural gas boiler'!AD8</f>
        <v>0.60531250000000003</v>
      </c>
      <c r="M6" s="83">
        <f>'Natural gas boiler'!AE8</f>
        <v>2.0941062932194495E-2</v>
      </c>
      <c r="N6" s="84">
        <f>'Natural gas boiler'!AF8</f>
        <v>0</v>
      </c>
      <c r="O6" s="47">
        <v>3.1536000000000002E-2</v>
      </c>
      <c r="P6" s="83">
        <f>'HOU_Deta Boil'!P6</f>
        <v>0.2</v>
      </c>
      <c r="Q6" s="46"/>
      <c r="R6" s="83">
        <f>'Natural gas boiler'!AI8</f>
        <v>0</v>
      </c>
      <c r="S6" s="83">
        <f>'Natural gas boiler'!AJ8</f>
        <v>20</v>
      </c>
      <c r="T6" s="83">
        <f>'Natural gas boiler'!AK8</f>
        <v>2</v>
      </c>
      <c r="U6" s="83">
        <f>'Natural gas boiler'!AL8</f>
        <v>0</v>
      </c>
      <c r="V6" s="83">
        <f>'Natural gas boiler'!AM8</f>
        <v>0</v>
      </c>
      <c r="W6" s="731"/>
      <c r="Z6" s="46"/>
      <c r="AA6" s="105"/>
    </row>
    <row r="7" spans="3:27">
      <c r="D7" s="821"/>
      <c r="E7" s="821"/>
      <c r="F7" s="70"/>
      <c r="G7" s="839" t="s">
        <v>795</v>
      </c>
      <c r="H7" s="46">
        <f>'Natural gas boiler'!Z9</f>
        <v>2020</v>
      </c>
      <c r="I7" s="46"/>
      <c r="J7" s="831">
        <f>'Natural gas boiler'!AB9-$J$89</f>
        <v>1</v>
      </c>
      <c r="K7" s="46">
        <f>'Natural gas boiler'!AC9</f>
        <v>22</v>
      </c>
      <c r="L7" s="478">
        <f>'Natural gas boiler'!AD9</f>
        <v>0.60531250000000003</v>
      </c>
      <c r="M7" s="83">
        <f>'Natural gas boiler'!AE9</f>
        <v>2.0265903545184247E-2</v>
      </c>
      <c r="N7" s="84">
        <f>'Natural gas boiler'!AF9</f>
        <v>0</v>
      </c>
      <c r="O7" s="46"/>
      <c r="P7" s="46"/>
      <c r="Q7" s="46"/>
      <c r="R7" s="83">
        <f>'Natural gas boiler'!AI9</f>
        <v>0</v>
      </c>
      <c r="S7" s="83">
        <f>'Natural gas boiler'!AJ9</f>
        <v>10</v>
      </c>
      <c r="T7" s="83">
        <f>'Natural gas boiler'!AK9</f>
        <v>1</v>
      </c>
      <c r="U7" s="83">
        <f>'Natural gas boiler'!AL9</f>
        <v>0</v>
      </c>
      <c r="V7" s="83">
        <f>'Natural gas boiler'!AM9</f>
        <v>0</v>
      </c>
      <c r="W7" s="731"/>
      <c r="Z7" s="46"/>
      <c r="AA7" s="105"/>
    </row>
    <row r="8" spans="3:27">
      <c r="D8" s="821"/>
      <c r="E8" s="821"/>
      <c r="F8" s="70"/>
      <c r="G8" s="839" t="s">
        <v>795</v>
      </c>
      <c r="H8" s="46">
        <f>'Natural gas boiler'!Z10</f>
        <v>2030</v>
      </c>
      <c r="I8" s="46"/>
      <c r="J8" s="831">
        <f>'Natural gas boiler'!AB10-$J$89</f>
        <v>1.01</v>
      </c>
      <c r="K8" s="46">
        <f>'Natural gas boiler'!AC10</f>
        <v>22</v>
      </c>
      <c r="L8" s="478">
        <f>'Natural gas boiler'!AD10</f>
        <v>0.55874999999999997</v>
      </c>
      <c r="M8" s="83">
        <f>'Natural gas boiler'!AE10</f>
        <v>1.9296778092332878E-2</v>
      </c>
      <c r="N8" s="84">
        <f>'Natural gas boiler'!AF10</f>
        <v>0</v>
      </c>
      <c r="O8" s="46"/>
      <c r="P8" s="46"/>
      <c r="Q8" s="46"/>
      <c r="R8" s="83">
        <f>'Natural gas boiler'!AI10</f>
        <v>0</v>
      </c>
      <c r="S8" s="83">
        <f>'Natural gas boiler'!AJ10</f>
        <v>5</v>
      </c>
      <c r="T8" s="83">
        <f>'Natural gas boiler'!AK10</f>
        <v>0.5</v>
      </c>
      <c r="U8" s="83">
        <f>'Natural gas boiler'!AL10</f>
        <v>0</v>
      </c>
      <c r="V8" s="83">
        <f>'Natural gas boiler'!AM10</f>
        <v>0</v>
      </c>
      <c r="W8" s="731"/>
      <c r="Z8" s="46"/>
      <c r="AA8" s="105"/>
    </row>
    <row r="9" spans="3:27">
      <c r="D9" s="821"/>
      <c r="E9" s="821"/>
      <c r="F9" s="70"/>
      <c r="G9" s="839" t="s">
        <v>795</v>
      </c>
      <c r="H9" s="46">
        <f>'Natural gas boiler'!Z11</f>
        <v>2050</v>
      </c>
      <c r="I9" s="46"/>
      <c r="J9" s="831">
        <f>'Natural gas boiler'!AB11-$J$89</f>
        <v>1.01</v>
      </c>
      <c r="K9" s="46">
        <f>'Natural gas boiler'!AC11</f>
        <v>22</v>
      </c>
      <c r="L9" s="478">
        <f>'Natural gas boiler'!AD11</f>
        <v>0.51218750000000002</v>
      </c>
      <c r="M9" s="83">
        <f>'Natural gas boiler'!AE11</f>
        <v>1.8184017586492435E-2</v>
      </c>
      <c r="N9" s="84">
        <f>'Natural gas boiler'!AF11</f>
        <v>0</v>
      </c>
      <c r="O9" s="46"/>
      <c r="P9" s="46"/>
      <c r="Q9" s="46"/>
      <c r="R9" s="83">
        <f>'Natural gas boiler'!AI11</f>
        <v>0</v>
      </c>
      <c r="S9" s="83">
        <f>'Natural gas boiler'!AJ11</f>
        <v>3</v>
      </c>
      <c r="T9" s="83">
        <f>'Natural gas boiler'!AK11</f>
        <v>0.25</v>
      </c>
      <c r="U9" s="83">
        <f>'Natural gas boiler'!AL11</f>
        <v>0</v>
      </c>
      <c r="V9" s="83">
        <f>'Natural gas boiler'!AM11</f>
        <v>0</v>
      </c>
      <c r="W9" s="731"/>
      <c r="Z9" s="46"/>
      <c r="AA9" s="105"/>
    </row>
    <row r="10" spans="3:27">
      <c r="C10" s="53" t="str">
        <f>Processes!D81</f>
        <v>CHTMBDSLBN1</v>
      </c>
      <c r="D10" s="821" t="str">
        <f>Processes!E81</f>
        <v>Commercial heating technology multistorey building - oil boiler - new 1</v>
      </c>
      <c r="E10" s="824" t="s">
        <v>963</v>
      </c>
      <c r="F10" s="1213" t="str">
        <f>Commodities_VT!$C$40&amp;","&amp;Commodities_VT!$C$41&amp;","&amp;Commodities_VT!$C$15</f>
        <v>COMHUMB,COMHRMB,CWFDEM</v>
      </c>
      <c r="G10" s="839" t="s">
        <v>795</v>
      </c>
      <c r="H10" s="46">
        <v>2012</v>
      </c>
      <c r="I10" s="46">
        <v>2018</v>
      </c>
      <c r="J10" s="833">
        <f>'Oil-fired boiler'!AN8-$J$89</f>
        <v>0.89</v>
      </c>
      <c r="K10" s="48">
        <f>'Oil-fired boiler'!AO8</f>
        <v>20</v>
      </c>
      <c r="L10" s="480">
        <f>'Oil-fired boiler'!AP8*0.7</f>
        <v>0.91262499999999991</v>
      </c>
      <c r="M10" s="83">
        <f>'Oil-fired boiler'!AQ8*0.7</f>
        <v>2.8172485131340366E-2</v>
      </c>
      <c r="N10" s="480">
        <f>'Oil-fired boiler'!AR8*0.7</f>
        <v>36.504999999999995</v>
      </c>
      <c r="O10" s="47">
        <v>3.1536000000000002E-2</v>
      </c>
      <c r="P10" s="83">
        <f>'HOU_Deta Boil'!P10</f>
        <v>0.13333333333333333</v>
      </c>
      <c r="Q10" s="46"/>
      <c r="R10" s="46">
        <f>'Oil-fired boiler'!AU8</f>
        <v>0.5</v>
      </c>
      <c r="S10" s="46">
        <f>'Oil-fired boiler'!AV8</f>
        <v>40</v>
      </c>
      <c r="T10" s="46">
        <f>'Oil-fired boiler'!AW8</f>
        <v>0</v>
      </c>
      <c r="U10" s="46">
        <f>'Oil-fired boiler'!AX8</f>
        <v>0</v>
      </c>
      <c r="V10" s="46">
        <f>'Oil-fired boiler'!AY8</f>
        <v>0.03</v>
      </c>
      <c r="W10" s="86"/>
      <c r="Z10" s="46"/>
      <c r="AA10" s="105"/>
    </row>
    <row r="11" spans="3:27">
      <c r="D11" s="821"/>
      <c r="E11" s="824"/>
      <c r="G11" s="839" t="s">
        <v>795</v>
      </c>
      <c r="H11" s="48">
        <f>'Oil-fired boiler'!AL9</f>
        <v>2020</v>
      </c>
      <c r="I11" s="48"/>
      <c r="J11" s="833">
        <f>'Oil-fired boiler'!AN9-$J$89</f>
        <v>0.89</v>
      </c>
      <c r="K11" s="48">
        <f>'Oil-fired boiler'!AO9</f>
        <v>20</v>
      </c>
      <c r="L11" s="480">
        <f>'Oil-fired boiler'!AP9*0.7</f>
        <v>0.89003639331785134</v>
      </c>
      <c r="M11" s="83">
        <f>'Oil-fired boiler'!AQ9*0.7</f>
        <v>2.750657118253981E-2</v>
      </c>
      <c r="N11" s="480">
        <f>'Oil-fired boiler'!AR9*0.7</f>
        <v>31.29</v>
      </c>
      <c r="O11" s="46"/>
      <c r="P11" s="46"/>
      <c r="Q11" s="46"/>
      <c r="R11" s="46">
        <f>'Oil-fired boiler'!AU9</f>
        <v>0.5</v>
      </c>
      <c r="S11" s="46">
        <f>'Oil-fired boiler'!AV9</f>
        <v>25</v>
      </c>
      <c r="T11" s="46">
        <f>'Oil-fired boiler'!AW9</f>
        <v>0</v>
      </c>
      <c r="U11" s="46">
        <f>'Oil-fired boiler'!AX9</f>
        <v>0</v>
      </c>
      <c r="V11" s="46">
        <f>'Oil-fired boiler'!AY9</f>
        <v>0.02</v>
      </c>
      <c r="W11" s="86"/>
      <c r="Z11" s="46"/>
      <c r="AA11" s="105"/>
    </row>
    <row r="12" spans="3:27">
      <c r="D12" s="821"/>
      <c r="E12" s="824"/>
      <c r="G12" s="839" t="s">
        <v>795</v>
      </c>
      <c r="H12" s="48">
        <f>'Oil-fired boiler'!AL10</f>
        <v>2030</v>
      </c>
      <c r="I12" s="48"/>
      <c r="J12" s="833">
        <f>'Oil-fired boiler'!AN10-$J$89</f>
        <v>1.01</v>
      </c>
      <c r="K12" s="48">
        <f>'Oil-fired boiler'!AO10</f>
        <v>20</v>
      </c>
      <c r="L12" s="480">
        <f>'Oil-fired boiler'!AP10*0.7</f>
        <v>0.8465226301678267</v>
      </c>
      <c r="M12" s="83">
        <f>'Oil-fired boiler'!AQ10*0.7</f>
        <v>2.5917459489983731E-2</v>
      </c>
      <c r="N12" s="480">
        <f>'Oil-fired boiler'!AR10*0.7</f>
        <v>26.074999999999999</v>
      </c>
      <c r="O12" s="46"/>
      <c r="P12" s="46"/>
      <c r="Q12" s="46"/>
      <c r="R12" s="46">
        <f>'Oil-fired boiler'!AU10</f>
        <v>0.5</v>
      </c>
      <c r="S12" s="46">
        <f>'Oil-fired boiler'!AV10</f>
        <v>20</v>
      </c>
      <c r="T12" s="46">
        <f>'Oil-fired boiler'!AW10</f>
        <v>0</v>
      </c>
      <c r="U12" s="46">
        <f>'Oil-fired boiler'!AX10</f>
        <v>0</v>
      </c>
      <c r="V12" s="46">
        <f>'Oil-fired boiler'!AY10</f>
        <v>0.01</v>
      </c>
      <c r="W12" s="86"/>
      <c r="Z12" s="46"/>
      <c r="AA12" s="105"/>
    </row>
    <row r="13" spans="3:27">
      <c r="D13" s="821"/>
      <c r="E13" s="824"/>
      <c r="G13" s="839" t="s">
        <v>795</v>
      </c>
      <c r="H13" s="48">
        <f>'Oil-fired boiler'!AL11</f>
        <v>2050</v>
      </c>
      <c r="I13" s="48"/>
      <c r="J13" s="833">
        <f>'Oil-fired boiler'!AN11-$J$89</f>
        <v>1.02</v>
      </c>
      <c r="K13" s="48">
        <f>'Oil-fired boiler'!AO11</f>
        <v>20</v>
      </c>
      <c r="L13" s="480">
        <f>'Oil-fired boiler'!AP11*0.7</f>
        <v>0.76577324303945027</v>
      </c>
      <c r="M13" s="83">
        <f>'Oil-fired boiler'!AQ11*0.7</f>
        <v>2.4465234606027449E-2</v>
      </c>
      <c r="N13" s="480">
        <f>'Oil-fired boiler'!AR11*0.7</f>
        <v>20.86</v>
      </c>
      <c r="O13" s="46"/>
      <c r="P13" s="46"/>
      <c r="Q13" s="46"/>
      <c r="R13" s="46">
        <f>'Oil-fired boiler'!AU11</f>
        <v>0.5</v>
      </c>
      <c r="S13" s="46">
        <f>'Oil-fired boiler'!AV11</f>
        <v>15</v>
      </c>
      <c r="T13" s="46">
        <f>'Oil-fired boiler'!AW11</f>
        <v>0</v>
      </c>
      <c r="U13" s="46">
        <f>'Oil-fired boiler'!AX11</f>
        <v>0</v>
      </c>
      <c r="V13" s="46">
        <f>'Oil-fired boiler'!AY11</f>
        <v>0.01</v>
      </c>
      <c r="W13" s="86"/>
      <c r="Z13" s="46"/>
      <c r="AA13" s="105"/>
    </row>
    <row r="14" spans="3:27">
      <c r="C14" s="53" t="str">
        <f>Processes!D82</f>
        <v>CHTMBCPWBN1</v>
      </c>
      <c r="D14" s="821" t="str">
        <f>Processes!E82</f>
        <v>Commercial heating technology multistorey building - biomass boiler automatic stoking - new 1</v>
      </c>
      <c r="E14" s="824" t="s">
        <v>964</v>
      </c>
      <c r="F14" s="1213" t="str">
        <f>Commodities_VT!$C$40&amp;","&amp;Commodities_VT!$C$41&amp;","&amp;Commodities_VT!$C$15</f>
        <v>COMHUMB,COMHRMB,CWFDEM</v>
      </c>
      <c r="G14" s="839" t="s">
        <v>795</v>
      </c>
      <c r="H14" s="46">
        <v>2012</v>
      </c>
      <c r="I14" s="46">
        <v>2018</v>
      </c>
      <c r="J14" s="835">
        <f>'MBcompar after new tech ka sept'!E12-$J$89</f>
        <v>0.82</v>
      </c>
      <c r="K14" s="48">
        <f>'Biomass boiler, automatic'!AO8</f>
        <v>20</v>
      </c>
      <c r="L14" s="48">
        <f>'Biomass boiler, automatic'!AP8*0.7</f>
        <v>1.7600625000000001</v>
      </c>
      <c r="M14" s="48">
        <f t="shared" ref="M14:N17" si="0">M10*1.1</f>
        <v>3.0989733644474406E-2</v>
      </c>
      <c r="N14" s="830">
        <f t="shared" si="0"/>
        <v>40.155499999999996</v>
      </c>
      <c r="O14" s="47">
        <v>3.1536000000000002E-2</v>
      </c>
      <c r="P14" s="83">
        <f>'HOU_Deta Boil'!P14</f>
        <v>0.16666666666666666</v>
      </c>
      <c r="Q14" s="46"/>
      <c r="R14" s="46">
        <f>'Biomass boiler, automatic'!AU8</f>
        <v>25</v>
      </c>
      <c r="S14" s="46">
        <f>'Biomass boiler, automatic'!AV8</f>
        <v>90</v>
      </c>
      <c r="T14" s="46">
        <f>'Biomass boiler, automatic'!AW8</f>
        <v>3</v>
      </c>
      <c r="U14" s="46">
        <f>'Biomass boiler, automatic'!AX8</f>
        <v>4</v>
      </c>
      <c r="V14" s="46">
        <f>'Biomass boiler, automatic'!AY8</f>
        <v>19</v>
      </c>
      <c r="W14" s="86"/>
      <c r="Z14" s="46"/>
      <c r="AA14" s="105"/>
    </row>
    <row r="15" spans="3:27">
      <c r="D15" s="821"/>
      <c r="E15" s="821"/>
      <c r="G15" s="839" t="s">
        <v>795</v>
      </c>
      <c r="H15" s="48">
        <f>'Biomass boiler, automatic'!AL9</f>
        <v>2020</v>
      </c>
      <c r="I15" s="48"/>
      <c r="J15" s="835">
        <f>'MBcompar after new tech ka sept'!E13-$J$89</f>
        <v>0.84</v>
      </c>
      <c r="K15" s="48">
        <f>'Biomass boiler, automatic'!AO9</f>
        <v>20</v>
      </c>
      <c r="L15" s="48">
        <f>'Biomass boiler, automatic'!AP9*0.7</f>
        <v>1.7164987585415703</v>
      </c>
      <c r="M15" s="48">
        <f t="shared" si="0"/>
        <v>3.0257228300793793E-2</v>
      </c>
      <c r="N15" s="830">
        <f t="shared" si="0"/>
        <v>34.419000000000004</v>
      </c>
      <c r="O15" s="46"/>
      <c r="P15" s="46"/>
      <c r="Q15" s="46"/>
      <c r="R15" s="46">
        <f>'Biomass boiler, automatic'!AU9</f>
        <v>25</v>
      </c>
      <c r="S15" s="46">
        <f>'Biomass boiler, automatic'!AV9</f>
        <v>70</v>
      </c>
      <c r="T15" s="46">
        <f>'Biomass boiler, automatic'!AW9</f>
        <v>2</v>
      </c>
      <c r="U15" s="46">
        <f>'Biomass boiler, automatic'!AX9</f>
        <v>4</v>
      </c>
      <c r="V15" s="46">
        <f>'Biomass boiler, automatic'!AY9</f>
        <v>15</v>
      </c>
      <c r="W15" s="86"/>
      <c r="Z15" s="46"/>
      <c r="AA15" s="105"/>
    </row>
    <row r="16" spans="3:27">
      <c r="D16" s="821"/>
      <c r="E16" s="821"/>
      <c r="G16" s="839" t="s">
        <v>795</v>
      </c>
      <c r="H16" s="48">
        <f>'Biomass boiler, automatic'!AL10</f>
        <v>2030</v>
      </c>
      <c r="I16" s="48"/>
      <c r="J16" s="835">
        <f>'MBcompar after new tech ka sept'!E14-$J$89</f>
        <v>0.88</v>
      </c>
      <c r="K16" s="48">
        <f>'Biomass boiler, automatic'!AO10</f>
        <v>20</v>
      </c>
      <c r="L16" s="48">
        <f>'Biomass boiler, automatic'!AP10*0.7</f>
        <v>1.6325793581808086</v>
      </c>
      <c r="M16" s="48">
        <f t="shared" si="0"/>
        <v>2.8509205438982107E-2</v>
      </c>
      <c r="N16" s="830">
        <f t="shared" si="0"/>
        <v>28.682500000000001</v>
      </c>
      <c r="O16" s="46"/>
      <c r="P16" s="46"/>
      <c r="Q16" s="46"/>
      <c r="R16" s="46">
        <f>'Biomass boiler, automatic'!AU10</f>
        <v>25</v>
      </c>
      <c r="S16" s="46">
        <f>'Biomass boiler, automatic'!AV10</f>
        <v>50</v>
      </c>
      <c r="T16" s="46">
        <f>'Biomass boiler, automatic'!AW10</f>
        <v>1</v>
      </c>
      <c r="U16" s="46">
        <f>'Biomass boiler, automatic'!AX10</f>
        <v>4</v>
      </c>
      <c r="V16" s="46">
        <f>'Biomass boiler, automatic'!AY10</f>
        <v>12</v>
      </c>
      <c r="W16" s="86"/>
      <c r="Z16" s="46"/>
      <c r="AA16" s="105"/>
    </row>
    <row r="17" spans="3:30">
      <c r="D17" s="821"/>
      <c r="E17" s="821"/>
      <c r="G17" s="839" t="s">
        <v>795</v>
      </c>
      <c r="H17" s="48">
        <f>'Biomass boiler, automatic'!AL11</f>
        <v>2050</v>
      </c>
      <c r="I17" s="48"/>
      <c r="J17" s="835">
        <f>'MBcompar after new tech ka sept'!E15-$J$89</f>
        <v>0.91999999999999993</v>
      </c>
      <c r="K17" s="48">
        <f>'Biomass boiler, automatic'!AO11</f>
        <v>20</v>
      </c>
      <c r="L17" s="48">
        <f>'Biomass boiler, automatic'!AP11*0.7</f>
        <v>1.4768483972903685</v>
      </c>
      <c r="M17" s="48">
        <f t="shared" si="0"/>
        <v>2.6911758066630195E-2</v>
      </c>
      <c r="N17" s="830">
        <f t="shared" si="0"/>
        <v>22.946000000000002</v>
      </c>
      <c r="O17" s="46"/>
      <c r="P17" s="46"/>
      <c r="Q17" s="46"/>
      <c r="R17" s="46">
        <f>'Biomass boiler, automatic'!AU11</f>
        <v>25</v>
      </c>
      <c r="S17" s="46">
        <f>'Biomass boiler, automatic'!AV11</f>
        <v>40</v>
      </c>
      <c r="T17" s="46">
        <f>'Biomass boiler, automatic'!AW11</f>
        <v>0</v>
      </c>
      <c r="U17" s="46">
        <f>'Biomass boiler, automatic'!AX11</f>
        <v>4</v>
      </c>
      <c r="V17" s="46">
        <f>'Biomass boiler, automatic'!AY11</f>
        <v>10</v>
      </c>
      <c r="W17" s="86"/>
      <c r="Z17" s="46"/>
      <c r="AA17" s="105"/>
    </row>
    <row r="18" spans="3:30">
      <c r="C18" s="53" t="str">
        <f>Processes!D83</f>
        <v>CHTMBELCXN1</v>
      </c>
      <c r="D18" s="821" t="str">
        <f>Processes!E83</f>
        <v>Commercial heating technology multistorey building - direct eletrical heating - new 1</v>
      </c>
      <c r="E18" s="821" t="s">
        <v>966</v>
      </c>
      <c r="F18" s="1213" t="str">
        <f>Commodities_VT!$C$40&amp;","&amp;Commodities_VT!$C$41&amp;","&amp;Commodities_VT!$C$15</f>
        <v>COMHUMB,COMHRMB,CWFDEM</v>
      </c>
      <c r="G18" s="839" t="s">
        <v>795</v>
      </c>
      <c r="H18" s="46">
        <v>2012</v>
      </c>
      <c r="I18" s="46">
        <v>2018</v>
      </c>
      <c r="J18" s="833">
        <f>'Electric heating'!AB8-$J$89</f>
        <v>0.97</v>
      </c>
      <c r="K18" s="48">
        <f>'Electric heating'!AC8</f>
        <v>30</v>
      </c>
      <c r="L18" s="507">
        <f>L6*0.9</f>
        <v>0.54478124999999999</v>
      </c>
      <c r="M18" s="506">
        <f>M66</f>
        <v>4.6394875E-3</v>
      </c>
      <c r="N18" s="84">
        <f>'Electric heating'!AF8</f>
        <v>0</v>
      </c>
      <c r="O18" s="47">
        <v>3.1536000000000002E-2</v>
      </c>
      <c r="P18" s="83">
        <f>'HOU_Deta Boil'!P18</f>
        <v>5.5999999999999994E-2</v>
      </c>
      <c r="Q18" s="46"/>
      <c r="R18" s="46">
        <f>'Electric heating'!AJ8</f>
        <v>0</v>
      </c>
      <c r="S18" s="46">
        <f>'Electric heating'!AK8</f>
        <v>0</v>
      </c>
      <c r="T18" s="46">
        <f>'Electric heating'!AL8</f>
        <v>0</v>
      </c>
      <c r="U18" s="46">
        <f>'Electric heating'!AM8</f>
        <v>0</v>
      </c>
      <c r="V18" s="46">
        <f>'Electric heating'!AN8</f>
        <v>0</v>
      </c>
      <c r="W18" s="86"/>
      <c r="Z18" s="46"/>
      <c r="AA18" s="105"/>
    </row>
    <row r="19" spans="3:30">
      <c r="D19" s="821"/>
      <c r="E19" s="821"/>
      <c r="G19" s="839" t="s">
        <v>795</v>
      </c>
      <c r="H19" s="48">
        <f>'Electric heating'!Z9</f>
        <v>2020</v>
      </c>
      <c r="I19" s="48"/>
      <c r="J19" s="833">
        <f>'Electric heating'!AB9-$J$89</f>
        <v>0.97</v>
      </c>
      <c r="K19" s="48">
        <f>'Electric heating'!AC9</f>
        <v>30</v>
      </c>
      <c r="L19" s="507">
        <f>L7*0.9</f>
        <v>0.54478124999999999</v>
      </c>
      <c r="M19" s="506">
        <f>M67</f>
        <v>4.5300656250000012E-3</v>
      </c>
      <c r="N19" s="84">
        <f>'Electric heating'!AF9</f>
        <v>0</v>
      </c>
      <c r="O19" s="46"/>
      <c r="P19" s="46"/>
      <c r="Q19" s="46"/>
      <c r="R19" s="46">
        <f>'Electric heating'!AJ9</f>
        <v>0</v>
      </c>
      <c r="S19" s="46">
        <f>'Electric heating'!AK9</f>
        <v>0</v>
      </c>
      <c r="T19" s="46">
        <f>'Electric heating'!AL9</f>
        <v>0</v>
      </c>
      <c r="U19" s="46">
        <f>'Electric heating'!AM9</f>
        <v>0</v>
      </c>
      <c r="V19" s="46">
        <f>'Electric heating'!AN9</f>
        <v>0</v>
      </c>
      <c r="W19" s="86"/>
      <c r="Z19" s="46"/>
      <c r="AA19" s="105"/>
    </row>
    <row r="20" spans="3:30">
      <c r="D20" s="821"/>
      <c r="E20" s="821"/>
      <c r="G20" s="839" t="s">
        <v>795</v>
      </c>
      <c r="H20" s="48">
        <f>'Electric heating'!Z10</f>
        <v>2030</v>
      </c>
      <c r="I20" s="48"/>
      <c r="J20" s="833">
        <f>'Electric heating'!AB10-$J$89</f>
        <v>0.97</v>
      </c>
      <c r="K20" s="48">
        <f>'Electric heating'!AC10</f>
        <v>30</v>
      </c>
      <c r="L20" s="507">
        <f>L8*0.9</f>
        <v>0.50287499999999996</v>
      </c>
      <c r="M20" s="506">
        <f>M68</f>
        <v>4.311221875E-3</v>
      </c>
      <c r="N20" s="84">
        <f>'Electric heating'!AF10</f>
        <v>0</v>
      </c>
      <c r="O20" s="46"/>
      <c r="P20" s="46"/>
      <c r="Q20" s="46"/>
      <c r="R20" s="46">
        <f>'Electric heating'!AJ10</f>
        <v>0</v>
      </c>
      <c r="S20" s="46">
        <f>'Electric heating'!AK10</f>
        <v>0</v>
      </c>
      <c r="T20" s="46">
        <f>'Electric heating'!AL10</f>
        <v>0</v>
      </c>
      <c r="U20" s="46">
        <f>'Electric heating'!AM10</f>
        <v>0</v>
      </c>
      <c r="V20" s="46">
        <f>'Electric heating'!AN10</f>
        <v>0</v>
      </c>
      <c r="W20" s="86"/>
      <c r="Z20" s="46"/>
      <c r="AA20" s="105"/>
    </row>
    <row r="21" spans="3:30">
      <c r="D21" s="821"/>
      <c r="E21" s="821"/>
      <c r="G21" s="839" t="s">
        <v>795</v>
      </c>
      <c r="H21" s="48">
        <f>'Electric heating'!Z11</f>
        <v>2050</v>
      </c>
      <c r="I21" s="48"/>
      <c r="J21" s="833">
        <f>'Electric heating'!AB11-$J$89</f>
        <v>0.97</v>
      </c>
      <c r="K21" s="48">
        <f>'Electric heating'!AC11</f>
        <v>30</v>
      </c>
      <c r="L21" s="507">
        <f>L9*0.9</f>
        <v>0.46096875000000004</v>
      </c>
      <c r="M21" s="506">
        <f>M69</f>
        <v>4.0923781249999997E-3</v>
      </c>
      <c r="N21" s="84">
        <f>'Electric heating'!AF11</f>
        <v>0</v>
      </c>
      <c r="O21" s="46"/>
      <c r="P21" s="46"/>
      <c r="Q21" s="46"/>
      <c r="R21" s="46">
        <f>'Electric heating'!AJ11</f>
        <v>0</v>
      </c>
      <c r="S21" s="46">
        <f>'Electric heating'!AK11</f>
        <v>0</v>
      </c>
      <c r="T21" s="46">
        <f>'Electric heating'!AL11</f>
        <v>0</v>
      </c>
      <c r="U21" s="46">
        <f>'Electric heating'!AM11</f>
        <v>0</v>
      </c>
      <c r="V21" s="46">
        <f>'Electric heating'!AN11</f>
        <v>0</v>
      </c>
      <c r="W21" s="86"/>
      <c r="Z21" s="46"/>
      <c r="AA21" s="105"/>
    </row>
    <row r="22" spans="3:30">
      <c r="C22" s="53" t="str">
        <f>Processes!D84</f>
        <v>CHTMBELCXN2</v>
      </c>
      <c r="D22" s="821" t="str">
        <f>Processes!E84</f>
        <v>Commercial heating technology multistorey building - Heat pump, air-to-air - new 2</v>
      </c>
      <c r="E22" s="821" t="s">
        <v>966</v>
      </c>
      <c r="F22" s="1213" t="str">
        <f>Commodities_VT!$C$40&amp;","&amp;Commodities_VT!$C$41</f>
        <v>COMHUMB,COMHRMB</v>
      </c>
      <c r="G22" s="839" t="s">
        <v>795</v>
      </c>
      <c r="H22" s="48"/>
      <c r="I22" s="48"/>
      <c r="J22" s="105">
        <v>1</v>
      </c>
      <c r="K22" s="48"/>
      <c r="L22" s="48"/>
      <c r="M22" s="48"/>
      <c r="N22" s="48"/>
      <c r="O22" s="78"/>
      <c r="P22" s="46"/>
      <c r="Q22" s="73"/>
      <c r="R22" s="73"/>
      <c r="S22" s="73"/>
      <c r="T22" s="73"/>
      <c r="U22" s="73"/>
      <c r="V22" s="73"/>
      <c r="W22" s="93"/>
      <c r="Z22" s="63"/>
      <c r="AA22" s="110"/>
    </row>
    <row r="23" spans="3:30">
      <c r="C23" s="53" t="s">
        <v>318</v>
      </c>
      <c r="D23" s="821" t="s">
        <v>318</v>
      </c>
      <c r="E23" s="821"/>
      <c r="G23" s="839" t="s">
        <v>795</v>
      </c>
      <c r="H23" s="48"/>
      <c r="I23" s="48"/>
      <c r="J23" s="105">
        <v>1</v>
      </c>
      <c r="K23" s="48"/>
      <c r="L23" s="48"/>
      <c r="M23" s="48"/>
      <c r="N23" s="48"/>
      <c r="O23" s="73"/>
      <c r="P23" s="73"/>
      <c r="Q23" s="73"/>
      <c r="R23" s="73"/>
      <c r="S23" s="73"/>
      <c r="T23" s="73"/>
      <c r="U23" s="73"/>
      <c r="V23" s="73"/>
      <c r="W23" s="93"/>
      <c r="Z23" s="63"/>
      <c r="AA23" s="110"/>
    </row>
    <row r="24" spans="3:30">
      <c r="C24" s="53" t="s">
        <v>318</v>
      </c>
      <c r="D24" s="821" t="s">
        <v>318</v>
      </c>
      <c r="E24" s="821"/>
      <c r="G24" s="839" t="s">
        <v>795</v>
      </c>
      <c r="H24" s="48"/>
      <c r="I24" s="48"/>
      <c r="J24" s="105">
        <v>1</v>
      </c>
      <c r="K24" s="48"/>
      <c r="L24" s="48"/>
      <c r="M24" s="48"/>
      <c r="N24" s="48"/>
      <c r="O24" s="73"/>
      <c r="P24" s="73"/>
      <c r="Q24" s="73"/>
      <c r="R24" s="73"/>
      <c r="S24" s="73"/>
      <c r="T24" s="73"/>
      <c r="U24" s="73"/>
      <c r="V24" s="73"/>
      <c r="W24" s="93"/>
      <c r="Z24" s="63"/>
      <c r="AA24" s="110"/>
    </row>
    <row r="25" spans="3:30">
      <c r="C25" s="53" t="s">
        <v>318</v>
      </c>
      <c r="D25" s="821" t="s">
        <v>318</v>
      </c>
      <c r="E25" s="821"/>
      <c r="G25" s="839" t="s">
        <v>795</v>
      </c>
      <c r="H25" s="48"/>
      <c r="I25" s="48"/>
      <c r="J25" s="105">
        <v>1</v>
      </c>
      <c r="K25" s="48"/>
      <c r="L25" s="48"/>
      <c r="M25" s="48"/>
      <c r="N25" s="48"/>
      <c r="O25" s="73"/>
      <c r="P25" s="73"/>
      <c r="Q25" s="73"/>
      <c r="R25" s="73"/>
      <c r="S25" s="73"/>
      <c r="T25" s="73"/>
      <c r="U25" s="73"/>
      <c r="V25" s="73"/>
      <c r="W25" s="93"/>
      <c r="Z25" s="63"/>
      <c r="AA25" s="110"/>
      <c r="AD25" s="53">
        <v>1.1000000000000001</v>
      </c>
    </row>
    <row r="26" spans="3:30">
      <c r="C26" s="172" t="str">
        <f>Processes!D85</f>
        <v>CHTMBELCXN3E</v>
      </c>
      <c r="D26" s="172" t="str">
        <f>Processes!E85</f>
        <v>Commercial heating technology multistorey building - Heat pump, air-to-water - new 3 - existing buildings</v>
      </c>
      <c r="E26" s="821" t="s">
        <v>966</v>
      </c>
      <c r="F26" s="1213" t="str">
        <f>Commodities_VT!$C$40&amp;","&amp;Commodities_VT!$C$41&amp;","&amp;Commodities_VT!$C$15</f>
        <v>COMHUMB,COMHRMB,CWFDEM</v>
      </c>
      <c r="G26" s="839" t="s">
        <v>795</v>
      </c>
      <c r="H26" s="46">
        <v>2012</v>
      </c>
      <c r="I26" s="46">
        <v>2018</v>
      </c>
      <c r="J26" s="105">
        <v>1</v>
      </c>
      <c r="K26" s="819">
        <f>'Heat pump, air-to-water'!AC9</f>
        <v>15</v>
      </c>
      <c r="L26" s="480">
        <f>'Heat pump, air-to-water'!AD9</f>
        <v>2.7937500000000002</v>
      </c>
      <c r="M26" s="84">
        <f>'Heat pump, air-to-water'!AE9</f>
        <v>3.0544999999999996E-2</v>
      </c>
      <c r="N26" s="84">
        <f>'Heat pump, air-to-water'!AF9</f>
        <v>1.0347222222222223</v>
      </c>
      <c r="O26" s="47">
        <v>3.1536000000000002E-2</v>
      </c>
      <c r="P26" s="83">
        <f>'HOU_Deta Boil'!P30</f>
        <v>0.2</v>
      </c>
      <c r="Q26" s="46"/>
      <c r="R26" s="46">
        <f>'Heat pump, air-to-water'!AI9</f>
        <v>0</v>
      </c>
      <c r="S26" s="46">
        <f>'Heat pump, air-to-water'!AJ9</f>
        <v>0</v>
      </c>
      <c r="T26" s="46">
        <f>'Heat pump, air-to-water'!AK9</f>
        <v>0</v>
      </c>
      <c r="U26" s="46">
        <f>'Heat pump, air-to-water'!AL9</f>
        <v>0</v>
      </c>
      <c r="V26" s="46">
        <f>'Heat pump, air-to-water'!AM9</f>
        <v>0</v>
      </c>
      <c r="W26" s="86"/>
      <c r="Z26" s="46" t="e">
        <f>'Heat pump, air-to-water'!#REF!</f>
        <v>#REF!</v>
      </c>
      <c r="AA26" s="110">
        <f>'Heat pump, air-to-water'!AB9</f>
        <v>3.875</v>
      </c>
    </row>
    <row r="27" spans="3:30">
      <c r="D27" s="821"/>
      <c r="E27" s="821"/>
      <c r="G27" s="839" t="s">
        <v>795</v>
      </c>
      <c r="H27" s="48">
        <f>'Heat pump, air-to-water'!Z10</f>
        <v>2020</v>
      </c>
      <c r="I27" s="48"/>
      <c r="J27" s="105">
        <v>1</v>
      </c>
      <c r="K27" s="819">
        <f>'Heat pump, air-to-water'!AC10</f>
        <v>15</v>
      </c>
      <c r="L27" s="480">
        <f>'Heat pump, air-to-water'!AD10</f>
        <v>2.626125</v>
      </c>
      <c r="M27" s="84">
        <f>'Heat pump, air-to-water'!AE10</f>
        <v>3.0731250000000002E-2</v>
      </c>
      <c r="N27" s="84">
        <f>'Heat pump, air-to-water'!AF10</f>
        <v>0.97263888888888872</v>
      </c>
      <c r="O27" s="46"/>
      <c r="P27" s="46"/>
      <c r="Q27" s="46"/>
      <c r="R27" s="46">
        <f>'Heat pump, air-to-water'!AI10</f>
        <v>0</v>
      </c>
      <c r="S27" s="46">
        <f>'Heat pump, air-to-water'!AJ10</f>
        <v>0</v>
      </c>
      <c r="T27" s="46">
        <f>'Heat pump, air-to-water'!AK10</f>
        <v>0</v>
      </c>
      <c r="U27" s="46">
        <f>'Heat pump, air-to-water'!AL10</f>
        <v>0</v>
      </c>
      <c r="V27" s="46">
        <f>'Heat pump, air-to-water'!AM10</f>
        <v>0</v>
      </c>
      <c r="W27" s="86"/>
      <c r="Z27" s="46" t="e">
        <f>'Heat pump, air-to-water'!#REF!</f>
        <v>#REF!</v>
      </c>
      <c r="AA27" s="110">
        <f>'Heat pump, air-to-water'!AB10</f>
        <v>3.9750000000000001</v>
      </c>
    </row>
    <row r="28" spans="3:30">
      <c r="D28" s="821"/>
      <c r="E28" s="821"/>
      <c r="G28" s="839" t="s">
        <v>795</v>
      </c>
      <c r="H28" s="48">
        <f>'Heat pump, air-to-water'!Z11</f>
        <v>2030</v>
      </c>
      <c r="I28" s="48"/>
      <c r="J28" s="105">
        <v>1</v>
      </c>
      <c r="K28" s="819">
        <f>'Heat pump, air-to-water'!AC11</f>
        <v>15</v>
      </c>
      <c r="L28" s="480">
        <f>'Heat pump, air-to-water'!AD11</f>
        <v>2.3653750000000002</v>
      </c>
      <c r="M28" s="84">
        <f>'Heat pump, air-to-water'!AE11</f>
        <v>3.475425E-2</v>
      </c>
      <c r="N28" s="84">
        <f>'Heat pump, air-to-water'!AF11</f>
        <v>0.86916666666666664</v>
      </c>
      <c r="O28" s="46"/>
      <c r="P28" s="46"/>
      <c r="Q28" s="46"/>
      <c r="R28" s="46">
        <f>'Heat pump, air-to-water'!AI11</f>
        <v>0</v>
      </c>
      <c r="S28" s="46">
        <f>'Heat pump, air-to-water'!AJ11</f>
        <v>0</v>
      </c>
      <c r="T28" s="46">
        <f>'Heat pump, air-to-water'!AK11</f>
        <v>0</v>
      </c>
      <c r="U28" s="46">
        <f>'Heat pump, air-to-water'!AL11</f>
        <v>0</v>
      </c>
      <c r="V28" s="46">
        <f>'Heat pump, air-to-water'!AM11</f>
        <v>0</v>
      </c>
      <c r="W28" s="86"/>
      <c r="Z28" s="46" t="e">
        <f>'Heat pump, air-to-water'!#REF!</f>
        <v>#REF!</v>
      </c>
      <c r="AA28" s="110">
        <f>'Heat pump, air-to-water'!AB11</f>
        <v>4.0999999999999996</v>
      </c>
    </row>
    <row r="29" spans="3:30">
      <c r="D29" s="821"/>
      <c r="E29" s="821"/>
      <c r="G29" s="839" t="s">
        <v>795</v>
      </c>
      <c r="H29" s="48">
        <f>'Heat pump, air-to-water'!Z12</f>
        <v>2050</v>
      </c>
      <c r="I29" s="48"/>
      <c r="J29" s="105">
        <v>1</v>
      </c>
      <c r="K29" s="819">
        <f>'Heat pump, air-to-water'!AC12</f>
        <v>15</v>
      </c>
      <c r="L29" s="480">
        <f>'Heat pump, air-to-water'!AD12</f>
        <v>2.1232500000000001</v>
      </c>
      <c r="M29" s="84">
        <f>'Heat pump, air-to-water'!AE12</f>
        <v>4.4904874999999997E-2</v>
      </c>
      <c r="N29" s="84">
        <f>'Heat pump, air-to-water'!AF12</f>
        <v>0.78638888888888892</v>
      </c>
      <c r="O29" s="46"/>
      <c r="P29" s="46"/>
      <c r="Q29" s="46"/>
      <c r="R29" s="46">
        <f>'Heat pump, air-to-water'!AI12</f>
        <v>0</v>
      </c>
      <c r="S29" s="46">
        <f>'Heat pump, air-to-water'!AJ12</f>
        <v>0</v>
      </c>
      <c r="T29" s="46">
        <f>'Heat pump, air-to-water'!AK12</f>
        <v>0</v>
      </c>
      <c r="U29" s="46">
        <f>'Heat pump, air-to-water'!AL12</f>
        <v>0</v>
      </c>
      <c r="V29" s="46">
        <f>'Heat pump, air-to-water'!AM12</f>
        <v>0</v>
      </c>
      <c r="W29" s="86"/>
      <c r="Z29" s="46" t="e">
        <f>'Heat pump, air-to-water'!#REF!</f>
        <v>#REF!</v>
      </c>
      <c r="AA29" s="110">
        <f>'Heat pump, air-to-water'!AB12</f>
        <v>4.3250000000000002</v>
      </c>
    </row>
    <row r="30" spans="3:30">
      <c r="C30" s="53" t="str">
        <f>Processes!D86</f>
        <v>CHTMBELCXN4E</v>
      </c>
      <c r="D30" s="821" t="str">
        <f>Processes!E86</f>
        <v>Commercial heating technology multistorey building - Heat pump, brine-to-water - new 4 - existing buildings</v>
      </c>
      <c r="E30" s="821" t="s">
        <v>966</v>
      </c>
      <c r="F30" s="1213" t="str">
        <f>Commodities_VT!$C$40&amp;","&amp;Commodities_VT!$C$41&amp;","&amp;Commodities_VT!$C$15</f>
        <v>COMHUMB,COMHRMB,CWFDEM</v>
      </c>
      <c r="G30" s="839" t="s">
        <v>795</v>
      </c>
      <c r="H30" s="46">
        <v>2012</v>
      </c>
      <c r="I30" s="46">
        <v>2018</v>
      </c>
      <c r="J30" s="105">
        <v>1</v>
      </c>
      <c r="K30" s="819">
        <f>'Heat pump, ground source'!AC9</f>
        <v>15</v>
      </c>
      <c r="L30" s="84">
        <f>'Heat pump, ground source'!AD9</f>
        <v>4.9356249999999999</v>
      </c>
      <c r="M30" s="84">
        <f>'Heat pump, ground source'!AE9</f>
        <v>3.0544999999999996E-2</v>
      </c>
      <c r="N30" s="84">
        <f>'Heat pump, ground source'!AF9</f>
        <v>1.341E-2</v>
      </c>
      <c r="O30" s="47">
        <v>3.1536000000000002E-2</v>
      </c>
      <c r="P30" s="83">
        <f>'HOU_Deta Boil'!P34</f>
        <v>0.2</v>
      </c>
      <c r="Q30" s="46"/>
      <c r="R30" s="46">
        <f>'Heat pump, ground source'!AJ9</f>
        <v>0</v>
      </c>
      <c r="S30" s="46">
        <f>'Heat pump, ground source'!AK9</f>
        <v>0</v>
      </c>
      <c r="T30" s="46">
        <f>'Heat pump, ground source'!AL9</f>
        <v>0</v>
      </c>
      <c r="U30" s="46">
        <f>'Heat pump, ground source'!AM9</f>
        <v>0</v>
      </c>
      <c r="V30" s="46">
        <f>'Heat pump, ground source'!AN9</f>
        <v>0</v>
      </c>
      <c r="W30" s="86"/>
      <c r="Z30" s="46">
        <f>'Heat pump, ground source'!AC9</f>
        <v>15</v>
      </c>
      <c r="AA30" s="110">
        <f>'Heat pump, ground source'!AB9</f>
        <v>4</v>
      </c>
    </row>
    <row r="31" spans="3:30">
      <c r="D31" s="821"/>
      <c r="E31" s="821"/>
      <c r="G31" s="839" t="s">
        <v>795</v>
      </c>
      <c r="H31" s="48">
        <f>'Heat pump, ground source'!Z10</f>
        <v>2020</v>
      </c>
      <c r="I31" s="46"/>
      <c r="J31" s="105">
        <v>1</v>
      </c>
      <c r="K31" s="819">
        <f>'Heat pump, ground source'!AC10</f>
        <v>15</v>
      </c>
      <c r="L31" s="84">
        <f>'Heat pump, ground source'!AD10</f>
        <v>4.6376250000000008</v>
      </c>
      <c r="M31" s="84">
        <f>'Heat pump, ground source'!AE10</f>
        <v>3.0731250000000002E-2</v>
      </c>
      <c r="N31" s="84">
        <f>'Heat pump, ground source'!AF10</f>
        <v>1.2605399999999999E-2</v>
      </c>
      <c r="O31" s="46"/>
      <c r="P31" s="46"/>
      <c r="Q31" s="46"/>
      <c r="R31" s="46">
        <f>'Heat pump, ground source'!AJ10</f>
        <v>0</v>
      </c>
      <c r="S31" s="46">
        <f>'Heat pump, ground source'!AK10</f>
        <v>0</v>
      </c>
      <c r="T31" s="46">
        <f>'Heat pump, ground source'!AL10</f>
        <v>0</v>
      </c>
      <c r="U31" s="46">
        <f>'Heat pump, ground source'!AM10</f>
        <v>0</v>
      </c>
      <c r="V31" s="46">
        <f>'Heat pump, ground source'!AN10</f>
        <v>0</v>
      </c>
      <c r="W31" s="86"/>
      <c r="Z31" s="46">
        <f>'Heat pump, ground source'!AC10</f>
        <v>15</v>
      </c>
      <c r="AA31" s="110">
        <f>'Heat pump, ground source'!AB10</f>
        <v>4.0999999999999996</v>
      </c>
    </row>
    <row r="32" spans="3:30">
      <c r="D32" s="821"/>
      <c r="E32" s="821"/>
      <c r="G32" s="839" t="s">
        <v>795</v>
      </c>
      <c r="H32" s="48">
        <f>'Heat pump, ground source'!Z11</f>
        <v>2030</v>
      </c>
      <c r="I32" s="48"/>
      <c r="J32" s="105">
        <v>1</v>
      </c>
      <c r="K32" s="819">
        <f>'Heat pump, ground source'!AC11</f>
        <v>15</v>
      </c>
      <c r="L32" s="84">
        <f>'Heat pump, ground source'!AD11</f>
        <v>4.1720000000000006</v>
      </c>
      <c r="M32" s="84">
        <f>'Heat pump, ground source'!AE11</f>
        <v>3.475425E-2</v>
      </c>
      <c r="N32" s="84">
        <f>'Heat pump, ground source'!AF11</f>
        <v>1.1264400000000001E-2</v>
      </c>
      <c r="O32" s="46"/>
      <c r="P32" s="46"/>
      <c r="Q32" s="46"/>
      <c r="R32" s="46">
        <f>'Heat pump, ground source'!AJ11</f>
        <v>0</v>
      </c>
      <c r="S32" s="46">
        <f>'Heat pump, ground source'!AK11</f>
        <v>0</v>
      </c>
      <c r="T32" s="46">
        <f>'Heat pump, ground source'!AL11</f>
        <v>0</v>
      </c>
      <c r="U32" s="46">
        <f>'Heat pump, ground source'!AM11</f>
        <v>0</v>
      </c>
      <c r="V32" s="46">
        <f>'Heat pump, ground source'!AN11</f>
        <v>0</v>
      </c>
      <c r="W32" s="86"/>
      <c r="Z32" s="46">
        <f>'Heat pump, ground source'!AC11</f>
        <v>15</v>
      </c>
      <c r="AA32" s="110">
        <f>'Heat pump, ground source'!AB11</f>
        <v>4.2</v>
      </c>
    </row>
    <row r="33" spans="3:27">
      <c r="D33" s="821"/>
      <c r="E33" s="821"/>
      <c r="G33" s="839" t="s">
        <v>795</v>
      </c>
      <c r="H33" s="48">
        <f>'Heat pump, ground source'!Z12</f>
        <v>2050</v>
      </c>
      <c r="I33" s="48"/>
      <c r="J33" s="105">
        <v>1</v>
      </c>
      <c r="K33" s="819">
        <f>'Heat pump, ground source'!AC12</f>
        <v>15</v>
      </c>
      <c r="L33" s="84">
        <f>'Heat pump, ground source'!AD12</f>
        <v>3.7622500000000003</v>
      </c>
      <c r="M33" s="84">
        <f>'Heat pump, ground source'!AE12</f>
        <v>4.4904874999999997E-2</v>
      </c>
      <c r="N33" s="84">
        <f>'Heat pump, ground source'!AF12</f>
        <v>1.01916E-2</v>
      </c>
      <c r="O33" s="46"/>
      <c r="P33" s="46"/>
      <c r="Q33" s="46"/>
      <c r="R33" s="46">
        <f>'Heat pump, ground source'!AJ12</f>
        <v>0</v>
      </c>
      <c r="S33" s="46">
        <f>'Heat pump, ground source'!AK12</f>
        <v>0</v>
      </c>
      <c r="T33" s="46">
        <f>'Heat pump, ground source'!AL12</f>
        <v>0</v>
      </c>
      <c r="U33" s="46">
        <f>'Heat pump, ground source'!AM12</f>
        <v>0</v>
      </c>
      <c r="V33" s="46">
        <f>'Heat pump, ground source'!AN12</f>
        <v>0</v>
      </c>
      <c r="W33" s="86"/>
      <c r="Z33" s="46">
        <f>'Heat pump, ground source'!AC12</f>
        <v>15</v>
      </c>
      <c r="AA33" s="110">
        <f>'Heat pump, ground source'!AB12</f>
        <v>4.4000000000000004</v>
      </c>
    </row>
    <row r="34" spans="3:27" s="821" customFormat="1">
      <c r="C34" s="172" t="s">
        <v>979</v>
      </c>
      <c r="D34" s="172" t="str">
        <f>Processes!E87</f>
        <v>Commercial heating technology multistorey building - Heat pump, air-to-water - new 3 - new buildings</v>
      </c>
      <c r="E34" s="821" t="s">
        <v>966</v>
      </c>
      <c r="F34" s="1213" t="str">
        <f>Commodities_VT!$C$40&amp;","&amp;Commodities_VT!$C$41&amp;","&amp;Commodities_VT!$C$15</f>
        <v>COMHUMB,COMHRMB,CWFDEM</v>
      </c>
      <c r="G34" s="839" t="s">
        <v>795</v>
      </c>
      <c r="H34" s="46">
        <v>2012</v>
      </c>
      <c r="I34" s="46">
        <v>2018</v>
      </c>
      <c r="J34" s="105">
        <v>1</v>
      </c>
      <c r="K34" s="819">
        <f>'Heat pump, air-to-water'!AC14</f>
        <v>15</v>
      </c>
      <c r="L34" s="480">
        <f>'Heat pump, air-to-water'!AD14</f>
        <v>3.4921875</v>
      </c>
      <c r="M34" s="84">
        <f>'Heat pump, air-to-water'!AE14</f>
        <v>7.63625E-2</v>
      </c>
      <c r="N34" s="84">
        <f>'Heat pump, air-to-water'!AF14</f>
        <v>1.0347222222222223</v>
      </c>
      <c r="O34" s="47">
        <v>3.1536000000000002E-2</v>
      </c>
      <c r="P34" s="83">
        <f>'HOU_Deta Boil'!P42</f>
        <v>0.2</v>
      </c>
      <c r="Q34" s="46"/>
      <c r="R34" s="46">
        <f>'Heat pump, air-to-water'!AI14</f>
        <v>0</v>
      </c>
      <c r="S34" s="46">
        <f>'Heat pump, air-to-water'!AJ14</f>
        <v>0</v>
      </c>
      <c r="T34" s="46">
        <f>'Heat pump, air-to-water'!AK14</f>
        <v>0</v>
      </c>
      <c r="U34" s="46">
        <f>'Heat pump, air-to-water'!AL14</f>
        <v>0</v>
      </c>
      <c r="V34" s="46">
        <f>'Heat pump, air-to-water'!AM14</f>
        <v>0</v>
      </c>
      <c r="W34" s="86"/>
      <c r="Z34" s="46" t="e">
        <f>'Heat pump, air-to-water'!#REF!</f>
        <v>#REF!</v>
      </c>
      <c r="AA34" s="110">
        <f>'Heat pump, air-to-water'!AB17</f>
        <v>4.0750000000000002</v>
      </c>
    </row>
    <row r="35" spans="3:27" s="821" customFormat="1">
      <c r="C35" s="821" t="s">
        <v>318</v>
      </c>
      <c r="G35" s="839" t="s">
        <v>795</v>
      </c>
      <c r="H35" s="819">
        <f>'Heat pump, air-to-water'!Z15</f>
        <v>2020</v>
      </c>
      <c r="I35" s="48"/>
      <c r="J35" s="105">
        <v>1</v>
      </c>
      <c r="K35" s="819">
        <f>'Heat pump, air-to-water'!AC15</f>
        <v>15</v>
      </c>
      <c r="L35" s="480">
        <f>'Heat pump, air-to-water'!AD15</f>
        <v>3.3059374999999998</v>
      </c>
      <c r="M35" s="84">
        <f>'Heat pump, air-to-water'!AE15</f>
        <v>7.6828125000000011E-2</v>
      </c>
      <c r="N35" s="84">
        <f>'Heat pump, air-to-water'!AF15</f>
        <v>0.97263888888888872</v>
      </c>
      <c r="O35" s="46"/>
      <c r="P35" s="46"/>
      <c r="Q35" s="46"/>
      <c r="R35" s="46">
        <f>'Heat pump, air-to-water'!AI15</f>
        <v>0</v>
      </c>
      <c r="S35" s="46">
        <f>'Heat pump, air-to-water'!AJ15</f>
        <v>0</v>
      </c>
      <c r="T35" s="46">
        <f>'Heat pump, air-to-water'!AK15</f>
        <v>0</v>
      </c>
      <c r="U35" s="46">
        <f>'Heat pump, air-to-water'!AL15</f>
        <v>0</v>
      </c>
      <c r="V35" s="46">
        <f>'Heat pump, air-to-water'!AM15</f>
        <v>0</v>
      </c>
      <c r="W35" s="86"/>
      <c r="Z35" s="46" t="e">
        <f>'Heat pump, air-to-water'!#REF!</f>
        <v>#REF!</v>
      </c>
      <c r="AA35" s="110">
        <f>'Heat pump, air-to-water'!AB18</f>
        <v>0</v>
      </c>
    </row>
    <row r="36" spans="3:27" s="821" customFormat="1">
      <c r="C36" s="821" t="s">
        <v>318</v>
      </c>
      <c r="G36" s="839" t="s">
        <v>795</v>
      </c>
      <c r="H36" s="819">
        <f>'Heat pump, air-to-water'!Z16</f>
        <v>2030</v>
      </c>
      <c r="I36" s="48"/>
      <c r="J36" s="105">
        <v>1</v>
      </c>
      <c r="K36" s="819">
        <f>'Heat pump, air-to-water'!AC16</f>
        <v>15</v>
      </c>
      <c r="L36" s="480">
        <f>'Heat pump, air-to-water'!AD16</f>
        <v>2.9334375000000001</v>
      </c>
      <c r="M36" s="84">
        <f>'Heat pump, air-to-water'!AE16</f>
        <v>8.6885624999999994E-2</v>
      </c>
      <c r="N36" s="84">
        <f>'Heat pump, air-to-water'!AF16</f>
        <v>0.86916666666666664</v>
      </c>
      <c r="O36" s="46"/>
      <c r="P36" s="46"/>
      <c r="Q36" s="46"/>
      <c r="R36" s="46">
        <f>'Heat pump, air-to-water'!AI16</f>
        <v>0</v>
      </c>
      <c r="S36" s="46">
        <f>'Heat pump, air-to-water'!AJ16</f>
        <v>0</v>
      </c>
      <c r="T36" s="46">
        <f>'Heat pump, air-to-water'!AK16</f>
        <v>0</v>
      </c>
      <c r="U36" s="46">
        <f>'Heat pump, air-to-water'!AL16</f>
        <v>0</v>
      </c>
      <c r="V36" s="46">
        <f>'Heat pump, air-to-water'!AM16</f>
        <v>0</v>
      </c>
      <c r="W36" s="86"/>
      <c r="Z36" s="46" t="e">
        <f>'Heat pump, air-to-water'!#REF!</f>
        <v>#REF!</v>
      </c>
      <c r="AA36" s="110">
        <f>'Heat pump, air-to-water'!AB19</f>
        <v>0</v>
      </c>
    </row>
    <row r="37" spans="3:27" s="821" customFormat="1">
      <c r="C37" s="821" t="s">
        <v>318</v>
      </c>
      <c r="G37" s="839" t="s">
        <v>795</v>
      </c>
      <c r="H37" s="819">
        <f>'Heat pump, air-to-water'!Z17</f>
        <v>2050</v>
      </c>
      <c r="I37" s="48"/>
      <c r="J37" s="105">
        <v>1</v>
      </c>
      <c r="K37" s="819">
        <f>'Heat pump, air-to-water'!AC17</f>
        <v>15</v>
      </c>
      <c r="L37" s="480">
        <f>'Heat pump, air-to-water'!AD17</f>
        <v>2.6540625000000002</v>
      </c>
      <c r="M37" s="84">
        <f>'Heat pump, air-to-water'!AE17</f>
        <v>0.1122621875</v>
      </c>
      <c r="N37" s="84">
        <f>'Heat pump, air-to-water'!AF17</f>
        <v>0.78638888888888892</v>
      </c>
      <c r="O37" s="46"/>
      <c r="P37" s="46"/>
      <c r="Q37" s="46"/>
      <c r="R37" s="46">
        <f>'Heat pump, air-to-water'!AI17</f>
        <v>0</v>
      </c>
      <c r="S37" s="46">
        <f>'Heat pump, air-to-water'!AJ17</f>
        <v>0</v>
      </c>
      <c r="T37" s="46">
        <f>'Heat pump, air-to-water'!AK17</f>
        <v>0</v>
      </c>
      <c r="U37" s="46">
        <f>'Heat pump, air-to-water'!AL17</f>
        <v>0</v>
      </c>
      <c r="V37" s="46">
        <f>'Heat pump, air-to-water'!AM17</f>
        <v>0</v>
      </c>
      <c r="W37" s="86"/>
      <c r="Z37" s="46" t="e">
        <f>'Heat pump, air-to-water'!#REF!</f>
        <v>#REF!</v>
      </c>
      <c r="AA37" s="110">
        <f>'Heat pump, air-to-water'!AB20</f>
        <v>0</v>
      </c>
    </row>
    <row r="38" spans="3:27" s="821" customFormat="1">
      <c r="C38" s="172" t="s">
        <v>980</v>
      </c>
      <c r="D38" s="172" t="str">
        <f>Processes!E88</f>
        <v>Commercial heating technology multistorey building - Heat pump, brine-to-water - new 4 - new buildings</v>
      </c>
      <c r="E38" s="821" t="s">
        <v>966</v>
      </c>
      <c r="F38" s="1213" t="str">
        <f>Commodities_VT!$C$40&amp;","&amp;Commodities_VT!$C$41&amp;","&amp;Commodities_VT!$C$15</f>
        <v>COMHUMB,COMHRMB,CWFDEM</v>
      </c>
      <c r="G38" s="839" t="s">
        <v>795</v>
      </c>
      <c r="H38" s="46">
        <v>2012</v>
      </c>
      <c r="I38" s="46">
        <v>2018</v>
      </c>
      <c r="J38" s="105">
        <v>1</v>
      </c>
      <c r="K38" s="819">
        <f>'Heat pump, ground source'!AC14</f>
        <v>15</v>
      </c>
      <c r="L38" s="84">
        <f>'Heat pump, ground source'!AD14</f>
        <v>4.4234375000000004</v>
      </c>
      <c r="M38" s="84">
        <f>'Heat pump, ground source'!AE14</f>
        <v>7.63625E-2</v>
      </c>
      <c r="N38" s="84">
        <f>'Heat pump, ground source'!AF14</f>
        <v>1.341E-2</v>
      </c>
      <c r="O38" s="47">
        <v>3.1536000000000002E-2</v>
      </c>
      <c r="P38" s="83">
        <f>'HOU_Deta Boil'!P46</f>
        <v>0.2</v>
      </c>
      <c r="Q38" s="46"/>
      <c r="R38" s="46">
        <f>'Heat pump, ground source'!AJ14</f>
        <v>0</v>
      </c>
      <c r="S38" s="46">
        <f>'Heat pump, ground source'!AK14</f>
        <v>0</v>
      </c>
      <c r="T38" s="46">
        <f>'Heat pump, ground source'!AL14</f>
        <v>0</v>
      </c>
      <c r="U38" s="46">
        <f>'Heat pump, ground source'!AM14</f>
        <v>0</v>
      </c>
      <c r="V38" s="46">
        <f>'Heat pump, ground source'!AN14</f>
        <v>0</v>
      </c>
      <c r="W38" s="86"/>
      <c r="Z38" s="46">
        <f>'Heat pump, ground source'!AC17</f>
        <v>15</v>
      </c>
      <c r="AA38" s="110">
        <f>'Heat pump, ground source'!AB17</f>
        <v>5.3</v>
      </c>
    </row>
    <row r="39" spans="3:27" s="821" customFormat="1">
      <c r="C39" s="821" t="s">
        <v>318</v>
      </c>
      <c r="G39" s="839" t="s">
        <v>795</v>
      </c>
      <c r="H39" s="819">
        <f>'Heat pump, ground source'!Z15</f>
        <v>2020</v>
      </c>
      <c r="I39" s="46"/>
      <c r="J39" s="105">
        <v>1</v>
      </c>
      <c r="K39" s="819">
        <f>'Heat pump, ground source'!AC15</f>
        <v>15</v>
      </c>
      <c r="L39" s="84">
        <f>'Heat pump, ground source'!AD15</f>
        <v>4.1440625000000004</v>
      </c>
      <c r="M39" s="84">
        <f>'Heat pump, ground source'!AE15</f>
        <v>7.6828125000000011E-2</v>
      </c>
      <c r="N39" s="84">
        <f>'Heat pump, ground source'!AF15</f>
        <v>1.2605399999999999E-2</v>
      </c>
      <c r="O39" s="46"/>
      <c r="P39" s="46"/>
      <c r="Q39" s="46"/>
      <c r="R39" s="46">
        <f>'Heat pump, ground source'!AJ15</f>
        <v>0</v>
      </c>
      <c r="S39" s="46">
        <f>'Heat pump, ground source'!AK15</f>
        <v>0</v>
      </c>
      <c r="T39" s="46">
        <f>'Heat pump, ground source'!AL15</f>
        <v>0</v>
      </c>
      <c r="U39" s="46">
        <f>'Heat pump, ground source'!AM15</f>
        <v>0</v>
      </c>
      <c r="V39" s="46">
        <f>'Heat pump, ground source'!AN15</f>
        <v>0</v>
      </c>
      <c r="W39" s="86"/>
      <c r="Z39" s="46">
        <f>'Heat pump, ground source'!AC18</f>
        <v>0</v>
      </c>
      <c r="AA39" s="110">
        <f>'Heat pump, ground source'!AB18</f>
        <v>0</v>
      </c>
    </row>
    <row r="40" spans="3:27" s="821" customFormat="1">
      <c r="C40" s="821" t="s">
        <v>318</v>
      </c>
      <c r="G40" s="839" t="s">
        <v>795</v>
      </c>
      <c r="H40" s="819">
        <f>'Heat pump, ground source'!Z16</f>
        <v>2030</v>
      </c>
      <c r="I40" s="48"/>
      <c r="J40" s="105">
        <v>1</v>
      </c>
      <c r="K40" s="819">
        <f>'Heat pump, ground source'!AC16</f>
        <v>15</v>
      </c>
      <c r="L40" s="84">
        <f>'Heat pump, ground source'!AD16</f>
        <v>3.7250000000000001</v>
      </c>
      <c r="M40" s="84">
        <f>'Heat pump, ground source'!AE16</f>
        <v>8.6885624999999994E-2</v>
      </c>
      <c r="N40" s="84">
        <f>'Heat pump, ground source'!AF16</f>
        <v>1.1264400000000001E-2</v>
      </c>
      <c r="O40" s="46"/>
      <c r="P40" s="46"/>
      <c r="Q40" s="46"/>
      <c r="R40" s="46">
        <f>'Heat pump, ground source'!AJ16</f>
        <v>0</v>
      </c>
      <c r="S40" s="46">
        <f>'Heat pump, ground source'!AK16</f>
        <v>0</v>
      </c>
      <c r="T40" s="46">
        <f>'Heat pump, ground source'!AL16</f>
        <v>0</v>
      </c>
      <c r="U40" s="46">
        <f>'Heat pump, ground source'!AM16</f>
        <v>0</v>
      </c>
      <c r="V40" s="46">
        <f>'Heat pump, ground source'!AN16</f>
        <v>0</v>
      </c>
      <c r="W40" s="86"/>
      <c r="Z40" s="46">
        <f>'Heat pump, ground source'!AC19</f>
        <v>0</v>
      </c>
      <c r="AA40" s="110">
        <f>'Heat pump, ground source'!AB19</f>
        <v>0</v>
      </c>
    </row>
    <row r="41" spans="3:27" s="821" customFormat="1">
      <c r="C41" s="821" t="s">
        <v>318</v>
      </c>
      <c r="G41" s="839" t="s">
        <v>795</v>
      </c>
      <c r="H41" s="819">
        <f>'Heat pump, ground source'!Z17</f>
        <v>2050</v>
      </c>
      <c r="I41" s="48"/>
      <c r="J41" s="105">
        <v>1</v>
      </c>
      <c r="K41" s="819">
        <f>'Heat pump, ground source'!AC17</f>
        <v>15</v>
      </c>
      <c r="L41" s="84">
        <f>'Heat pump, ground source'!AD17</f>
        <v>3.3525</v>
      </c>
      <c r="M41" s="84">
        <f>'Heat pump, ground source'!AE17</f>
        <v>0.1122621875</v>
      </c>
      <c r="N41" s="84">
        <f>'Heat pump, ground source'!AF17</f>
        <v>1.01916E-2</v>
      </c>
      <c r="O41" s="46"/>
      <c r="P41" s="46"/>
      <c r="Q41" s="46"/>
      <c r="R41" s="46">
        <f>'Heat pump, ground source'!AJ17</f>
        <v>0</v>
      </c>
      <c r="S41" s="46">
        <f>'Heat pump, ground source'!AK17</f>
        <v>0</v>
      </c>
      <c r="T41" s="46">
        <f>'Heat pump, ground source'!AL17</f>
        <v>0</v>
      </c>
      <c r="U41" s="46">
        <f>'Heat pump, ground source'!AM17</f>
        <v>0</v>
      </c>
      <c r="V41" s="46">
        <f>'Heat pump, ground source'!AN17</f>
        <v>0</v>
      </c>
      <c r="W41" s="86"/>
      <c r="Z41" s="46">
        <f>'Heat pump, ground source'!AC20</f>
        <v>2030</v>
      </c>
      <c r="AA41" s="110">
        <f>'Heat pump, ground source'!AB20</f>
        <v>2020</v>
      </c>
    </row>
    <row r="42" spans="3:27">
      <c r="C42" s="42" t="str">
        <f>Processes!D89</f>
        <v>CHTMBSOLXN1</v>
      </c>
      <c r="D42" s="42" t="str">
        <f>Processes!E89</f>
        <v>Commercial heating technology multistorey building - solar - new 1</v>
      </c>
      <c r="E42" s="42" t="s">
        <v>967</v>
      </c>
      <c r="F42" s="1213" t="str">
        <f>Commodities_VT!$C$40&amp;","&amp;Commodities_VT!$C$41</f>
        <v>COMHUMB,COMHRMB</v>
      </c>
      <c r="G42" s="839" t="s">
        <v>795</v>
      </c>
      <c r="H42" s="46">
        <v>2012</v>
      </c>
      <c r="I42" s="46">
        <v>2025</v>
      </c>
      <c r="J42" s="477">
        <f>1-$J$89</f>
        <v>0.97</v>
      </c>
      <c r="K42" s="602">
        <f>'Solar heating'!AC8</f>
        <v>20</v>
      </c>
      <c r="L42" s="478">
        <f>'Solar heating'!AD8</f>
        <v>4.5714285714285721</v>
      </c>
      <c r="M42" s="510">
        <f>'Solar heating'!AE8</f>
        <v>1.0642857142857143E-2</v>
      </c>
      <c r="N42" s="84">
        <f>'Solar heating'!AF8</f>
        <v>4.9940122174770618</v>
      </c>
      <c r="O42" s="47">
        <v>3.1536000000000002E-2</v>
      </c>
      <c r="P42" s="171">
        <f>'HOU_Deta Boil'!P50</f>
        <v>0.76190476190476175</v>
      </c>
      <c r="Q42" s="46"/>
      <c r="R42" s="46">
        <f>'Solar heating'!AI8</f>
        <v>0</v>
      </c>
      <c r="S42" s="46">
        <f>'Solar heating'!AJ8</f>
        <v>0</v>
      </c>
      <c r="T42" s="46">
        <f>'Solar heating'!AK8</f>
        <v>0</v>
      </c>
      <c r="U42" s="46">
        <f>'Solar heating'!AL8</f>
        <v>0</v>
      </c>
      <c r="V42" s="46">
        <f>'Solar heating'!AM8</f>
        <v>0</v>
      </c>
      <c r="W42" s="86"/>
      <c r="Z42" s="46" t="e">
        <f>'Solar heating'!#REF!</f>
        <v>#REF!</v>
      </c>
      <c r="AA42" s="105"/>
    </row>
    <row r="43" spans="3:27">
      <c r="C43" s="42"/>
      <c r="D43" s="42"/>
      <c r="E43" s="42"/>
      <c r="F43" s="42"/>
      <c r="G43" s="839" t="s">
        <v>795</v>
      </c>
      <c r="H43" s="46">
        <f>'Solar heating'!Z9</f>
        <v>2020</v>
      </c>
      <c r="I43" s="46"/>
      <c r="J43" s="477">
        <f>1-$J$89</f>
        <v>0.97</v>
      </c>
      <c r="K43" s="46">
        <f>'Solar heating'!AC9</f>
        <v>25</v>
      </c>
      <c r="L43" s="478">
        <f>'Solar heating'!AD9</f>
        <v>4.2857142857142856</v>
      </c>
      <c r="M43" s="510">
        <f>'Solar heating'!AE9</f>
        <v>1.0379433158225671E-2</v>
      </c>
      <c r="N43" s="84">
        <f>'Solar heating'!AF9</f>
        <v>5.1713910859307095</v>
      </c>
      <c r="O43" s="46"/>
      <c r="P43" s="171">
        <f>'HOU_Deta Boil'!P51</f>
        <v>0.80952380952380953</v>
      </c>
      <c r="Q43" s="46"/>
      <c r="R43" s="46">
        <f>'Solar heating'!AI9</f>
        <v>0</v>
      </c>
      <c r="S43" s="46">
        <f>'Solar heating'!AJ9</f>
        <v>0</v>
      </c>
      <c r="T43" s="46">
        <f>'Solar heating'!AK9</f>
        <v>0</v>
      </c>
      <c r="U43" s="46">
        <f>'Solar heating'!AL9</f>
        <v>0</v>
      </c>
      <c r="V43" s="46">
        <f>'Solar heating'!AM9</f>
        <v>0</v>
      </c>
      <c r="W43" s="86"/>
      <c r="Z43" s="46" t="e">
        <f>'Solar heating'!#REF!</f>
        <v>#REF!</v>
      </c>
      <c r="AA43" s="105"/>
    </row>
    <row r="44" spans="3:27">
      <c r="C44" s="42"/>
      <c r="D44" s="42"/>
      <c r="E44" s="42"/>
      <c r="F44" s="42"/>
      <c r="G44" s="839" t="s">
        <v>795</v>
      </c>
      <c r="H44" s="46">
        <f>'Solar heating'!Z10</f>
        <v>2030</v>
      </c>
      <c r="I44" s="46"/>
      <c r="J44" s="477">
        <f>1-$J$89</f>
        <v>0.97</v>
      </c>
      <c r="K44" s="46">
        <f>'Solar heating'!AC10</f>
        <v>30</v>
      </c>
      <c r="L44" s="478">
        <f>'Solar heating'!AD10</f>
        <v>3.9285714285714284</v>
      </c>
      <c r="M44" s="510">
        <f>'Solar heating'!AE10</f>
        <v>9.8446428571428574E-3</v>
      </c>
      <c r="N44" s="84">
        <f>'Solar heating'!AF10</f>
        <v>7.0455784617250172</v>
      </c>
      <c r="O44" s="46"/>
      <c r="P44" s="171">
        <f>'HOU_Deta Boil'!P52</f>
        <v>0.85714285714285698</v>
      </c>
      <c r="Q44" s="46"/>
      <c r="R44" s="46">
        <f>'Solar heating'!AI10</f>
        <v>0</v>
      </c>
      <c r="S44" s="46">
        <f>'Solar heating'!AJ10</f>
        <v>0</v>
      </c>
      <c r="T44" s="46">
        <f>'Solar heating'!AK10</f>
        <v>0</v>
      </c>
      <c r="U44" s="46">
        <f>'Solar heating'!AL10</f>
        <v>0</v>
      </c>
      <c r="V44" s="46">
        <f>'Solar heating'!AM10</f>
        <v>0</v>
      </c>
      <c r="W44" s="86"/>
      <c r="Z44" s="46" t="e">
        <f>'Solar heating'!#REF!</f>
        <v>#REF!</v>
      </c>
      <c r="AA44" s="105"/>
    </row>
    <row r="45" spans="3:27">
      <c r="C45" s="42"/>
      <c r="D45" s="42"/>
      <c r="E45" s="42"/>
      <c r="F45" s="42"/>
      <c r="G45" s="839" t="s">
        <v>795</v>
      </c>
      <c r="H45" s="46">
        <f>'Solar heating'!Z11</f>
        <v>2050</v>
      </c>
      <c r="I45" s="46"/>
      <c r="J45" s="477">
        <f>1-$J$89</f>
        <v>0.97</v>
      </c>
      <c r="K45" s="46">
        <f>'Solar heating'!AC11</f>
        <v>30</v>
      </c>
      <c r="L45" s="478">
        <f>'Solar heating'!AD11</f>
        <v>3.5714285714285716</v>
      </c>
      <c r="M45" s="510">
        <f>'Solar heating'!AE11</f>
        <v>9.0464285714285716E-3</v>
      </c>
      <c r="N45" s="84">
        <f>'Solar heating'!AF11</f>
        <v>10.261901153232486</v>
      </c>
      <c r="O45" s="46"/>
      <c r="P45" s="171">
        <f>'HOU_Deta Boil'!P53</f>
        <v>0.95238095238095233</v>
      </c>
      <c r="Q45" s="46"/>
      <c r="R45" s="46">
        <f>'Solar heating'!AI11</f>
        <v>0</v>
      </c>
      <c r="S45" s="46">
        <f>'Solar heating'!AJ11</f>
        <v>0</v>
      </c>
      <c r="T45" s="46">
        <f>'Solar heating'!AK11</f>
        <v>0</v>
      </c>
      <c r="U45" s="46">
        <f>'Solar heating'!AL11</f>
        <v>0</v>
      </c>
      <c r="V45" s="46">
        <f>'Solar heating'!AM11</f>
        <v>0</v>
      </c>
      <c r="W45" s="86"/>
      <c r="Z45" s="46" t="e">
        <f>'Solar heating'!#REF!</f>
        <v>#REF!</v>
      </c>
      <c r="AA45" s="105"/>
    </row>
    <row r="46" spans="3:27">
      <c r="C46" s="53" t="str">
        <f>Processes!D90</f>
        <v>CHTMBNGABN2</v>
      </c>
      <c r="D46" s="821" t="str">
        <f>Processes!E90</f>
        <v>Commercial heating technology multistorey building - Heat pump,gas absorption, air-to-water - new 2</v>
      </c>
      <c r="E46" s="821" t="s">
        <v>962</v>
      </c>
      <c r="F46" s="1213" t="str">
        <f>Commodities_VT!$C$40&amp;","&amp;Commodities_VT!$C$41&amp;","&amp;Commodities_VT!$C$15</f>
        <v>COMHUMB,COMHRMB,CWFDEM</v>
      </c>
      <c r="G46" s="839" t="s">
        <v>795</v>
      </c>
      <c r="H46" s="46">
        <v>2012</v>
      </c>
      <c r="I46" s="46">
        <v>2018</v>
      </c>
      <c r="J46" s="105">
        <v>1</v>
      </c>
      <c r="K46" s="48">
        <f>'HP, gas absorption,air-to-water'!AC8</f>
        <v>20</v>
      </c>
      <c r="L46" s="478">
        <f>'HP, gas absorption,air-to-water'!AD8</f>
        <v>3.0477272727272728</v>
      </c>
      <c r="M46" s="510">
        <f>'HP, gas absorption,air-to-water'!AE8</f>
        <v>3.9789772727272729E-2</v>
      </c>
      <c r="N46" s="84">
        <f>'HP, gas absorption,air-to-water'!AF8</f>
        <v>0</v>
      </c>
      <c r="O46" s="47">
        <v>3.1536000000000002E-2</v>
      </c>
      <c r="P46" s="83">
        <f>'HOU_Deta Boil'!P54</f>
        <v>0.2</v>
      </c>
      <c r="Q46" s="46"/>
      <c r="R46" s="46">
        <f>'HP, gas absorption,air-to-water'!AI8</f>
        <v>20</v>
      </c>
      <c r="S46" s="46">
        <f>'HP, gas absorption,air-to-water'!AJ8</f>
        <v>0</v>
      </c>
      <c r="T46" s="46" t="str">
        <f>'HP, gas absorption,air-to-water'!AK8</f>
        <v>-</v>
      </c>
      <c r="U46" s="46" t="str">
        <f>'HP, gas absorption,air-to-water'!AL8</f>
        <v>-</v>
      </c>
      <c r="V46" s="46" t="str">
        <f>'HP, gas absorption,air-to-water'!AM8</f>
        <v>-</v>
      </c>
      <c r="W46" s="86"/>
      <c r="Z46" s="46" t="e">
        <f>'HP, gas absorption,air-to-water'!#REF!</f>
        <v>#REF!</v>
      </c>
      <c r="AA46" s="48">
        <f>'HP, gas absorption,air-to-water'!AB8</f>
        <v>1.35</v>
      </c>
    </row>
    <row r="47" spans="3:27">
      <c r="D47" s="821"/>
      <c r="E47" s="42"/>
      <c r="G47" s="839" t="s">
        <v>795</v>
      </c>
      <c r="H47" s="48">
        <f>'HP, gas absorption,air-to-water'!Z9</f>
        <v>2020</v>
      </c>
      <c r="I47" s="48"/>
      <c r="J47" s="105">
        <v>1</v>
      </c>
      <c r="K47" s="48">
        <f>'HP, gas absorption,air-to-water'!AC9</f>
        <v>20</v>
      </c>
      <c r="L47" s="478">
        <f>'HP, gas absorption,air-to-water'!AD9</f>
        <v>1.5831249999999999</v>
      </c>
      <c r="M47" s="510">
        <f>'HP, gas absorption,air-to-water'!AE9</f>
        <v>2.1884375000000001E-2</v>
      </c>
      <c r="N47" s="84">
        <f>'HP, gas absorption,air-to-water'!AF9</f>
        <v>0</v>
      </c>
      <c r="O47" s="46"/>
      <c r="P47" s="46"/>
      <c r="Q47" s="46"/>
      <c r="R47" s="46">
        <f>'HP, gas absorption,air-to-water'!AI9</f>
        <v>20</v>
      </c>
      <c r="S47" s="46">
        <f>'HP, gas absorption,air-to-water'!AJ9</f>
        <v>0</v>
      </c>
      <c r="T47" s="46" t="str">
        <f>'HP, gas absorption,air-to-water'!AK9</f>
        <v>-</v>
      </c>
      <c r="U47" s="46" t="str">
        <f>'HP, gas absorption,air-to-water'!AL9</f>
        <v>-</v>
      </c>
      <c r="V47" s="46" t="str">
        <f>'HP, gas absorption,air-to-water'!AM9</f>
        <v>-</v>
      </c>
      <c r="W47" s="86"/>
      <c r="Z47" s="46" t="e">
        <f>'HP, gas absorption,air-to-water'!#REF!</f>
        <v>#REF!</v>
      </c>
      <c r="AA47" s="48">
        <f>'HP, gas absorption,air-to-water'!AB9</f>
        <v>1.45</v>
      </c>
    </row>
    <row r="48" spans="3:27">
      <c r="D48" s="821"/>
      <c r="E48" s="42"/>
      <c r="G48" s="839" t="s">
        <v>795</v>
      </c>
      <c r="H48" s="48">
        <f>'HP, gas absorption,air-to-water'!Z10</f>
        <v>2030</v>
      </c>
      <c r="I48" s="48"/>
      <c r="J48" s="105">
        <v>1</v>
      </c>
      <c r="K48" s="48">
        <f>'HP, gas absorption,air-to-water'!AC10</f>
        <v>20</v>
      </c>
      <c r="L48" s="478">
        <f>'HP, gas absorption,air-to-water'!AD10</f>
        <v>1.3968750000000001</v>
      </c>
      <c r="M48" s="510">
        <f>'HP, gas absorption,air-to-water'!AE10</f>
        <v>2.1884375000000001E-2</v>
      </c>
      <c r="N48" s="84">
        <f>'HP, gas absorption,air-to-water'!AF10</f>
        <v>0</v>
      </c>
      <c r="O48" s="46"/>
      <c r="P48" s="46"/>
      <c r="Q48" s="46"/>
      <c r="R48" s="46">
        <f>'HP, gas absorption,air-to-water'!AI10</f>
        <v>20</v>
      </c>
      <c r="S48" s="46">
        <f>'HP, gas absorption,air-to-water'!AJ10</f>
        <v>0</v>
      </c>
      <c r="T48" s="46" t="str">
        <f>'HP, gas absorption,air-to-water'!AK10</f>
        <v>-</v>
      </c>
      <c r="U48" s="46" t="str">
        <f>'HP, gas absorption,air-to-water'!AL10</f>
        <v>-</v>
      </c>
      <c r="V48" s="46" t="str">
        <f>'HP, gas absorption,air-to-water'!AM10</f>
        <v>-</v>
      </c>
      <c r="W48" s="86"/>
      <c r="Z48" s="46" t="e">
        <f>'HP, gas absorption,air-to-water'!#REF!</f>
        <v>#REF!</v>
      </c>
      <c r="AA48" s="48">
        <f>'HP, gas absorption,air-to-water'!AB10</f>
        <v>1.7</v>
      </c>
    </row>
    <row r="49" spans="3:27">
      <c r="D49" s="821"/>
      <c r="E49" s="42"/>
      <c r="G49" s="839" t="s">
        <v>795</v>
      </c>
      <c r="H49" s="48">
        <f>'HP, gas absorption,air-to-water'!Z11</f>
        <v>2050</v>
      </c>
      <c r="I49" s="48"/>
      <c r="J49" s="105">
        <v>1</v>
      </c>
      <c r="K49" s="48">
        <f>'HP, gas absorption,air-to-water'!AC11</f>
        <v>20</v>
      </c>
      <c r="L49" s="478">
        <f>'HP, gas absorption,air-to-water'!AD11</f>
        <v>1.30375</v>
      </c>
      <c r="M49" s="510">
        <f>'HP, gas absorption,air-to-water'!AE11</f>
        <v>2.1884375000000001E-2</v>
      </c>
      <c r="N49" s="84">
        <f>'HP, gas absorption,air-to-water'!AF11</f>
        <v>0</v>
      </c>
      <c r="O49" s="46"/>
      <c r="P49" s="46"/>
      <c r="Q49" s="46"/>
      <c r="R49" s="46">
        <f>'HP, gas absorption,air-to-water'!AJ13</f>
        <v>0</v>
      </c>
      <c r="S49" s="46">
        <f>'HP, gas absorption,air-to-water'!AK13</f>
        <v>0</v>
      </c>
      <c r="T49" s="46">
        <f>'HP, gas absorption,air-to-water'!AL13</f>
        <v>0</v>
      </c>
      <c r="U49" s="46">
        <f>'HP, gas absorption,air-to-water'!AM13</f>
        <v>0</v>
      </c>
      <c r="V49" s="46">
        <f>'HP, gas absorption,air-to-water'!AN13</f>
        <v>0</v>
      </c>
      <c r="W49" s="86"/>
      <c r="Z49" s="46">
        <f>'HP, gas absorption,air-to-water'!AC13</f>
        <v>0</v>
      </c>
      <c r="AA49" s="48">
        <f>'HP, gas absorption,air-to-water'!AB11</f>
        <v>1.7</v>
      </c>
    </row>
    <row r="50" spans="3:27">
      <c r="C50" s="53" t="str">
        <f>Processes!D91</f>
        <v>CHTMBNGABN3</v>
      </c>
      <c r="D50" s="821" t="str">
        <f>Processes!E91</f>
        <v>Commercial heating technology multistorey building - Heat pump,gas absorption, brine-to-water - new 3</v>
      </c>
      <c r="E50" s="821" t="s">
        <v>962</v>
      </c>
      <c r="F50" s="1213" t="str">
        <f>Commodities_VT!$C$40&amp;","&amp;Commodities_VT!$C$41&amp;","&amp;Commodities_VT!$C$15</f>
        <v>COMHUMB,COMHRMB,CWFDEM</v>
      </c>
      <c r="G50" s="839" t="s">
        <v>795</v>
      </c>
      <c r="H50" s="46">
        <v>2012</v>
      </c>
      <c r="I50" s="46">
        <v>2018</v>
      </c>
      <c r="J50" s="105">
        <v>1</v>
      </c>
      <c r="K50" s="48">
        <f>'HP, gas absorpt,brine-to-water'!AC8</f>
        <v>20</v>
      </c>
      <c r="L50" s="478">
        <f>'HP, gas absorpt,brine-to-water'!AD8</f>
        <v>5.5875000000000004</v>
      </c>
      <c r="M50" s="510">
        <f>'HP, gas absorpt,brine-to-water'!AE8</f>
        <v>3.9789772727272729E-2</v>
      </c>
      <c r="N50" s="84">
        <f>'HP, gas absorpt,brine-to-water'!AF8</f>
        <v>0</v>
      </c>
      <c r="O50" s="47">
        <v>3.1536000000000002E-2</v>
      </c>
      <c r="P50" s="83">
        <f>'HOU_Deta Boil'!P58</f>
        <v>0.2</v>
      </c>
      <c r="Q50" s="46"/>
      <c r="R50" s="46">
        <f>'HP, gas absorpt,brine-to-water'!AI8</f>
        <v>0</v>
      </c>
      <c r="S50" s="46">
        <f>'HP, gas absorpt,brine-to-water'!AJ8</f>
        <v>0</v>
      </c>
      <c r="T50" s="46">
        <f>'HP, gas absorpt,brine-to-water'!AK8</f>
        <v>0</v>
      </c>
      <c r="U50" s="46">
        <f>'HP, gas absorpt,brine-to-water'!AL8</f>
        <v>0</v>
      </c>
      <c r="V50" s="46">
        <f>'HP, gas absorpt,brine-to-water'!AM8</f>
        <v>0</v>
      </c>
      <c r="W50" s="86"/>
      <c r="Z50" s="46" t="e">
        <f>'HP, gas absorpt,brine-to-water'!#REF!</f>
        <v>#REF!</v>
      </c>
      <c r="AA50" s="48">
        <f>'HP, gas absorpt,brine-to-water'!AB8</f>
        <v>1.35</v>
      </c>
    </row>
    <row r="51" spans="3:27">
      <c r="D51" s="821"/>
      <c r="E51" s="42"/>
      <c r="G51" s="839" t="s">
        <v>795</v>
      </c>
      <c r="H51" s="48">
        <f>'HP, gas absorpt,brine-to-water'!Z9</f>
        <v>2020</v>
      </c>
      <c r="I51" s="48"/>
      <c r="J51" s="105">
        <v>1</v>
      </c>
      <c r="K51" s="48">
        <f>'HP, gas absorpt,brine-to-water'!AC9</f>
        <v>20</v>
      </c>
      <c r="L51" s="478">
        <f>'HP, gas absorpt,brine-to-water'!AD9</f>
        <v>2.8887375</v>
      </c>
      <c r="M51" s="510">
        <f>'HP, gas absorpt,brine-to-water'!AE9</f>
        <v>2.1884375000000001E-2</v>
      </c>
      <c r="N51" s="84">
        <f>'HP, gas absorpt,brine-to-water'!AF9</f>
        <v>0</v>
      </c>
      <c r="O51" s="46"/>
      <c r="P51" s="46"/>
      <c r="Q51" s="46"/>
      <c r="R51" s="46">
        <f>'HP, gas absorpt,brine-to-water'!AI9</f>
        <v>0</v>
      </c>
      <c r="S51" s="46">
        <f>'HP, gas absorpt,brine-to-water'!AJ9</f>
        <v>0</v>
      </c>
      <c r="T51" s="46">
        <f>'HP, gas absorpt,brine-to-water'!AK9</f>
        <v>0</v>
      </c>
      <c r="U51" s="46">
        <f>'HP, gas absorpt,brine-to-water'!AL9</f>
        <v>0</v>
      </c>
      <c r="V51" s="46">
        <f>'HP, gas absorpt,brine-to-water'!AM9</f>
        <v>0</v>
      </c>
      <c r="W51" s="86"/>
      <c r="Z51" s="46" t="e">
        <f>'HP, gas absorpt,brine-to-water'!#REF!</f>
        <v>#REF!</v>
      </c>
      <c r="AA51" s="48">
        <f>'HP, gas absorpt,brine-to-water'!AB9</f>
        <v>1.45</v>
      </c>
    </row>
    <row r="52" spans="3:27">
      <c r="D52" s="821"/>
      <c r="E52" s="821"/>
      <c r="G52" s="839" t="s">
        <v>795</v>
      </c>
      <c r="H52" s="48">
        <f>'HP, gas absorpt,brine-to-water'!Z10</f>
        <v>2030</v>
      </c>
      <c r="I52" s="48"/>
      <c r="J52" s="105">
        <v>1</v>
      </c>
      <c r="K52" s="48">
        <f>'HP, gas absorpt,brine-to-water'!AC10</f>
        <v>20</v>
      </c>
      <c r="L52" s="478">
        <f>'HP, gas absorpt,brine-to-water'!AD10</f>
        <v>2.5998637499999999</v>
      </c>
      <c r="M52" s="510">
        <f>'HP, gas absorpt,brine-to-water'!AE10</f>
        <v>2.1884375000000001E-2</v>
      </c>
      <c r="N52" s="84">
        <f>'HP, gas absorpt,brine-to-water'!AF10</f>
        <v>0</v>
      </c>
      <c r="O52" s="46"/>
      <c r="P52" s="46"/>
      <c r="Q52" s="46"/>
      <c r="R52" s="46">
        <f>'HP, gas absorpt,brine-to-water'!AI10</f>
        <v>0</v>
      </c>
      <c r="S52" s="46">
        <f>'HP, gas absorpt,brine-to-water'!AJ10</f>
        <v>0</v>
      </c>
      <c r="T52" s="46">
        <f>'HP, gas absorpt,brine-to-water'!AK10</f>
        <v>0</v>
      </c>
      <c r="U52" s="46">
        <f>'HP, gas absorpt,brine-to-water'!AL10</f>
        <v>0</v>
      </c>
      <c r="V52" s="46">
        <f>'HP, gas absorpt,brine-to-water'!AM10</f>
        <v>0</v>
      </c>
      <c r="W52" s="86"/>
      <c r="Z52" s="46" t="e">
        <f>'HP, gas absorpt,brine-to-water'!#REF!</f>
        <v>#REF!</v>
      </c>
      <c r="AA52" s="48">
        <f>'HP, gas absorpt,brine-to-water'!AB10</f>
        <v>1.7</v>
      </c>
    </row>
    <row r="53" spans="3:27">
      <c r="D53" s="821"/>
      <c r="E53" s="821"/>
      <c r="G53" s="839" t="s">
        <v>795</v>
      </c>
      <c r="H53" s="48">
        <f>'HP, gas absorpt,brine-to-water'!Z11</f>
        <v>2050</v>
      </c>
      <c r="I53" s="48"/>
      <c r="J53" s="105">
        <v>1</v>
      </c>
      <c r="K53" s="48">
        <f>'HP, gas absorpt,brine-to-water'!AC11</f>
        <v>20</v>
      </c>
      <c r="L53" s="478">
        <f>'HP, gas absorpt,brine-to-water'!AD11</f>
        <v>2.3398773749999999</v>
      </c>
      <c r="M53" s="510">
        <f>'HP, gas absorpt,brine-to-water'!AE11</f>
        <v>2.1884375000000001E-2</v>
      </c>
      <c r="N53" s="84">
        <f>'HP, gas absorpt,brine-to-water'!AF11</f>
        <v>0</v>
      </c>
      <c r="O53" s="46"/>
      <c r="P53" s="46"/>
      <c r="Q53" s="46"/>
      <c r="R53" s="46">
        <f>'HP, gas absorpt,brine-to-water'!AI11</f>
        <v>0</v>
      </c>
      <c r="S53" s="46">
        <f>'HP, gas absorpt,brine-to-water'!AJ11</f>
        <v>0</v>
      </c>
      <c r="T53" s="46">
        <f>'HP, gas absorpt,brine-to-water'!AK11</f>
        <v>0</v>
      </c>
      <c r="U53" s="46">
        <f>'HP, gas absorpt,brine-to-water'!AL11</f>
        <v>0</v>
      </c>
      <c r="V53" s="46">
        <f>'HP, gas absorpt,brine-to-water'!AM11</f>
        <v>0</v>
      </c>
      <c r="W53" s="86"/>
      <c r="Z53" s="46" t="e">
        <f>'HP, gas absorpt,brine-to-water'!#REF!</f>
        <v>#REF!</v>
      </c>
      <c r="AA53" s="48">
        <f>'HP, gas absorpt,brine-to-water'!AB11</f>
        <v>1.7</v>
      </c>
    </row>
    <row r="54" spans="3:27">
      <c r="C54" s="53" t="str">
        <f>Processes!D92</f>
        <v>CHTMBNGABN4</v>
      </c>
      <c r="D54" s="821" t="str">
        <f>Processes!E92</f>
        <v>Commercial heating technology multistorey building - Heat pump,gas engine, air-to-water - new 4</v>
      </c>
      <c r="E54" s="821" t="s">
        <v>962</v>
      </c>
      <c r="F54" s="1213" t="str">
        <f>Commodities_VT!$C$40&amp;","&amp;Commodities_VT!$C$41&amp;","&amp;Commodities_VT!$C$15</f>
        <v>COMHUMB,COMHRMB,CWFDEM</v>
      </c>
      <c r="G54" s="839" t="s">
        <v>795</v>
      </c>
      <c r="H54" s="46">
        <v>2015</v>
      </c>
      <c r="I54" s="46">
        <v>2018</v>
      </c>
      <c r="J54" s="105">
        <v>1</v>
      </c>
      <c r="K54" s="48">
        <f>'Heat pump, gas engine air-water'!E8</f>
        <v>15</v>
      </c>
      <c r="L54" s="478">
        <f>L58</f>
        <v>2.831</v>
      </c>
      <c r="M54" s="510">
        <f>'Heat pump, gas engine air-water'!G8</f>
        <v>3.5015000000000004E-2</v>
      </c>
      <c r="N54" s="84">
        <f>'Heat pump, gas engine air-water'!H8</f>
        <v>0</v>
      </c>
      <c r="O54" s="78">
        <v>3.1536000000000002E-2</v>
      </c>
      <c r="P54" s="83">
        <f>'Heat pump, gas engine air-water'!J8</f>
        <v>0.2</v>
      </c>
      <c r="Q54" s="73"/>
      <c r="R54" s="73">
        <f>'Heat pump, gas engine air-water'!K8</f>
        <v>0</v>
      </c>
      <c r="S54" s="73">
        <f>'Heat pump, gas engine air-water'!L8</f>
        <v>120</v>
      </c>
      <c r="T54" s="73">
        <f>'Heat pump, gas engine air-water'!M8</f>
        <v>5</v>
      </c>
      <c r="U54" s="73" t="str">
        <f>'Heat pump, gas engine air-water'!N8</f>
        <v>-</v>
      </c>
      <c r="V54" s="73" t="str">
        <f>'Heat pump, gas engine air-water'!O8</f>
        <v>-</v>
      </c>
      <c r="W54" s="93"/>
      <c r="Z54" s="63">
        <f>'Heat pump, gas engine Brine-wat'!M46</f>
        <v>0</v>
      </c>
      <c r="AA54" s="48">
        <f>'Heat pump, gas engine air-water'!D8</f>
        <v>1.5</v>
      </c>
    </row>
    <row r="55" spans="3:27">
      <c r="D55" s="821"/>
      <c r="E55" s="821"/>
      <c r="G55" s="839" t="s">
        <v>795</v>
      </c>
      <c r="H55" s="48">
        <f>'Heat pump, gas engine air-water'!B9</f>
        <v>2020</v>
      </c>
      <c r="I55" s="48"/>
      <c r="J55" s="105">
        <v>1</v>
      </c>
      <c r="K55" s="48">
        <f>'Heat pump, gas engine air-water'!E9</f>
        <v>20</v>
      </c>
      <c r="L55" s="478">
        <f>L59</f>
        <v>2.6611399999999996</v>
      </c>
      <c r="M55" s="510">
        <f>'Heat pump, gas engine air-water'!G9</f>
        <v>3.5015000000000004E-2</v>
      </c>
      <c r="N55" s="84">
        <f>'Heat pump, gas engine air-water'!H9</f>
        <v>0</v>
      </c>
      <c r="O55" s="73"/>
      <c r="P55" s="73"/>
      <c r="Q55" s="73"/>
      <c r="R55" s="73">
        <f>'Heat pump, gas engine air-water'!K9</f>
        <v>0</v>
      </c>
      <c r="S55" s="73">
        <f>'Heat pump, gas engine air-water'!L9</f>
        <v>80</v>
      </c>
      <c r="T55" s="73">
        <f>'Heat pump, gas engine air-water'!M9</f>
        <v>5</v>
      </c>
      <c r="U55" s="73" t="str">
        <f>'Heat pump, gas engine air-water'!N9</f>
        <v>-</v>
      </c>
      <c r="V55" s="73" t="str">
        <f>'Heat pump, gas engine air-water'!O9</f>
        <v>-</v>
      </c>
      <c r="W55" s="93"/>
      <c r="Z55" s="63">
        <f>'Heat pump, gas engine Brine-wat'!M47</f>
        <v>0</v>
      </c>
      <c r="AA55" s="48">
        <f>'Heat pump, gas engine air-water'!D9</f>
        <v>1.55</v>
      </c>
    </row>
    <row r="56" spans="3:27">
      <c r="D56" s="821"/>
      <c r="E56" s="821"/>
      <c r="G56" s="839" t="s">
        <v>795</v>
      </c>
      <c r="H56" s="48">
        <f>'Heat pump, gas engine air-water'!B10</f>
        <v>2030</v>
      </c>
      <c r="I56" s="48"/>
      <c r="J56" s="105">
        <v>1</v>
      </c>
      <c r="K56" s="48">
        <f>'Heat pump, gas engine air-water'!E10</f>
        <v>20</v>
      </c>
      <c r="L56" s="478">
        <f>L60</f>
        <v>2.3950260000000005</v>
      </c>
      <c r="M56" s="510">
        <f>'Heat pump, gas engine air-water'!G10</f>
        <v>3.5015000000000004E-2</v>
      </c>
      <c r="N56" s="84">
        <f>'Heat pump, gas engine air-water'!H10</f>
        <v>0</v>
      </c>
      <c r="O56" s="73"/>
      <c r="P56" s="73"/>
      <c r="Q56" s="73"/>
      <c r="R56" s="73">
        <f>'Heat pump, gas engine air-water'!K10</f>
        <v>0</v>
      </c>
      <c r="S56" s="73">
        <f>'Heat pump, gas engine air-water'!L10</f>
        <v>50</v>
      </c>
      <c r="T56" s="73">
        <f>'Heat pump, gas engine air-water'!M10</f>
        <v>5</v>
      </c>
      <c r="U56" s="73" t="str">
        <f>'Heat pump, gas engine air-water'!N10</f>
        <v>-</v>
      </c>
      <c r="V56" s="73" t="str">
        <f>'Heat pump, gas engine air-water'!O10</f>
        <v>-</v>
      </c>
      <c r="W56" s="93"/>
      <c r="Z56" s="63">
        <f>'Heat pump, gas engine Brine-wat'!M48</f>
        <v>0</v>
      </c>
      <c r="AA56" s="48">
        <f>'Heat pump, gas engine air-water'!D10</f>
        <v>1.55</v>
      </c>
    </row>
    <row r="57" spans="3:27">
      <c r="D57" s="821"/>
      <c r="E57" s="821"/>
      <c r="G57" s="839" t="s">
        <v>795</v>
      </c>
      <c r="H57" s="48">
        <f>'Heat pump, gas engine air-water'!B11</f>
        <v>2050</v>
      </c>
      <c r="I57" s="48"/>
      <c r="J57" s="105">
        <v>1</v>
      </c>
      <c r="K57" s="48">
        <f>'Heat pump, gas engine air-water'!E11</f>
        <v>20</v>
      </c>
      <c r="L57" s="478">
        <f>L61</f>
        <v>2.1555234000000003</v>
      </c>
      <c r="M57" s="510">
        <f>'Heat pump, gas engine air-water'!G11</f>
        <v>3.5015000000000004E-2</v>
      </c>
      <c r="N57" s="84">
        <f>'Heat pump, gas engine air-water'!H11</f>
        <v>0</v>
      </c>
      <c r="O57" s="73"/>
      <c r="P57" s="73"/>
      <c r="Q57" s="73"/>
      <c r="R57" s="73">
        <f>'Heat pump, gas engine air-water'!K11</f>
        <v>0</v>
      </c>
      <c r="S57" s="73">
        <f>'Heat pump, gas engine air-water'!L11</f>
        <v>50</v>
      </c>
      <c r="T57" s="73">
        <f>'Heat pump, gas engine air-water'!M11</f>
        <v>5</v>
      </c>
      <c r="U57" s="73" t="str">
        <f>'Heat pump, gas engine air-water'!N11</f>
        <v>-</v>
      </c>
      <c r="V57" s="73" t="str">
        <f>'Heat pump, gas engine air-water'!O11</f>
        <v>-</v>
      </c>
      <c r="W57" s="93"/>
      <c r="Z57" s="63">
        <f>'Heat pump, gas engine Brine-wat'!M49</f>
        <v>0</v>
      </c>
      <c r="AA57" s="48">
        <f>'Heat pump, gas engine air-water'!D11</f>
        <v>1.6</v>
      </c>
    </row>
    <row r="58" spans="3:27">
      <c r="C58" s="53" t="str">
        <f>Processes!D93</f>
        <v>CHTMBNGABN5</v>
      </c>
      <c r="D58" s="821" t="str">
        <f>Processes!E93</f>
        <v>Commercial heating technology multistorey building - Heat pump,gas engine, brine-to-water - new 5</v>
      </c>
      <c r="E58" s="821" t="s">
        <v>962</v>
      </c>
      <c r="F58" s="1213" t="str">
        <f>Commodities_VT!$C$40&amp;","&amp;Commodities_VT!$C$41&amp;","&amp;Commodities_VT!$C$15</f>
        <v>COMHUMB,COMHRMB,CWFDEM</v>
      </c>
      <c r="G58" s="839" t="s">
        <v>795</v>
      </c>
      <c r="H58" s="46">
        <v>2015</v>
      </c>
      <c r="I58" s="46">
        <v>2018</v>
      </c>
      <c r="J58" s="105">
        <v>1</v>
      </c>
      <c r="K58" s="48">
        <f>'Heat pump, gas engine Brine-wat'!E8</f>
        <v>15</v>
      </c>
      <c r="L58" s="478">
        <f>'Heat pump, gas engine Brine-wat'!F8</f>
        <v>2.831</v>
      </c>
      <c r="M58" s="510">
        <f>'Heat pump, gas engine Brine-wat'!G8</f>
        <v>3.5015000000000004E-2</v>
      </c>
      <c r="N58" s="84">
        <f>'Heat pump, gas engine Brine-wat'!H8</f>
        <v>0</v>
      </c>
      <c r="O58" s="78">
        <v>3.1536000000000002E-2</v>
      </c>
      <c r="P58" s="83">
        <f>'Heat pump, gas engine Brine-wat'!J8</f>
        <v>0.2</v>
      </c>
      <c r="Q58" s="73"/>
      <c r="R58" s="73">
        <f>'Heat pump, gas engine Brine-wat'!K8</f>
        <v>0</v>
      </c>
      <c r="S58" s="73">
        <f>'Heat pump, gas engine Brine-wat'!L8</f>
        <v>120</v>
      </c>
      <c r="T58" s="73">
        <f>'Heat pump, gas engine Brine-wat'!M8</f>
        <v>5</v>
      </c>
      <c r="U58" s="73" t="str">
        <f>'Heat pump, gas engine Brine-wat'!N8</f>
        <v>-</v>
      </c>
      <c r="V58" s="73" t="str">
        <f>'Heat pump, gas engine Brine-wat'!O8</f>
        <v>-</v>
      </c>
      <c r="W58" s="93"/>
      <c r="Z58" s="63">
        <f>'Heat pump, gas engine Brine-wat'!M46</f>
        <v>0</v>
      </c>
      <c r="AA58" s="48">
        <f>'Heat pump, gas engine Brine-wat'!D8</f>
        <v>1.5</v>
      </c>
    </row>
    <row r="59" spans="3:27">
      <c r="D59" s="821"/>
      <c r="E59" s="821"/>
      <c r="G59" s="839" t="s">
        <v>795</v>
      </c>
      <c r="H59" s="48">
        <f>'Heat pump, gas engine Brine-wat'!B9</f>
        <v>2020</v>
      </c>
      <c r="I59" s="48"/>
      <c r="J59" s="105">
        <v>1</v>
      </c>
      <c r="K59" s="48">
        <f>'Heat pump, gas engine Brine-wat'!E9</f>
        <v>20</v>
      </c>
      <c r="L59" s="478">
        <f>'Heat pump, gas engine Brine-wat'!F9</f>
        <v>2.6611399999999996</v>
      </c>
      <c r="M59" s="510">
        <f>'Heat pump, gas engine Brine-wat'!G9</f>
        <v>3.5015000000000004E-2</v>
      </c>
      <c r="N59" s="84">
        <f>'Heat pump, gas engine Brine-wat'!H9</f>
        <v>0</v>
      </c>
      <c r="O59" s="73"/>
      <c r="P59" s="73"/>
      <c r="Q59" s="73"/>
      <c r="R59" s="73">
        <f>'Heat pump, gas engine Brine-wat'!K9</f>
        <v>0</v>
      </c>
      <c r="S59" s="73">
        <f>'Heat pump, gas engine Brine-wat'!L9</f>
        <v>80</v>
      </c>
      <c r="T59" s="73">
        <f>'Heat pump, gas engine Brine-wat'!M9</f>
        <v>5</v>
      </c>
      <c r="U59" s="73" t="str">
        <f>'Heat pump, gas engine Brine-wat'!N9</f>
        <v>-</v>
      </c>
      <c r="V59" s="73" t="str">
        <f>'Heat pump, gas engine Brine-wat'!O9</f>
        <v>-</v>
      </c>
      <c r="W59" s="93"/>
      <c r="Z59" s="63">
        <f>'Heat pump, gas engine Brine-wat'!M47</f>
        <v>0</v>
      </c>
      <c r="AA59" s="48">
        <f>'Heat pump, gas engine Brine-wat'!D9</f>
        <v>1.55</v>
      </c>
    </row>
    <row r="60" spans="3:27">
      <c r="D60" s="821"/>
      <c r="E60" s="821"/>
      <c r="G60" s="839" t="s">
        <v>795</v>
      </c>
      <c r="H60" s="48">
        <f>'Heat pump, gas engine Brine-wat'!B10</f>
        <v>2030</v>
      </c>
      <c r="I60" s="48"/>
      <c r="J60" s="105">
        <v>1</v>
      </c>
      <c r="K60" s="48">
        <f>'Heat pump, gas engine Brine-wat'!E10</f>
        <v>20</v>
      </c>
      <c r="L60" s="478">
        <f>'Heat pump, gas engine Brine-wat'!F10</f>
        <v>2.3950260000000005</v>
      </c>
      <c r="M60" s="510">
        <f>'Heat pump, gas engine Brine-wat'!G10</f>
        <v>3.5015000000000004E-2</v>
      </c>
      <c r="N60" s="84">
        <f>'Heat pump, gas engine Brine-wat'!H10</f>
        <v>0</v>
      </c>
      <c r="O60" s="73"/>
      <c r="P60" s="73"/>
      <c r="Q60" s="73"/>
      <c r="R60" s="73">
        <f>'Heat pump, gas engine Brine-wat'!K10</f>
        <v>0</v>
      </c>
      <c r="S60" s="73">
        <f>'Heat pump, gas engine Brine-wat'!L10</f>
        <v>50</v>
      </c>
      <c r="T60" s="73">
        <f>'Heat pump, gas engine Brine-wat'!M10</f>
        <v>5</v>
      </c>
      <c r="U60" s="73" t="str">
        <f>'Heat pump, gas engine Brine-wat'!N10</f>
        <v>-</v>
      </c>
      <c r="V60" s="73" t="str">
        <f>'Heat pump, gas engine Brine-wat'!O10</f>
        <v>-</v>
      </c>
      <c r="W60" s="93"/>
      <c r="Z60" s="63">
        <f>'Heat pump, gas engine Brine-wat'!M48</f>
        <v>0</v>
      </c>
      <c r="AA60" s="48">
        <f>'Heat pump, gas engine Brine-wat'!D10</f>
        <v>1.55</v>
      </c>
    </row>
    <row r="61" spans="3:27">
      <c r="D61" s="821"/>
      <c r="E61" s="821"/>
      <c r="G61" s="839" t="s">
        <v>795</v>
      </c>
      <c r="H61" s="48">
        <f>'Heat pump, gas engine Brine-wat'!B11</f>
        <v>2050</v>
      </c>
      <c r="I61" s="48"/>
      <c r="J61" s="105">
        <v>1</v>
      </c>
      <c r="K61" s="48">
        <f>'Heat pump, gas engine Brine-wat'!E11</f>
        <v>20</v>
      </c>
      <c r="L61" s="478">
        <f>'Heat pump, gas engine Brine-wat'!F11</f>
        <v>2.1555234000000003</v>
      </c>
      <c r="M61" s="510">
        <f>'Heat pump, gas engine Brine-wat'!G11</f>
        <v>3.5015000000000004E-2</v>
      </c>
      <c r="N61" s="84">
        <f>'Heat pump, gas engine Brine-wat'!H11</f>
        <v>0</v>
      </c>
      <c r="O61" s="73"/>
      <c r="P61" s="73"/>
      <c r="Q61" s="73"/>
      <c r="R61" s="73">
        <f>'Heat pump, gas engine Brine-wat'!K11</f>
        <v>0</v>
      </c>
      <c r="S61" s="73">
        <f>'Heat pump, gas engine Brine-wat'!L11</f>
        <v>50</v>
      </c>
      <c r="T61" s="73">
        <f>'Heat pump, gas engine Brine-wat'!M11</f>
        <v>5</v>
      </c>
      <c r="U61" s="73" t="str">
        <f>'Heat pump, gas engine Brine-wat'!N11</f>
        <v>-</v>
      </c>
      <c r="V61" s="73" t="str">
        <f>'Heat pump, gas engine Brine-wat'!O11</f>
        <v>-</v>
      </c>
      <c r="W61" s="93"/>
      <c r="Z61" s="63">
        <f>'Heat pump, gas engine Brine-wat'!M49</f>
        <v>0</v>
      </c>
      <c r="AA61" s="48">
        <f>'Heat pump, gas engine Brine-wat'!D11</f>
        <v>1.6</v>
      </c>
    </row>
    <row r="62" spans="3:27">
      <c r="C62" s="53" t="s">
        <v>990</v>
      </c>
      <c r="D62" s="821" t="str">
        <f>Processes!E94</f>
        <v>Commercial heating technology multistorey building - Heat pump,gas adsoption, air-to-water - new 6</v>
      </c>
      <c r="E62" s="821" t="s">
        <v>962</v>
      </c>
      <c r="F62" s="1213" t="str">
        <f>Commodities_VT!$C$40&amp;","&amp;Commodities_VT!$C$41&amp;","&amp;Commodities_VT!$C$15</f>
        <v>COMHUMB,COMHRMB,CWFDEM</v>
      </c>
      <c r="G62" s="839" t="s">
        <v>795</v>
      </c>
      <c r="H62" s="48"/>
      <c r="I62" s="48"/>
      <c r="J62" s="105">
        <v>1</v>
      </c>
      <c r="K62" s="73"/>
      <c r="L62" s="174"/>
      <c r="M62" s="26"/>
      <c r="N62" s="84"/>
      <c r="O62" s="78"/>
      <c r="P62" s="73"/>
      <c r="Q62" s="73"/>
      <c r="R62" s="73"/>
      <c r="S62" s="73"/>
      <c r="T62" s="73"/>
      <c r="U62" s="73"/>
      <c r="V62" s="73"/>
      <c r="W62" s="93"/>
      <c r="Z62" s="63"/>
      <c r="AA62" s="625"/>
    </row>
    <row r="63" spans="3:27">
      <c r="C63" s="53" t="s">
        <v>318</v>
      </c>
      <c r="D63" s="821" t="s">
        <v>318</v>
      </c>
      <c r="E63" s="821"/>
      <c r="G63" s="839" t="s">
        <v>795</v>
      </c>
      <c r="H63" s="48"/>
      <c r="I63" s="48"/>
      <c r="J63" s="105">
        <v>1</v>
      </c>
      <c r="K63" s="73"/>
      <c r="L63" s="174"/>
      <c r="M63" s="26"/>
      <c r="N63" s="84"/>
      <c r="O63" s="73"/>
      <c r="P63" s="73"/>
      <c r="Q63" s="73"/>
      <c r="R63" s="73"/>
      <c r="S63" s="73"/>
      <c r="T63" s="73"/>
      <c r="U63" s="73"/>
      <c r="V63" s="73"/>
      <c r="W63" s="93"/>
      <c r="Z63" s="63"/>
      <c r="AA63" s="625"/>
    </row>
    <row r="64" spans="3:27">
      <c r="C64" s="53" t="s">
        <v>318</v>
      </c>
      <c r="D64" s="821" t="s">
        <v>318</v>
      </c>
      <c r="E64" s="821"/>
      <c r="G64" s="839" t="s">
        <v>795</v>
      </c>
      <c r="H64" s="48"/>
      <c r="I64" s="48"/>
      <c r="J64" s="105">
        <v>1</v>
      </c>
      <c r="K64" s="73"/>
      <c r="L64" s="174"/>
      <c r="M64" s="26"/>
      <c r="N64" s="84"/>
      <c r="O64" s="73"/>
      <c r="P64" s="73"/>
      <c r="Q64" s="73"/>
      <c r="R64" s="73"/>
      <c r="S64" s="73"/>
      <c r="T64" s="73"/>
      <c r="U64" s="73"/>
      <c r="V64" s="73"/>
      <c r="W64" s="93"/>
      <c r="Z64" s="63"/>
      <c r="AA64" s="625"/>
    </row>
    <row r="65" spans="3:27">
      <c r="C65" s="91" t="s">
        <v>318</v>
      </c>
      <c r="D65" s="91" t="s">
        <v>318</v>
      </c>
      <c r="E65" s="91"/>
      <c r="F65" s="91"/>
      <c r="G65" s="839" t="s">
        <v>795</v>
      </c>
      <c r="H65" s="48"/>
      <c r="I65" s="48"/>
      <c r="J65" s="105">
        <v>1</v>
      </c>
      <c r="K65" s="73"/>
      <c r="L65" s="175"/>
      <c r="M65" s="92"/>
      <c r="N65" s="84"/>
      <c r="O65" s="73"/>
      <c r="P65" s="73"/>
      <c r="Q65" s="73"/>
      <c r="R65" s="73"/>
      <c r="S65" s="73"/>
      <c r="T65" s="73"/>
      <c r="U65" s="73"/>
      <c r="V65" s="73"/>
      <c r="W65" s="93"/>
      <c r="Z65" s="63"/>
      <c r="AA65" s="625"/>
    </row>
    <row r="66" spans="3:27">
      <c r="C66" s="112" t="str">
        <f>Processes!D95</f>
        <v>CHTMBHCEBN1</v>
      </c>
      <c r="D66" s="112" t="str">
        <f>Processes!E95</f>
        <v>Commercial heating technology multistorey building - heat exchangers - heat centralised - new 1</v>
      </c>
      <c r="E66" s="42" t="s">
        <v>968</v>
      </c>
      <c r="F66" s="1213" t="str">
        <f>Commodities_VT!$C$36&amp;","&amp;Commodities_VT!$C$15</f>
        <v>COMHUMX,CWFDEM</v>
      </c>
      <c r="G66" s="839" t="s">
        <v>795</v>
      </c>
      <c r="H66" s="46">
        <v>2012</v>
      </c>
      <c r="I66" s="46">
        <v>2022</v>
      </c>
      <c r="J66" s="831">
        <f>'DH substation'!AB8-$J$89</f>
        <v>0.97</v>
      </c>
      <c r="K66" s="46">
        <f>'DH substation'!AC8</f>
        <v>20</v>
      </c>
      <c r="L66" s="83">
        <f>'DH substation'!AD8</f>
        <v>0.52149999999999996</v>
      </c>
      <c r="M66" s="83">
        <f>'DH substation'!AE8</f>
        <v>4.6394875E-3</v>
      </c>
      <c r="N66" s="46">
        <f>'DH substation'!AF8</f>
        <v>0</v>
      </c>
      <c r="O66" s="88">
        <v>3.1536000000000002E-2</v>
      </c>
      <c r="P66" s="89">
        <f>'DH substation'!J8</f>
        <v>0.2</v>
      </c>
      <c r="Q66" s="41"/>
      <c r="R66" s="41"/>
      <c r="S66" s="41"/>
      <c r="T66" s="41"/>
      <c r="U66" s="41"/>
      <c r="V66" s="41"/>
      <c r="W66" s="36"/>
    </row>
    <row r="67" spans="3:27" s="232" customFormat="1">
      <c r="C67" s="112"/>
      <c r="D67" s="112"/>
      <c r="E67" s="821"/>
      <c r="F67" s="94"/>
      <c r="G67" s="839" t="s">
        <v>795</v>
      </c>
      <c r="H67" s="46">
        <f>'DH substation'!Z9</f>
        <v>2020</v>
      </c>
      <c r="I67" s="46"/>
      <c r="J67" s="831">
        <f>'DH substation'!AB9-$J$89</f>
        <v>0.97</v>
      </c>
      <c r="K67" s="46">
        <f>'DH substation'!AC9</f>
        <v>20</v>
      </c>
      <c r="L67" s="83">
        <f>'DH substation'!AD9</f>
        <v>0.50859222475305776</v>
      </c>
      <c r="M67" s="83">
        <f>'DH substation'!AE9</f>
        <v>4.5300656250000012E-3</v>
      </c>
      <c r="N67" s="46">
        <f>'DH substation'!AF9</f>
        <v>0</v>
      </c>
      <c r="O67" s="88"/>
      <c r="P67" s="89"/>
      <c r="Q67" s="41"/>
      <c r="R67" s="41"/>
      <c r="S67" s="41"/>
      <c r="T67" s="41"/>
      <c r="U67" s="41"/>
      <c r="V67" s="41"/>
      <c r="W67" s="36"/>
    </row>
    <row r="68" spans="3:27" s="232" customFormat="1">
      <c r="C68" s="112"/>
      <c r="D68" s="112"/>
      <c r="E68" s="113"/>
      <c r="F68" s="94"/>
      <c r="G68" s="839" t="s">
        <v>795</v>
      </c>
      <c r="H68" s="46">
        <f>'DH substation'!Z10</f>
        <v>2030</v>
      </c>
      <c r="I68" s="46"/>
      <c r="J68" s="831">
        <f>'DH substation'!AB10-$J$89</f>
        <v>0.97</v>
      </c>
      <c r="K68" s="46">
        <f>'DH substation'!AC10</f>
        <v>20</v>
      </c>
      <c r="L68" s="83">
        <f>'DH substation'!AD10</f>
        <v>0.48372721723875806</v>
      </c>
      <c r="M68" s="83">
        <f>'DH substation'!AE10</f>
        <v>4.311221875E-3</v>
      </c>
      <c r="N68" s="46">
        <f>'DH substation'!AF10</f>
        <v>0</v>
      </c>
      <c r="O68" s="88"/>
      <c r="P68" s="89"/>
      <c r="Q68" s="41"/>
      <c r="R68" s="41"/>
      <c r="S68" s="41"/>
      <c r="T68" s="41"/>
      <c r="U68" s="41"/>
      <c r="V68" s="41"/>
      <c r="W68" s="36"/>
    </row>
    <row r="69" spans="3:27" s="232" customFormat="1">
      <c r="C69" s="112"/>
      <c r="D69" s="112"/>
      <c r="E69" s="113"/>
      <c r="F69" s="94"/>
      <c r="G69" s="839" t="s">
        <v>795</v>
      </c>
      <c r="H69" s="46">
        <f>'DH substation'!Z11</f>
        <v>2050</v>
      </c>
      <c r="I69" s="46"/>
      <c r="J69" s="831">
        <f>'DH substation'!AB11-$J$89</f>
        <v>0.97</v>
      </c>
      <c r="K69" s="46">
        <f>'DH substation'!AC11</f>
        <v>20</v>
      </c>
      <c r="L69" s="83">
        <f>'DH substation'!AD11</f>
        <v>0.43758471030825735</v>
      </c>
      <c r="M69" s="83">
        <f>'DH substation'!AE11</f>
        <v>4.0923781249999997E-3</v>
      </c>
      <c r="N69" s="46">
        <f>'DH substation'!AF11</f>
        <v>0</v>
      </c>
      <c r="O69" s="88"/>
      <c r="P69" s="89"/>
      <c r="Q69" s="41"/>
      <c r="R69" s="41"/>
      <c r="S69" s="41"/>
      <c r="T69" s="41"/>
      <c r="U69" s="41"/>
      <c r="V69" s="41"/>
      <c r="W69" s="36"/>
    </row>
    <row r="70" spans="3:27" s="821" customFormat="1">
      <c r="C70" s="112" t="str">
        <f>Processes!D96</f>
        <v>CHTMBHSEBN1</v>
      </c>
      <c r="D70" s="112" t="str">
        <f>Processes!E96</f>
        <v>Commercial heating technology multistorey building - heat exchangers - heat centralised - new 1</v>
      </c>
      <c r="E70" s="42" t="s">
        <v>985</v>
      </c>
      <c r="F70" s="1213" t="str">
        <f>Commodities_VT!$C$36&amp;","&amp;Commodities_VT!$C$15</f>
        <v>COMHUMX,CWFDEM</v>
      </c>
      <c r="G70" s="839" t="s">
        <v>795</v>
      </c>
      <c r="H70" s="46">
        <f t="shared" ref="H70:P70" si="1">H66</f>
        <v>2012</v>
      </c>
      <c r="I70" s="46">
        <v>2022</v>
      </c>
      <c r="J70" s="46">
        <f t="shared" si="1"/>
        <v>0.97</v>
      </c>
      <c r="K70" s="46">
        <f t="shared" si="1"/>
        <v>20</v>
      </c>
      <c r="L70" s="46">
        <f t="shared" si="1"/>
        <v>0.52149999999999996</v>
      </c>
      <c r="M70" s="46">
        <f t="shared" si="1"/>
        <v>4.6394875E-3</v>
      </c>
      <c r="N70" s="46">
        <f t="shared" si="1"/>
        <v>0</v>
      </c>
      <c r="O70" s="46">
        <f t="shared" si="1"/>
        <v>3.1536000000000002E-2</v>
      </c>
      <c r="P70" s="46">
        <f t="shared" si="1"/>
        <v>0.2</v>
      </c>
      <c r="Q70" s="41"/>
      <c r="R70" s="41"/>
      <c r="S70" s="41"/>
      <c r="T70" s="41"/>
      <c r="U70" s="41"/>
      <c r="V70" s="41"/>
      <c r="W70" s="36"/>
    </row>
    <row r="71" spans="3:27" s="821" customFormat="1">
      <c r="C71" s="112"/>
      <c r="D71" s="112"/>
      <c r="F71" s="94"/>
      <c r="G71" s="839" t="s">
        <v>795</v>
      </c>
      <c r="H71" s="46">
        <f>H67</f>
        <v>2020</v>
      </c>
      <c r="I71" s="46"/>
      <c r="J71" s="46">
        <f t="shared" ref="J71:N73" si="2">J67</f>
        <v>0.97</v>
      </c>
      <c r="K71" s="46">
        <f t="shared" si="2"/>
        <v>20</v>
      </c>
      <c r="L71" s="46">
        <f t="shared" si="2"/>
        <v>0.50859222475305776</v>
      </c>
      <c r="M71" s="46">
        <f t="shared" si="2"/>
        <v>4.5300656250000012E-3</v>
      </c>
      <c r="N71" s="46">
        <f t="shared" si="2"/>
        <v>0</v>
      </c>
      <c r="Q71" s="41"/>
      <c r="R71" s="41"/>
      <c r="S71" s="41"/>
      <c r="T71" s="41"/>
      <c r="U71" s="41"/>
      <c r="V71" s="41"/>
      <c r="W71" s="36"/>
    </row>
    <row r="72" spans="3:27" s="821" customFormat="1">
      <c r="C72" s="112"/>
      <c r="D72" s="112"/>
      <c r="E72" s="113"/>
      <c r="F72" s="94"/>
      <c r="G72" s="839" t="s">
        <v>795</v>
      </c>
      <c r="H72" s="46">
        <f>H68</f>
        <v>2030</v>
      </c>
      <c r="I72" s="46"/>
      <c r="J72" s="46">
        <f t="shared" si="2"/>
        <v>0.97</v>
      </c>
      <c r="K72" s="46">
        <f t="shared" si="2"/>
        <v>20</v>
      </c>
      <c r="L72" s="46">
        <f t="shared" si="2"/>
        <v>0.48372721723875806</v>
      </c>
      <c r="M72" s="46">
        <f t="shared" si="2"/>
        <v>4.311221875E-3</v>
      </c>
      <c r="N72" s="46">
        <f t="shared" si="2"/>
        <v>0</v>
      </c>
      <c r="O72" s="90"/>
      <c r="P72" s="115"/>
      <c r="Q72" s="41"/>
      <c r="R72" s="41"/>
      <c r="S72" s="41"/>
      <c r="T72" s="41"/>
      <c r="U72" s="41"/>
      <c r="V72" s="41"/>
      <c r="W72" s="36"/>
    </row>
    <row r="73" spans="3:27" s="821" customFormat="1">
      <c r="C73" s="112"/>
      <c r="D73" s="112"/>
      <c r="E73" s="113"/>
      <c r="F73" s="94"/>
      <c r="G73" s="839" t="s">
        <v>795</v>
      </c>
      <c r="H73" s="46">
        <f>H69</f>
        <v>2050</v>
      </c>
      <c r="I73" s="46"/>
      <c r="J73" s="46">
        <f t="shared" si="2"/>
        <v>0.97</v>
      </c>
      <c r="K73" s="46">
        <f t="shared" si="2"/>
        <v>20</v>
      </c>
      <c r="L73" s="46">
        <f t="shared" si="2"/>
        <v>0.43758471030825735</v>
      </c>
      <c r="M73" s="46">
        <f t="shared" si="2"/>
        <v>4.0923781249999997E-3</v>
      </c>
      <c r="N73" s="46">
        <f t="shared" si="2"/>
        <v>0</v>
      </c>
      <c r="O73" s="90"/>
      <c r="P73" s="115"/>
      <c r="Q73" s="41"/>
      <c r="R73" s="41"/>
      <c r="S73" s="41"/>
      <c r="T73" s="41"/>
      <c r="U73" s="41"/>
      <c r="V73" s="41"/>
      <c r="W73" s="36"/>
    </row>
    <row r="74" spans="3:27">
      <c r="C74" s="129" t="str">
        <f>Processes!D97</f>
        <v>CHTMBHDEBN1</v>
      </c>
      <c r="D74" s="129" t="str">
        <f>Processes!E97</f>
        <v>Commercial heating technology multistorey building - heat exchangers -heat decentralised - new 1</v>
      </c>
      <c r="E74" s="128" t="s">
        <v>969</v>
      </c>
      <c r="F74" s="1213" t="str">
        <f>Commodities_VT!$C$37&amp;","&amp;Commodities_VT!$C$15</f>
        <v>COMHRMX,CWFDEM</v>
      </c>
      <c r="G74" s="839" t="s">
        <v>795</v>
      </c>
      <c r="H74" s="46">
        <f>H66</f>
        <v>2012</v>
      </c>
      <c r="I74" s="46">
        <v>2022</v>
      </c>
      <c r="J74" s="46">
        <f t="shared" ref="J74:O74" si="3">J66</f>
        <v>0.97</v>
      </c>
      <c r="K74" s="46">
        <f t="shared" si="3"/>
        <v>20</v>
      </c>
      <c r="L74" s="83">
        <f t="shared" si="3"/>
        <v>0.52149999999999996</v>
      </c>
      <c r="M74" s="83">
        <f t="shared" si="3"/>
        <v>4.6394875E-3</v>
      </c>
      <c r="N74" s="46">
        <f t="shared" si="3"/>
        <v>0</v>
      </c>
      <c r="O74" s="88">
        <f t="shared" si="3"/>
        <v>3.1536000000000002E-2</v>
      </c>
      <c r="P74" s="89">
        <f>'DH substation'!J8</f>
        <v>0.2</v>
      </c>
      <c r="Q74" s="41"/>
      <c r="R74" s="41"/>
      <c r="S74" s="41"/>
      <c r="T74" s="41"/>
      <c r="U74" s="41"/>
      <c r="V74" s="41"/>
      <c r="W74" s="36"/>
    </row>
    <row r="75" spans="3:27" s="113" customFormat="1">
      <c r="C75" s="112"/>
      <c r="D75" s="112"/>
      <c r="F75" s="94"/>
      <c r="G75" s="839" t="s">
        <v>795</v>
      </c>
      <c r="H75" s="46">
        <f>H67</f>
        <v>2020</v>
      </c>
      <c r="I75" s="46"/>
      <c r="J75" s="46">
        <f t="shared" ref="J75:N77" si="4">J67</f>
        <v>0.97</v>
      </c>
      <c r="K75" s="46">
        <f t="shared" si="4"/>
        <v>20</v>
      </c>
      <c r="L75" s="83">
        <f t="shared" si="4"/>
        <v>0.50859222475305776</v>
      </c>
      <c r="M75" s="83">
        <f t="shared" si="4"/>
        <v>4.5300656250000012E-3</v>
      </c>
      <c r="N75" s="46">
        <f t="shared" si="4"/>
        <v>0</v>
      </c>
      <c r="O75" s="88"/>
      <c r="P75" s="89"/>
    </row>
    <row r="76" spans="3:27" s="113" customFormat="1">
      <c r="C76" s="112"/>
      <c r="D76" s="112"/>
      <c r="F76" s="94"/>
      <c r="G76" s="839" t="s">
        <v>795</v>
      </c>
      <c r="H76" s="46">
        <f>H68</f>
        <v>2030</v>
      </c>
      <c r="I76" s="46"/>
      <c r="J76" s="46">
        <f t="shared" si="4"/>
        <v>0.97</v>
      </c>
      <c r="K76" s="46">
        <f t="shared" si="4"/>
        <v>20</v>
      </c>
      <c r="L76" s="83">
        <f t="shared" si="4"/>
        <v>0.48372721723875806</v>
      </c>
      <c r="M76" s="83">
        <f t="shared" si="4"/>
        <v>4.311221875E-3</v>
      </c>
      <c r="N76" s="46">
        <f t="shared" si="4"/>
        <v>0</v>
      </c>
      <c r="O76" s="88"/>
      <c r="P76" s="89"/>
    </row>
    <row r="77" spans="3:27" s="113" customFormat="1">
      <c r="C77" s="112"/>
      <c r="D77" s="112"/>
      <c r="G77" s="839" t="s">
        <v>795</v>
      </c>
      <c r="H77" s="46">
        <f>H69</f>
        <v>2050</v>
      </c>
      <c r="I77" s="46"/>
      <c r="J77" s="46">
        <f t="shared" si="4"/>
        <v>0.97</v>
      </c>
      <c r="K77" s="46">
        <f t="shared" si="4"/>
        <v>20</v>
      </c>
      <c r="L77" s="83">
        <f t="shared" si="4"/>
        <v>0.43758471030825735</v>
      </c>
      <c r="M77" s="83">
        <f t="shared" si="4"/>
        <v>4.0923781249999997E-3</v>
      </c>
      <c r="N77" s="46">
        <f t="shared" si="4"/>
        <v>0</v>
      </c>
      <c r="O77" s="88"/>
      <c r="P77" s="89"/>
    </row>
    <row r="78" spans="3:27" s="113" customFormat="1">
      <c r="C78" s="116" t="str">
        <f>Processes!D98</f>
        <v>CHTMBHCEBN2</v>
      </c>
      <c r="D78" s="116" t="str">
        <f>Processes!E98</f>
        <v>Commercial heating technology multistorey building -heat exchanger+connect pipe+meter- heat centralised - new 1</v>
      </c>
      <c r="E78" s="128" t="s">
        <v>968</v>
      </c>
      <c r="F78" s="1213" t="str">
        <f>Commodities_VT!$C$36&amp;","&amp;Commodities_VT!$C$15</f>
        <v>COMHUMX,CWFDEM</v>
      </c>
      <c r="G78" s="839" t="s">
        <v>795</v>
      </c>
      <c r="H78" s="46">
        <v>2012</v>
      </c>
      <c r="I78" s="46">
        <v>2022</v>
      </c>
      <c r="J78" s="831">
        <f>'DH substation'!AB8-$J$89</f>
        <v>0.97</v>
      </c>
      <c r="K78" s="46">
        <f>'DH substation'!AC8</f>
        <v>20</v>
      </c>
      <c r="L78" s="83">
        <f>'DH substation'!AJ8</f>
        <v>0.70774999999999999</v>
      </c>
      <c r="M78" s="83">
        <f>'DH substation'!AE8</f>
        <v>4.6394875E-3</v>
      </c>
      <c r="N78" s="46">
        <f>'DH substation'!AF8</f>
        <v>0</v>
      </c>
      <c r="O78" s="88">
        <f>O74</f>
        <v>3.1536000000000002E-2</v>
      </c>
      <c r="P78" s="89">
        <f>P74</f>
        <v>0.2</v>
      </c>
    </row>
    <row r="79" spans="3:27" s="113" customFormat="1">
      <c r="C79" s="112"/>
      <c r="D79" s="112"/>
      <c r="G79" s="839" t="s">
        <v>795</v>
      </c>
      <c r="H79" s="46">
        <f>'DH substation'!Z9</f>
        <v>2020</v>
      </c>
      <c r="I79" s="86"/>
      <c r="J79" s="831">
        <f>'DH substation'!AB9-$J$89</f>
        <v>0.97</v>
      </c>
      <c r="K79" s="46">
        <f>'DH substation'!AC9</f>
        <v>20</v>
      </c>
      <c r="L79" s="83">
        <f>'DH substation'!AJ9</f>
        <v>0.69023230502200694</v>
      </c>
      <c r="M79" s="83">
        <f>'DH substation'!AE9</f>
        <v>4.5300656250000012E-3</v>
      </c>
      <c r="N79" s="46">
        <f>'DH substation'!AF9</f>
        <v>0</v>
      </c>
    </row>
    <row r="80" spans="3:27" s="113" customFormat="1">
      <c r="C80" s="112"/>
      <c r="D80" s="112"/>
      <c r="G80" s="839" t="s">
        <v>795</v>
      </c>
      <c r="H80" s="46">
        <f>'DH substation'!Z10</f>
        <v>2030</v>
      </c>
      <c r="I80" s="86"/>
      <c r="J80" s="831">
        <f>'DH substation'!AB10-$J$89</f>
        <v>0.97</v>
      </c>
      <c r="K80" s="46">
        <f>'DH substation'!AC10</f>
        <v>20</v>
      </c>
      <c r="L80" s="83">
        <f>'DH substation'!AJ10</f>
        <v>0.65648693768117172</v>
      </c>
      <c r="M80" s="83">
        <f>'DH substation'!AE10</f>
        <v>4.311221875E-3</v>
      </c>
      <c r="N80" s="46">
        <f>'DH substation'!AF10</f>
        <v>0</v>
      </c>
    </row>
    <row r="81" spans="2:16" s="113" customFormat="1">
      <c r="C81" s="112"/>
      <c r="D81" s="112"/>
      <c r="G81" s="839" t="s">
        <v>795</v>
      </c>
      <c r="H81" s="46">
        <f>'DH substation'!Z11</f>
        <v>2050</v>
      </c>
      <c r="I81" s="86"/>
      <c r="J81" s="831">
        <f>'DH substation'!AB11-$J$89</f>
        <v>0.97</v>
      </c>
      <c r="K81" s="46">
        <f>'DH substation'!AC11</f>
        <v>20</v>
      </c>
      <c r="L81" s="83">
        <f>'DH substation'!AJ11</f>
        <v>0.59386496398977784</v>
      </c>
      <c r="M81" s="83">
        <f>'DH substation'!AE11</f>
        <v>4.0923781249999997E-3</v>
      </c>
      <c r="N81" s="46">
        <f>'DH substation'!AF11</f>
        <v>0</v>
      </c>
    </row>
    <row r="82" spans="2:16" s="113" customFormat="1">
      <c r="C82" s="116" t="str">
        <f>Processes!D99</f>
        <v>CHTMBHDEBN2</v>
      </c>
      <c r="D82" s="116" t="str">
        <f>Processes!E99</f>
        <v>Commercial heating technology multistorey building -heat exchanger+connect pipe+meter- heat decentralised - new 1</v>
      </c>
      <c r="E82" s="128" t="s">
        <v>969</v>
      </c>
      <c r="F82" s="1213" t="str">
        <f>Commodities_VT!$C$37&amp;","&amp;Commodities_VT!$C$15</f>
        <v>COMHRMX,CWFDEM</v>
      </c>
      <c r="G82" s="839" t="s">
        <v>795</v>
      </c>
      <c r="H82" s="46">
        <f>H78</f>
        <v>2012</v>
      </c>
      <c r="I82" s="46">
        <v>2022</v>
      </c>
      <c r="J82" s="46">
        <f t="shared" ref="J82:O82" si="5">J78</f>
        <v>0.97</v>
      </c>
      <c r="K82" s="46">
        <f t="shared" si="5"/>
        <v>20</v>
      </c>
      <c r="L82" s="83">
        <f t="shared" si="5"/>
        <v>0.70774999999999999</v>
      </c>
      <c r="M82" s="83">
        <f t="shared" si="5"/>
        <v>4.6394875E-3</v>
      </c>
      <c r="N82" s="46">
        <f t="shared" si="5"/>
        <v>0</v>
      </c>
      <c r="O82" s="88">
        <f t="shared" si="5"/>
        <v>3.1536000000000002E-2</v>
      </c>
      <c r="P82" s="89">
        <f>P78</f>
        <v>0.2</v>
      </c>
    </row>
    <row r="83" spans="2:16" s="113" customFormat="1">
      <c r="C83" s="112"/>
      <c r="D83" s="112"/>
      <c r="E83" s="53"/>
      <c r="G83" s="839" t="s">
        <v>795</v>
      </c>
      <c r="H83" s="46">
        <f>H79</f>
        <v>2020</v>
      </c>
      <c r="I83" s="46"/>
      <c r="J83" s="46">
        <f t="shared" ref="J83:N85" si="6">J79</f>
        <v>0.97</v>
      </c>
      <c r="K83" s="46">
        <f t="shared" si="6"/>
        <v>20</v>
      </c>
      <c r="L83" s="83">
        <f t="shared" si="6"/>
        <v>0.69023230502200694</v>
      </c>
      <c r="M83" s="83">
        <f t="shared" si="6"/>
        <v>4.5300656250000012E-3</v>
      </c>
      <c r="N83" s="46">
        <f t="shared" si="6"/>
        <v>0</v>
      </c>
      <c r="O83" s="88"/>
      <c r="P83" s="89"/>
    </row>
    <row r="84" spans="2:16" s="113" customFormat="1">
      <c r="C84" s="112"/>
      <c r="D84" s="112"/>
      <c r="E84" s="53"/>
      <c r="G84" s="839" t="s">
        <v>795</v>
      </c>
      <c r="H84" s="46">
        <f>H80</f>
        <v>2030</v>
      </c>
      <c r="I84" s="46"/>
      <c r="J84" s="46">
        <f t="shared" si="6"/>
        <v>0.97</v>
      </c>
      <c r="K84" s="46">
        <f t="shared" si="6"/>
        <v>20</v>
      </c>
      <c r="L84" s="83">
        <f t="shared" si="6"/>
        <v>0.65648693768117172</v>
      </c>
      <c r="M84" s="83">
        <f t="shared" si="6"/>
        <v>4.311221875E-3</v>
      </c>
      <c r="N84" s="46">
        <f t="shared" si="6"/>
        <v>0</v>
      </c>
      <c r="O84" s="88"/>
      <c r="P84" s="89"/>
    </row>
    <row r="85" spans="2:16" s="113" customFormat="1">
      <c r="C85" s="112"/>
      <c r="D85" s="112"/>
      <c r="E85" s="53"/>
      <c r="G85" s="839" t="s">
        <v>795</v>
      </c>
      <c r="H85" s="46">
        <f>H81</f>
        <v>2050</v>
      </c>
      <c r="I85" s="46"/>
      <c r="J85" s="46">
        <f t="shared" si="6"/>
        <v>0.97</v>
      </c>
      <c r="K85" s="46">
        <f t="shared" si="6"/>
        <v>20</v>
      </c>
      <c r="L85" s="83">
        <f t="shared" si="6"/>
        <v>0.59386496398977784</v>
      </c>
      <c r="M85" s="83">
        <f t="shared" si="6"/>
        <v>4.0923781249999997E-3</v>
      </c>
      <c r="N85" s="46">
        <f t="shared" si="6"/>
        <v>0</v>
      </c>
      <c r="O85" s="88"/>
      <c r="P85" s="89"/>
    </row>
    <row r="86" spans="2:16" s="113" customFormat="1">
      <c r="C86" s="112"/>
      <c r="D86" s="112"/>
      <c r="E86" s="53"/>
      <c r="G86" s="839"/>
      <c r="H86" s="86"/>
      <c r="I86" s="86"/>
      <c r="J86" s="86"/>
      <c r="K86" s="86"/>
      <c r="L86" s="731"/>
      <c r="M86" s="731"/>
      <c r="N86" s="86"/>
    </row>
    <row r="87" spans="2:16" s="113" customFormat="1">
      <c r="C87" s="112"/>
      <c r="D87" s="112"/>
      <c r="E87" s="53"/>
      <c r="G87" s="839"/>
      <c r="K87" s="86"/>
      <c r="L87" s="86"/>
      <c r="M87" s="114"/>
      <c r="N87" s="114"/>
    </row>
    <row r="88" spans="2:16" s="113" customFormat="1">
      <c r="C88" s="112"/>
      <c r="D88" s="112"/>
      <c r="E88" s="53"/>
      <c r="F88" s="90"/>
      <c r="G88" s="839"/>
      <c r="H88" s="115"/>
      <c r="K88" s="86"/>
      <c r="L88" s="86"/>
      <c r="M88" s="114"/>
      <c r="N88" s="114"/>
    </row>
    <row r="89" spans="2:16" s="113" customFormat="1">
      <c r="B89" s="834" t="s">
        <v>786</v>
      </c>
      <c r="C89" s="821"/>
      <c r="D89" s="821"/>
      <c r="E89" s="53"/>
      <c r="F89" s="821"/>
      <c r="G89" s="839"/>
      <c r="H89" s="821"/>
      <c r="I89" s="821"/>
      <c r="J89" s="832">
        <v>0.03</v>
      </c>
      <c r="K89" s="86"/>
      <c r="L89" s="86"/>
      <c r="M89" s="114"/>
      <c r="N89" s="114"/>
    </row>
    <row r="90" spans="2:16">
      <c r="F90" s="113"/>
      <c r="G90" s="113"/>
    </row>
    <row r="96" spans="2:16">
      <c r="J96" s="98"/>
    </row>
    <row r="99" spans="1:15">
      <c r="J99" s="96"/>
    </row>
    <row r="100" spans="1:15">
      <c r="J100" s="98"/>
    </row>
    <row r="101" spans="1:15">
      <c r="J101" s="98"/>
    </row>
    <row r="102" spans="1:15">
      <c r="J102" s="98"/>
    </row>
    <row r="103" spans="1:15">
      <c r="J103" s="98"/>
    </row>
    <row r="104" spans="1:15" s="821" customFormat="1">
      <c r="A104" s="53"/>
      <c r="B104" s="53"/>
      <c r="C104" s="53"/>
      <c r="D104" s="53"/>
      <c r="E104" s="53"/>
      <c r="F104" s="53"/>
      <c r="H104" s="53"/>
      <c r="I104" s="53"/>
      <c r="J104" s="53"/>
      <c r="K104" s="53"/>
    </row>
    <row r="105" spans="1:15" s="821" customFormat="1">
      <c r="A105" s="53"/>
      <c r="B105" s="53"/>
      <c r="C105" s="53"/>
      <c r="D105" s="53"/>
      <c r="E105" s="53"/>
      <c r="F105" s="53"/>
      <c r="H105" s="53"/>
      <c r="I105" s="53"/>
      <c r="J105" s="53"/>
      <c r="K105" s="53"/>
    </row>
    <row r="107" spans="1:15">
      <c r="C107" s="85"/>
    </row>
    <row r="108" spans="1:15">
      <c r="C108" s="85"/>
      <c r="O108" s="70"/>
    </row>
    <row r="109" spans="1:15">
      <c r="O109" s="70"/>
    </row>
    <row r="110" spans="1:15">
      <c r="O110" s="70"/>
    </row>
    <row r="111" spans="1:15">
      <c r="O111" s="70"/>
    </row>
    <row r="112" spans="1:15">
      <c r="L112" s="68"/>
      <c r="M112" s="68"/>
      <c r="O112" s="70"/>
    </row>
    <row r="113" spans="12:15">
      <c r="L113" s="68"/>
      <c r="M113" s="68"/>
      <c r="O113" s="70"/>
    </row>
    <row r="114" spans="12:15">
      <c r="L114" s="68"/>
      <c r="M114" s="68"/>
      <c r="O114" s="70"/>
    </row>
    <row r="115" spans="12:15">
      <c r="L115" s="68"/>
      <c r="M115" s="68"/>
      <c r="O115" s="70"/>
    </row>
    <row r="116" spans="12:15">
      <c r="O116" s="70"/>
    </row>
    <row r="117" spans="12:15">
      <c r="O117" s="70"/>
    </row>
    <row r="118" spans="12:15">
      <c r="O118" s="70"/>
    </row>
    <row r="119" spans="12:15">
      <c r="O119" s="70"/>
    </row>
    <row r="120" spans="12:15">
      <c r="O120" s="70"/>
    </row>
    <row r="121" spans="12:15">
      <c r="O121" s="70"/>
    </row>
    <row r="132" ht="15" customHeight="1"/>
  </sheetData>
  <phoneticPr fontId="82" type="noConversion"/>
  <pageMargins left="0.7" right="0.7" top="0.75" bottom="0.75" header="0.3" footer="0.3"/>
  <pageSetup paperSize="9" orientation="portrait"/>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5FF6B-8444-48BA-B5BB-001ABB20F873}">
  <sheetPr>
    <tabColor theme="8" tint="-0.249977111117893"/>
  </sheetPr>
  <dimension ref="B2:AD78"/>
  <sheetViews>
    <sheetView tabSelected="1" zoomScale="70" zoomScaleNormal="70" workbookViewId="0">
      <selection activeCell="N20" sqref="N20"/>
    </sheetView>
  </sheetViews>
  <sheetFormatPr baseColWidth="10" defaultColWidth="8.83203125" defaultRowHeight="13"/>
  <cols>
    <col min="1" max="1" width="12.5" style="1185" customWidth="1"/>
    <col min="2" max="2" width="16.83203125" style="1185" bestFit="1" customWidth="1"/>
    <col min="3" max="3" width="14.6640625" style="1185" bestFit="1" customWidth="1"/>
    <col min="4" max="4" width="61.6640625" style="1185" bestFit="1" customWidth="1"/>
    <col min="5" max="5" width="5.1640625" style="1185" bestFit="1" customWidth="1"/>
    <col min="6" max="6" width="9.83203125" style="1185" customWidth="1"/>
    <col min="7" max="7" width="10.6640625" style="1185" customWidth="1"/>
    <col min="8" max="8" width="8.5" style="1185" bestFit="1" customWidth="1"/>
    <col min="9" max="9" width="7.6640625" style="1185" bestFit="1" customWidth="1"/>
    <col min="10" max="10" width="6" style="1186" customWidth="1"/>
    <col min="11" max="11" width="3.5" style="1185" customWidth="1"/>
    <col min="12" max="27" width="14.1640625" style="1185" customWidth="1"/>
    <col min="28" max="16384" width="8.83203125" style="1185"/>
  </cols>
  <sheetData>
    <row r="2" spans="2:18" ht="18">
      <c r="B2" s="1184" t="s">
        <v>874</v>
      </c>
      <c r="C2" s="1184" t="s">
        <v>942</v>
      </c>
      <c r="D2" s="1185" t="s">
        <v>943</v>
      </c>
    </row>
    <row r="3" spans="2:18">
      <c r="B3" s="1187"/>
    </row>
    <row r="4" spans="2:18">
      <c r="B4" s="1188"/>
      <c r="C4" s="1189"/>
      <c r="D4" s="1189"/>
      <c r="E4" s="1189"/>
      <c r="F4" s="1189"/>
      <c r="G4" s="1189"/>
      <c r="H4" s="1189"/>
      <c r="I4" s="1189"/>
    </row>
    <row r="5" spans="2:18" ht="60">
      <c r="B5" s="1190" t="s">
        <v>314</v>
      </c>
      <c r="C5" s="1190" t="s">
        <v>312</v>
      </c>
      <c r="D5" s="1190" t="s">
        <v>311</v>
      </c>
      <c r="E5" s="1190" t="s">
        <v>302</v>
      </c>
      <c r="F5" s="1190" t="s">
        <v>310</v>
      </c>
      <c r="G5" s="1190" t="s">
        <v>309</v>
      </c>
      <c r="H5" s="1190" t="s">
        <v>308</v>
      </c>
      <c r="I5" s="1190" t="s">
        <v>307</v>
      </c>
      <c r="J5" s="1191"/>
      <c r="L5" s="1192" t="s">
        <v>875</v>
      </c>
      <c r="M5" s="1192" t="s">
        <v>876</v>
      </c>
      <c r="N5" s="1192" t="s">
        <v>877</v>
      </c>
      <c r="O5" s="1192" t="s">
        <v>0</v>
      </c>
      <c r="P5" s="1192" t="s">
        <v>878</v>
      </c>
      <c r="Q5" s="1192" t="s">
        <v>879</v>
      </c>
      <c r="R5" s="1192" t="s">
        <v>880</v>
      </c>
    </row>
    <row r="6" spans="2:18" ht="24">
      <c r="B6" s="1193" t="s">
        <v>306</v>
      </c>
      <c r="C6" s="1194" t="s">
        <v>304</v>
      </c>
      <c r="D6" s="1194" t="s">
        <v>303</v>
      </c>
      <c r="E6" s="1194" t="s">
        <v>302</v>
      </c>
      <c r="F6" s="1194" t="s">
        <v>301</v>
      </c>
      <c r="G6" s="1194" t="s">
        <v>300</v>
      </c>
      <c r="H6" s="1194" t="s">
        <v>299</v>
      </c>
      <c r="I6" s="1194" t="s">
        <v>298</v>
      </c>
    </row>
    <row r="7" spans="2:18" ht="15">
      <c r="B7" s="1189" t="s">
        <v>881</v>
      </c>
      <c r="C7" s="1195" t="str">
        <f>LEFT($C$2,1)&amp;LEFT(L7,1)&amp;LEFT(N7,1)&amp;LEFT(M7,1)&amp;LEFT(O7,1)&amp;LEFT(P7,1)&amp;Q7</f>
        <v>CHUDB</v>
      </c>
      <c r="D7" s="1196" t="str">
        <f t="shared" ref="D7:D70" si="0">$D$2&amp;" "&amp;L7&amp;" "&amp;N7&amp;" "&amp;M7&amp;" "&amp;O7&amp;" "&amp;P7&amp;" "&amp;R7</f>
        <v>Commercial Heating Urban Detached Building  Demand</v>
      </c>
      <c r="E7" s="1189" t="s">
        <v>882</v>
      </c>
      <c r="F7" s="1189"/>
      <c r="G7" s="1189"/>
      <c r="H7" s="1189"/>
      <c r="I7" s="1189"/>
      <c r="L7" s="1185" t="s">
        <v>883</v>
      </c>
      <c r="M7" s="1185" t="s">
        <v>871</v>
      </c>
      <c r="N7" s="1185" t="s">
        <v>870</v>
      </c>
      <c r="O7" s="1185" t="s">
        <v>876</v>
      </c>
      <c r="R7" s="1185" t="s">
        <v>884</v>
      </c>
    </row>
    <row r="8" spans="2:18" ht="15">
      <c r="B8" s="1189"/>
      <c r="C8" s="1195" t="str">
        <f t="shared" ref="C8:C17" si="1">LEFT($C$2,1)&amp;LEFT(L8,1)&amp;LEFT(N8,1)&amp;LEFT(M8,1)&amp;LEFT(O8,1)&amp;LEFT(P8,1)&amp;Q8</f>
        <v>CHRDB</v>
      </c>
      <c r="D8" s="1196" t="str">
        <f t="shared" si="0"/>
        <v>Commercial Heating Rural Detached Building  Demand</v>
      </c>
      <c r="E8" s="1189" t="s">
        <v>882</v>
      </c>
      <c r="F8" s="1189"/>
      <c r="G8" s="1189"/>
      <c r="H8" s="1189"/>
      <c r="I8" s="1189"/>
      <c r="L8" s="1185" t="s">
        <v>883</v>
      </c>
      <c r="M8" s="1185" t="s">
        <v>871</v>
      </c>
      <c r="N8" s="1185" t="s">
        <v>872</v>
      </c>
      <c r="O8" s="1185" t="s">
        <v>876</v>
      </c>
      <c r="R8" s="1185" t="s">
        <v>884</v>
      </c>
    </row>
    <row r="9" spans="2:18" ht="15">
      <c r="B9" s="1189"/>
      <c r="C9" s="1195" t="str">
        <f t="shared" si="1"/>
        <v>CHUMB</v>
      </c>
      <c r="D9" s="1196" t="str">
        <f t="shared" si="0"/>
        <v>Commercial Heating Urban Multi Building  Demand</v>
      </c>
      <c r="E9" s="1189" t="s">
        <v>882</v>
      </c>
      <c r="F9" s="1189"/>
      <c r="G9" s="1189"/>
      <c r="H9" s="1189"/>
      <c r="I9" s="1189"/>
      <c r="L9" s="1185" t="s">
        <v>883</v>
      </c>
      <c r="M9" s="1185" t="s">
        <v>885</v>
      </c>
      <c r="N9" s="1185" t="s">
        <v>870</v>
      </c>
      <c r="O9" s="1185" t="s">
        <v>876</v>
      </c>
      <c r="R9" s="1185" t="s">
        <v>884</v>
      </c>
    </row>
    <row r="10" spans="2:18" ht="15">
      <c r="B10" s="1197"/>
      <c r="C10" s="1198" t="str">
        <f t="shared" si="1"/>
        <v>CHRMB</v>
      </c>
      <c r="D10" s="1199" t="str">
        <f t="shared" si="0"/>
        <v>Commercial Heating Rural Multi Building  Demand</v>
      </c>
      <c r="E10" s="1197" t="s">
        <v>882</v>
      </c>
      <c r="F10" s="1197"/>
      <c r="G10" s="1197"/>
      <c r="H10" s="1197"/>
      <c r="I10" s="1197"/>
      <c r="J10" s="1200"/>
      <c r="L10" s="1185" t="s">
        <v>883</v>
      </c>
      <c r="M10" s="1185" t="s">
        <v>885</v>
      </c>
      <c r="N10" s="1185" t="s">
        <v>872</v>
      </c>
      <c r="O10" s="1185" t="s">
        <v>876</v>
      </c>
      <c r="R10" s="1185" t="s">
        <v>884</v>
      </c>
    </row>
    <row r="11" spans="2:18" ht="15">
      <c r="B11" s="1189"/>
      <c r="C11" s="1195" t="str">
        <f t="shared" si="1"/>
        <v>CCUDB</v>
      </c>
      <c r="D11" s="1196" t="str">
        <f t="shared" si="0"/>
        <v>Commercial Cooling Urban Detached Building  Demand</v>
      </c>
      <c r="E11" s="1189" t="s">
        <v>882</v>
      </c>
      <c r="F11" s="1189"/>
      <c r="G11" s="1189"/>
      <c r="H11" s="1189"/>
      <c r="I11" s="1189"/>
      <c r="L11" s="1185" t="s">
        <v>886</v>
      </c>
      <c r="M11" s="1185" t="s">
        <v>871</v>
      </c>
      <c r="N11" s="1185" t="s">
        <v>870</v>
      </c>
      <c r="O11" s="1185" t="s">
        <v>876</v>
      </c>
      <c r="R11" s="1185" t="s">
        <v>884</v>
      </c>
    </row>
    <row r="12" spans="2:18" ht="15">
      <c r="B12" s="1189"/>
      <c r="C12" s="1195" t="str">
        <f t="shared" si="1"/>
        <v>CCRDB</v>
      </c>
      <c r="D12" s="1196" t="str">
        <f t="shared" si="0"/>
        <v>Commercial Cooling Rural Detached Building  Demand</v>
      </c>
      <c r="E12" s="1189" t="s">
        <v>882</v>
      </c>
      <c r="F12" s="1189"/>
      <c r="G12" s="1189"/>
      <c r="H12" s="1189"/>
      <c r="I12" s="1189"/>
      <c r="L12" s="1185" t="s">
        <v>886</v>
      </c>
      <c r="M12" s="1185" t="s">
        <v>871</v>
      </c>
      <c r="N12" s="1185" t="s">
        <v>872</v>
      </c>
      <c r="O12" s="1185" t="s">
        <v>876</v>
      </c>
      <c r="R12" s="1185" t="s">
        <v>884</v>
      </c>
    </row>
    <row r="13" spans="2:18" ht="15">
      <c r="B13" s="1189"/>
      <c r="C13" s="1195" t="str">
        <f t="shared" si="1"/>
        <v>CCUMB</v>
      </c>
      <c r="D13" s="1196" t="str">
        <f t="shared" si="0"/>
        <v>Commercial Cooling Urban Multi Building  Demand</v>
      </c>
      <c r="E13" s="1189" t="s">
        <v>882</v>
      </c>
      <c r="F13" s="1189"/>
      <c r="G13" s="1189"/>
      <c r="H13" s="1189"/>
      <c r="I13" s="1189"/>
      <c r="L13" s="1185" t="s">
        <v>886</v>
      </c>
      <c r="M13" s="1185" t="s">
        <v>885</v>
      </c>
      <c r="N13" s="1185" t="s">
        <v>870</v>
      </c>
      <c r="O13" s="1185" t="s">
        <v>876</v>
      </c>
      <c r="R13" s="1185" t="s">
        <v>884</v>
      </c>
    </row>
    <row r="14" spans="2:18" ht="15">
      <c r="B14" s="1197"/>
      <c r="C14" s="1198" t="str">
        <f t="shared" si="1"/>
        <v>CCRMB</v>
      </c>
      <c r="D14" s="1199" t="str">
        <f t="shared" si="0"/>
        <v>Commercial Cooling Rural Multi Building  Demand</v>
      </c>
      <c r="E14" s="1197" t="s">
        <v>882</v>
      </c>
      <c r="F14" s="1197"/>
      <c r="G14" s="1197"/>
      <c r="H14" s="1197"/>
      <c r="I14" s="1197"/>
      <c r="J14" s="1200"/>
      <c r="L14" s="1185" t="s">
        <v>886</v>
      </c>
      <c r="M14" s="1185" t="s">
        <v>885</v>
      </c>
      <c r="N14" s="1185" t="s">
        <v>872</v>
      </c>
      <c r="O14" s="1185" t="s">
        <v>876</v>
      </c>
      <c r="R14" s="1185" t="s">
        <v>884</v>
      </c>
    </row>
    <row r="15" spans="2:18" ht="15">
      <c r="B15" s="1189"/>
      <c r="C15" s="1195" t="str">
        <f>LEFT($C$2,1)&amp;LEFT(L15,1)&amp;LEFT(N15,1)&amp;LEFT(M15,1)&amp;LEFT(O15,1)&amp;LEFT(P15,1)&amp;Q15</f>
        <v>CWFDEM</v>
      </c>
      <c r="D15" s="1201" t="str">
        <f t="shared" si="0"/>
        <v>Commercial Water Hot    FT Demand</v>
      </c>
      <c r="E15" s="1189" t="s">
        <v>317</v>
      </c>
      <c r="F15" s="1189"/>
      <c r="G15" s="1189"/>
      <c r="H15" s="1189"/>
      <c r="I15" s="1189"/>
      <c r="L15" s="1185" t="s">
        <v>887</v>
      </c>
      <c r="P15" s="1185" t="s">
        <v>981</v>
      </c>
      <c r="Q15" s="1185" t="s">
        <v>881</v>
      </c>
      <c r="R15" s="1185" t="s">
        <v>884</v>
      </c>
    </row>
    <row r="16" spans="2:18" ht="15">
      <c r="B16" s="1189"/>
      <c r="C16" s="1195" t="str">
        <f t="shared" si="1"/>
        <v>CADEM</v>
      </c>
      <c r="D16" s="1201" t="str">
        <f t="shared" si="0"/>
        <v>Commercial Appliances     Demand</v>
      </c>
      <c r="E16" s="1189" t="s">
        <v>317</v>
      </c>
      <c r="F16" s="1189"/>
      <c r="G16" s="1189"/>
      <c r="H16" s="1189"/>
      <c r="I16" s="1189"/>
      <c r="L16" s="1185" t="s">
        <v>866</v>
      </c>
      <c r="Q16" s="1185" t="s">
        <v>881</v>
      </c>
      <c r="R16" s="1185" t="s">
        <v>884</v>
      </c>
    </row>
    <row r="17" spans="2:30" ht="15">
      <c r="B17" s="1197"/>
      <c r="C17" s="1198" t="str">
        <f t="shared" si="1"/>
        <v>CFDEM</v>
      </c>
      <c r="D17" s="1199" t="str">
        <f t="shared" si="0"/>
        <v>Commercial Food (cooking)     Demand</v>
      </c>
      <c r="E17" s="1197" t="s">
        <v>317</v>
      </c>
      <c r="F17" s="1197"/>
      <c r="G17" s="1197"/>
      <c r="H17" s="1197"/>
      <c r="I17" s="1197"/>
      <c r="J17" s="1200"/>
      <c r="L17" s="1185" t="s">
        <v>888</v>
      </c>
      <c r="Q17" s="1185" t="s">
        <v>881</v>
      </c>
      <c r="R17" s="1185" t="s">
        <v>884</v>
      </c>
    </row>
    <row r="18" spans="2:30" ht="15" customHeight="1">
      <c r="B18" s="1189" t="s">
        <v>889</v>
      </c>
      <c r="C18" s="1195" t="str">
        <f>$C$2&amp;LEFT(L18,1)&amp;LEFT(N18,1)&amp;LEFT(M18,1)&amp;LEFT(O18,1)&amp;LEFT(P18,1)&amp;Q18</f>
        <v>COMNGA</v>
      </c>
      <c r="D18" s="1189" t="str">
        <f t="shared" si="0"/>
        <v>Commercial      Natural Gas</v>
      </c>
      <c r="E18" s="1189" t="s">
        <v>317</v>
      </c>
      <c r="F18" s="1189"/>
      <c r="G18" s="1189"/>
      <c r="H18" s="1189"/>
      <c r="I18" s="1189"/>
      <c r="Q18" s="1185" t="s">
        <v>890</v>
      </c>
      <c r="R18" s="1185" t="s">
        <v>891</v>
      </c>
    </row>
    <row r="19" spans="2:30" ht="15" customHeight="1">
      <c r="B19" s="1189"/>
      <c r="C19" s="1195" t="str">
        <f t="shared" ref="C19:C77" si="2">$C$2&amp;LEFT(L19,1)&amp;LEFT(N19,1)&amp;LEFT(M19,1)&amp;LEFT(O19,1)&amp;LEFT(P19,1)&amp;Q19</f>
        <v>COMLPG</v>
      </c>
      <c r="D19" s="1189" t="str">
        <f t="shared" si="0"/>
        <v>Commercial      LPG</v>
      </c>
      <c r="E19" s="1189" t="s">
        <v>317</v>
      </c>
      <c r="F19" s="1189"/>
      <c r="G19" s="1189"/>
      <c r="H19" s="1189"/>
      <c r="I19" s="1189"/>
      <c r="Q19" s="1185" t="s">
        <v>892</v>
      </c>
      <c r="R19" s="1185" t="s">
        <v>892</v>
      </c>
    </row>
    <row r="20" spans="2:30" ht="15" customHeight="1">
      <c r="B20" s="1189"/>
      <c r="C20" s="1195" t="str">
        <f t="shared" si="2"/>
        <v>COMDSL</v>
      </c>
      <c r="D20" s="1189" t="str">
        <f t="shared" si="0"/>
        <v>Commercial      Diesel</v>
      </c>
      <c r="E20" s="1189" t="s">
        <v>317</v>
      </c>
      <c r="F20" s="1189"/>
      <c r="G20" s="1189"/>
      <c r="H20" s="1189"/>
      <c r="I20" s="1189"/>
      <c r="Q20" s="1185" t="s">
        <v>893</v>
      </c>
      <c r="R20" s="1185" t="s">
        <v>894</v>
      </c>
    </row>
    <row r="21" spans="2:30" ht="15" customHeight="1">
      <c r="B21" s="1189"/>
      <c r="C21" s="1195" t="str">
        <f t="shared" si="2"/>
        <v>COMGSL</v>
      </c>
      <c r="D21" s="1189" t="str">
        <f t="shared" si="0"/>
        <v>Commercial      Gasoline</v>
      </c>
      <c r="E21" s="1189" t="s">
        <v>317</v>
      </c>
      <c r="F21" s="1189"/>
      <c r="G21" s="1189"/>
      <c r="H21" s="1189"/>
      <c r="I21" s="1189"/>
      <c r="Q21" s="1185" t="s">
        <v>895</v>
      </c>
      <c r="R21" s="1185" t="s">
        <v>896</v>
      </c>
    </row>
    <row r="22" spans="2:30" ht="15" customHeight="1">
      <c r="B22" s="1189"/>
      <c r="C22" s="1195" t="str">
        <f t="shared" si="2"/>
        <v>COMWPE</v>
      </c>
      <c r="D22" s="1189" t="str">
        <f t="shared" si="0"/>
        <v>Commercial      Wood pellets</v>
      </c>
      <c r="E22" s="1189" t="s">
        <v>317</v>
      </c>
      <c r="F22" s="1189"/>
      <c r="G22" s="1189"/>
      <c r="H22" s="1189"/>
      <c r="I22" s="1189"/>
      <c r="Q22" s="1185" t="s">
        <v>897</v>
      </c>
      <c r="R22" s="1185" t="s">
        <v>898</v>
      </c>
    </row>
    <row r="23" spans="2:30" ht="15" customHeight="1">
      <c r="B23" s="1189"/>
      <c r="C23" s="1195" t="str">
        <f t="shared" si="2"/>
        <v>COMFIW</v>
      </c>
      <c r="D23" s="1189" t="str">
        <f t="shared" si="0"/>
        <v>Commercial      Fire wood</v>
      </c>
      <c r="E23" s="1189" t="s">
        <v>317</v>
      </c>
      <c r="F23" s="1189"/>
      <c r="G23" s="1189"/>
      <c r="H23" s="1189"/>
      <c r="I23" s="1189"/>
      <c r="Q23" s="1185" t="s">
        <v>899</v>
      </c>
      <c r="R23" s="1185" t="s">
        <v>900</v>
      </c>
    </row>
    <row r="24" spans="2:30" ht="15" customHeight="1">
      <c r="B24" s="1189"/>
      <c r="C24" s="1195" t="str">
        <f t="shared" si="2"/>
        <v>COMSTR</v>
      </c>
      <c r="D24" s="1189" t="str">
        <f t="shared" si="0"/>
        <v>Commercial      Straw</v>
      </c>
      <c r="E24" s="1189" t="s">
        <v>317</v>
      </c>
      <c r="F24" s="1189"/>
      <c r="G24" s="1189"/>
      <c r="H24" s="1189"/>
      <c r="I24" s="1189"/>
      <c r="Q24" s="1185" t="s">
        <v>901</v>
      </c>
      <c r="R24" s="1185" t="s">
        <v>902</v>
      </c>
    </row>
    <row r="25" spans="2:30" ht="15" customHeight="1">
      <c r="B25" s="1189"/>
      <c r="C25" s="1195" t="str">
        <f t="shared" si="2"/>
        <v>COMH2</v>
      </c>
      <c r="D25" s="1189" t="str">
        <f t="shared" si="0"/>
        <v>Commercial      Hydrogen</v>
      </c>
      <c r="E25" s="1189" t="s">
        <v>317</v>
      </c>
      <c r="F25" s="1189"/>
      <c r="G25" s="1189"/>
      <c r="H25" s="1189"/>
      <c r="I25" s="1189"/>
      <c r="Q25" s="1185" t="s">
        <v>903</v>
      </c>
      <c r="R25" s="1185" t="s">
        <v>904</v>
      </c>
    </row>
    <row r="26" spans="2:30" ht="15" customHeight="1">
      <c r="B26" s="1189"/>
      <c r="C26" s="1195" t="str">
        <f t="shared" si="2"/>
        <v>COMSOL</v>
      </c>
      <c r="D26" s="1189" t="str">
        <f t="shared" si="0"/>
        <v>Commercial      Solar</v>
      </c>
      <c r="E26" s="1189" t="s">
        <v>317</v>
      </c>
      <c r="F26" s="1189"/>
      <c r="G26" s="1189"/>
      <c r="H26" s="1189"/>
      <c r="I26" s="1189"/>
      <c r="Q26" s="1185" t="s">
        <v>905</v>
      </c>
      <c r="R26" s="1185" t="s">
        <v>906</v>
      </c>
    </row>
    <row r="27" spans="2:30" ht="15" customHeight="1">
      <c r="B27" s="1189"/>
      <c r="C27" s="1195" t="str">
        <f t="shared" si="2"/>
        <v>COMELCH</v>
      </c>
      <c r="D27" s="1189" t="str">
        <f t="shared" si="0"/>
        <v>Commercial      Electricity Heating</v>
      </c>
      <c r="E27" s="1189" t="s">
        <v>317</v>
      </c>
      <c r="F27" s="1189"/>
      <c r="G27" s="1189" t="s">
        <v>352</v>
      </c>
      <c r="H27" s="1189"/>
      <c r="I27" s="1189" t="s">
        <v>907</v>
      </c>
      <c r="Q27" s="1185" t="s">
        <v>908</v>
      </c>
      <c r="R27" s="1185" t="s">
        <v>909</v>
      </c>
    </row>
    <row r="28" spans="2:30" ht="15" customHeight="1">
      <c r="B28" s="1189"/>
      <c r="C28" s="1195" t="str">
        <f t="shared" si="2"/>
        <v>COMELCC</v>
      </c>
      <c r="D28" s="1189" t="str">
        <f t="shared" si="0"/>
        <v>Commercial      Electricity Cooling</v>
      </c>
      <c r="E28" s="1189" t="s">
        <v>317</v>
      </c>
      <c r="F28" s="1189"/>
      <c r="G28" s="1189" t="s">
        <v>352</v>
      </c>
      <c r="H28" s="1189"/>
      <c r="I28" s="1189" t="s">
        <v>907</v>
      </c>
      <c r="Q28" s="1185" t="s">
        <v>910</v>
      </c>
      <c r="R28" s="1185" t="s">
        <v>911</v>
      </c>
    </row>
    <row r="29" spans="2:30" ht="15" customHeight="1">
      <c r="B29" s="1189"/>
      <c r="C29" s="1195" t="str">
        <f t="shared" si="2"/>
        <v>COMELCA</v>
      </c>
      <c r="D29" s="1189" t="str">
        <f t="shared" si="0"/>
        <v>Commercial      Electricity Appliances</v>
      </c>
      <c r="E29" s="1189" t="s">
        <v>317</v>
      </c>
      <c r="F29" s="1189"/>
      <c r="G29" s="1189" t="s">
        <v>352</v>
      </c>
      <c r="H29" s="1189"/>
      <c r="I29" s="1189" t="s">
        <v>907</v>
      </c>
      <c r="Q29" s="1185" t="s">
        <v>912</v>
      </c>
      <c r="R29" s="1185" t="s">
        <v>913</v>
      </c>
    </row>
    <row r="30" spans="2:30" ht="15" customHeight="1">
      <c r="B30" s="1189"/>
      <c r="C30" s="1195" t="str">
        <f t="shared" si="2"/>
        <v>COMHCE</v>
      </c>
      <c r="D30" s="1189" t="str">
        <f t="shared" si="0"/>
        <v>Commercial      District heating Central</v>
      </c>
      <c r="E30" s="1189" t="s">
        <v>317</v>
      </c>
      <c r="F30" s="1189"/>
      <c r="G30" s="1189" t="s">
        <v>352</v>
      </c>
      <c r="H30" s="1189"/>
      <c r="I30" s="1189"/>
      <c r="Q30" s="1185" t="s">
        <v>914</v>
      </c>
      <c r="R30" s="1185" t="s">
        <v>915</v>
      </c>
    </row>
    <row r="31" spans="2:30" ht="15" customHeight="1">
      <c r="B31" s="1189"/>
      <c r="C31" s="1195" t="str">
        <f t="shared" si="2"/>
        <v>COMHDE</v>
      </c>
      <c r="D31" s="1189" t="str">
        <f t="shared" si="0"/>
        <v>Commercial      District heating Decentral</v>
      </c>
      <c r="E31" s="1189" t="s">
        <v>317</v>
      </c>
      <c r="F31" s="1189"/>
      <c r="G31" s="1189" t="s">
        <v>352</v>
      </c>
      <c r="H31" s="1189"/>
      <c r="I31" s="1189"/>
      <c r="Q31" s="1185" t="s">
        <v>916</v>
      </c>
      <c r="R31" s="1185" t="s">
        <v>917</v>
      </c>
    </row>
    <row r="32" spans="2:30" ht="15" customHeight="1">
      <c r="B32" s="1189"/>
      <c r="C32" s="1195" t="str">
        <f t="shared" si="2"/>
        <v>COMSNG</v>
      </c>
      <c r="D32" s="1189" t="str">
        <f t="shared" si="0"/>
        <v>Commercial      Synthetic Natural Gas</v>
      </c>
      <c r="E32" s="1189" t="s">
        <v>317</v>
      </c>
      <c r="F32" s="1189"/>
      <c r="G32" s="1189"/>
      <c r="H32" s="1189"/>
      <c r="I32" s="1189"/>
      <c r="Q32" s="1185" t="s">
        <v>918</v>
      </c>
      <c r="R32" s="1185" t="s">
        <v>919</v>
      </c>
      <c r="AD32" s="1185" t="s">
        <v>920</v>
      </c>
    </row>
    <row r="33" spans="2:30" ht="15" customHeight="1">
      <c r="B33" s="1189"/>
      <c r="C33" s="1195" t="str">
        <f t="shared" si="2"/>
        <v>COMDSB</v>
      </c>
      <c r="D33" s="1189" t="str">
        <f t="shared" si="0"/>
        <v>Commercial      Renewable Diesel</v>
      </c>
      <c r="E33" s="1189" t="s">
        <v>317</v>
      </c>
      <c r="F33" s="1189"/>
      <c r="G33" s="1189"/>
      <c r="H33" s="1189"/>
      <c r="I33" s="1189"/>
      <c r="Q33" s="1185" t="s">
        <v>921</v>
      </c>
      <c r="R33" s="1185" t="s">
        <v>922</v>
      </c>
      <c r="AD33" s="1185" t="s">
        <v>923</v>
      </c>
    </row>
    <row r="34" spans="2:30" ht="15" customHeight="1">
      <c r="B34" s="1189"/>
      <c r="C34" s="1195" t="str">
        <f t="shared" si="2"/>
        <v>COMHUDX</v>
      </c>
      <c r="D34" s="1189" t="str">
        <f t="shared" si="0"/>
        <v xml:space="preserve">Commercial Heating Urban Detached Xhanger DH  </v>
      </c>
      <c r="E34" s="1189" t="s">
        <v>317</v>
      </c>
      <c r="F34" s="1189"/>
      <c r="G34" s="1202" t="s">
        <v>352</v>
      </c>
      <c r="H34" s="1189"/>
      <c r="I34" s="1189"/>
      <c r="L34" s="1185" t="s">
        <v>883</v>
      </c>
      <c r="M34" s="1185" t="s">
        <v>871</v>
      </c>
      <c r="N34" s="1185" t="s">
        <v>870</v>
      </c>
      <c r="O34" s="1185" t="s">
        <v>924</v>
      </c>
      <c r="AD34" s="1185" t="s">
        <v>925</v>
      </c>
    </row>
    <row r="35" spans="2:30" ht="15" customHeight="1">
      <c r="B35" s="1189"/>
      <c r="C35" s="1195" t="str">
        <f t="shared" si="2"/>
        <v>COMHRDX</v>
      </c>
      <c r="D35" s="1189" t="str">
        <f t="shared" si="0"/>
        <v xml:space="preserve">Commercial Heating Rural Detached Xhanger DH  </v>
      </c>
      <c r="E35" s="1189" t="s">
        <v>317</v>
      </c>
      <c r="F35" s="1189"/>
      <c r="G35" s="1202" t="s">
        <v>352</v>
      </c>
      <c r="H35" s="1189"/>
      <c r="I35" s="1189"/>
      <c r="L35" s="1185" t="s">
        <v>883</v>
      </c>
      <c r="M35" s="1185" t="s">
        <v>871</v>
      </c>
      <c r="N35" s="1185" t="s">
        <v>872</v>
      </c>
      <c r="O35" s="1185" t="s">
        <v>924</v>
      </c>
    </row>
    <row r="36" spans="2:30" ht="15" customHeight="1">
      <c r="B36" s="1189"/>
      <c r="C36" s="1195" t="str">
        <f t="shared" si="2"/>
        <v>COMHUMX</v>
      </c>
      <c r="D36" s="1189" t="str">
        <f t="shared" si="0"/>
        <v xml:space="preserve">Commercial Heating Urban Multi Xhanger DH  </v>
      </c>
      <c r="E36" s="1189" t="s">
        <v>317</v>
      </c>
      <c r="F36" s="1189"/>
      <c r="G36" s="1202" t="s">
        <v>352</v>
      </c>
      <c r="H36" s="1189"/>
      <c r="I36" s="1189"/>
      <c r="L36" s="1185" t="s">
        <v>883</v>
      </c>
      <c r="M36" s="1185" t="s">
        <v>885</v>
      </c>
      <c r="N36" s="1185" t="s">
        <v>870</v>
      </c>
      <c r="O36" s="1185" t="s">
        <v>924</v>
      </c>
    </row>
    <row r="37" spans="2:30" ht="15" customHeight="1">
      <c r="B37" s="1189"/>
      <c r="C37" s="1195" t="str">
        <f t="shared" si="2"/>
        <v>COMHRMX</v>
      </c>
      <c r="D37" s="1189" t="str">
        <f t="shared" si="0"/>
        <v xml:space="preserve">Commercial Heating Rural Multi Xhanger DH  </v>
      </c>
      <c r="E37" s="1189" t="s">
        <v>317</v>
      </c>
      <c r="F37" s="1189"/>
      <c r="G37" s="1202" t="s">
        <v>352</v>
      </c>
      <c r="H37" s="1189"/>
      <c r="I37" s="1189"/>
      <c r="L37" s="1185" t="s">
        <v>883</v>
      </c>
      <c r="M37" s="1185" t="s">
        <v>885</v>
      </c>
      <c r="N37" s="1185" t="s">
        <v>872</v>
      </c>
      <c r="O37" s="1185" t="s">
        <v>924</v>
      </c>
    </row>
    <row r="38" spans="2:30" ht="15" customHeight="1">
      <c r="B38" s="1189"/>
      <c r="C38" s="1195" t="str">
        <f t="shared" si="2"/>
        <v>COMHUDB</v>
      </c>
      <c r="D38" s="1189" t="str">
        <f t="shared" si="0"/>
        <v xml:space="preserve">Commercial Heating Urban Detached Boilers  </v>
      </c>
      <c r="E38" s="1189" t="s">
        <v>317</v>
      </c>
      <c r="F38" s="1189"/>
      <c r="G38" s="1202" t="s">
        <v>352</v>
      </c>
      <c r="H38" s="1189"/>
      <c r="I38" s="1189"/>
      <c r="L38" s="1185" t="s">
        <v>883</v>
      </c>
      <c r="M38" s="1185" t="s">
        <v>871</v>
      </c>
      <c r="N38" s="1185" t="s">
        <v>870</v>
      </c>
      <c r="O38" s="1185" t="s">
        <v>926</v>
      </c>
    </row>
    <row r="39" spans="2:30" ht="15" customHeight="1">
      <c r="B39" s="1189"/>
      <c r="C39" s="1195" t="str">
        <f t="shared" si="2"/>
        <v>COMHRDB</v>
      </c>
      <c r="D39" s="1189" t="str">
        <f>$D$2&amp;" "&amp;L39&amp;" "&amp;N39&amp;" "&amp;M39&amp;" "&amp;O39&amp;" "&amp;P39&amp;" "&amp;[7]Buildings_DR!D9</f>
        <v>Commercial Heating Rural Detached Boilers  RESHUDX,RESHUDB,RESHUDBE,RESHUDSL</v>
      </c>
      <c r="E39" s="1189" t="s">
        <v>317</v>
      </c>
      <c r="F39" s="1189"/>
      <c r="G39" s="1202" t="s">
        <v>352</v>
      </c>
      <c r="H39" s="1189"/>
      <c r="I39" s="1189"/>
      <c r="L39" s="1185" t="s">
        <v>883</v>
      </c>
      <c r="M39" s="1185" t="s">
        <v>871</v>
      </c>
      <c r="N39" s="1185" t="s">
        <v>872</v>
      </c>
      <c r="O39" s="1185" t="s">
        <v>926</v>
      </c>
    </row>
    <row r="40" spans="2:30" ht="15" customHeight="1">
      <c r="B40" s="1189"/>
      <c r="C40" s="1195" t="str">
        <f t="shared" si="2"/>
        <v>COMHUMB</v>
      </c>
      <c r="D40" s="1189" t="str">
        <f>$D$2&amp;" "&amp;L40&amp;" "&amp;N40&amp;" "&amp;M40&amp;" "&amp;O40&amp;" "&amp;P40&amp;" "&amp;[7]Buildings_DR!D10</f>
        <v>Commercial Heating Urban Multi Boilers  RESHUDX,RESHUDB,RESHUDBE,RESHUDSM</v>
      </c>
      <c r="E40" s="1189" t="s">
        <v>317</v>
      </c>
      <c r="F40" s="1189"/>
      <c r="G40" s="1202" t="s">
        <v>352</v>
      </c>
      <c r="H40" s="1189"/>
      <c r="I40" s="1189"/>
      <c r="L40" s="1185" t="s">
        <v>883</v>
      </c>
      <c r="M40" s="1185" t="s">
        <v>885</v>
      </c>
      <c r="N40" s="1185" t="s">
        <v>870</v>
      </c>
      <c r="O40" s="1185" t="s">
        <v>926</v>
      </c>
    </row>
    <row r="41" spans="2:30" ht="15" customHeight="1">
      <c r="B41" s="1189"/>
      <c r="C41" s="1195" t="str">
        <f t="shared" si="2"/>
        <v>COMHRMB</v>
      </c>
      <c r="D41" s="1189" t="str">
        <f>$D$2&amp;" "&amp;L41&amp;" "&amp;N41&amp;" "&amp;M41&amp;" "&amp;O41&amp;" "&amp;P41&amp;" "&amp;[7]Buildings_DR!D11</f>
        <v>Commercial Heating Rural Multi Boilers  RESHUDX,RESHUDB,RESHUDBE,RESHUDSH</v>
      </c>
      <c r="E41" s="1189" t="s">
        <v>317</v>
      </c>
      <c r="F41" s="1189"/>
      <c r="G41" s="1202" t="s">
        <v>352</v>
      </c>
      <c r="H41" s="1189"/>
      <c r="I41" s="1189"/>
      <c r="L41" s="1185" t="s">
        <v>883</v>
      </c>
      <c r="M41" s="1185" t="s">
        <v>885</v>
      </c>
      <c r="N41" s="1185" t="s">
        <v>872</v>
      </c>
      <c r="O41" s="1185" t="s">
        <v>926</v>
      </c>
    </row>
    <row r="42" spans="2:30" ht="15" customHeight="1">
      <c r="B42" s="1189"/>
      <c r="C42" s="1195" t="str">
        <f t="shared" si="2"/>
        <v>COMHUDBE</v>
      </c>
      <c r="D42" s="1189" t="str">
        <f>$D$2&amp;" "&amp;L42&amp;" "&amp;N42&amp;" "&amp;M42&amp;" "&amp;O42&amp;" "&amp;P42&amp;" "&amp;[7]Buildings_DR!D16</f>
        <v>Commercial Heating Urban Detached Boilers Existing buildings RESHRDX,RESHRDB,RESHRDBE,RESHRDSL</v>
      </c>
      <c r="E42" s="1189" t="s">
        <v>317</v>
      </c>
      <c r="F42" s="1189"/>
      <c r="G42" s="1202" t="s">
        <v>352</v>
      </c>
      <c r="H42" s="1189"/>
      <c r="I42" s="1189"/>
      <c r="L42" s="1185" t="s">
        <v>883</v>
      </c>
      <c r="M42" s="1185" t="s">
        <v>871</v>
      </c>
      <c r="N42" s="1185" t="s">
        <v>870</v>
      </c>
      <c r="O42" s="1185" t="s">
        <v>926</v>
      </c>
      <c r="P42" s="1185" t="s">
        <v>927</v>
      </c>
    </row>
    <row r="43" spans="2:30" ht="15" customHeight="1">
      <c r="B43" s="1189"/>
      <c r="C43" s="1195" t="str">
        <f t="shared" si="2"/>
        <v>COMHRDBE</v>
      </c>
      <c r="D43" s="1189" t="str">
        <f t="shared" si="0"/>
        <v xml:space="preserve">Commercial Heating Rural Detached Boilers Existing buildings </v>
      </c>
      <c r="E43" s="1189" t="s">
        <v>317</v>
      </c>
      <c r="F43" s="1189"/>
      <c r="G43" s="1202" t="s">
        <v>352</v>
      </c>
      <c r="H43" s="1189"/>
      <c r="I43" s="1189"/>
      <c r="L43" s="1185" t="s">
        <v>883</v>
      </c>
      <c r="M43" s="1185" t="s">
        <v>871</v>
      </c>
      <c r="N43" s="1185" t="s">
        <v>872</v>
      </c>
      <c r="O43" s="1185" t="s">
        <v>926</v>
      </c>
      <c r="P43" s="1185" t="s">
        <v>927</v>
      </c>
    </row>
    <row r="44" spans="2:30" ht="15" customHeight="1">
      <c r="B44" s="1189"/>
      <c r="C44" s="1195" t="str">
        <f t="shared" si="2"/>
        <v>COMHUMBE</v>
      </c>
      <c r="D44" s="1189" t="str">
        <f t="shared" si="0"/>
        <v xml:space="preserve">Commercial Heating Urban Multi Boilers Existing buildings </v>
      </c>
      <c r="E44" s="1189" t="s">
        <v>317</v>
      </c>
      <c r="F44" s="1189"/>
      <c r="G44" s="1202" t="s">
        <v>352</v>
      </c>
      <c r="H44" s="1189"/>
      <c r="I44" s="1189"/>
      <c r="L44" s="1185" t="s">
        <v>883</v>
      </c>
      <c r="M44" s="1185" t="s">
        <v>885</v>
      </c>
      <c r="N44" s="1185" t="s">
        <v>870</v>
      </c>
      <c r="O44" s="1185" t="s">
        <v>926</v>
      </c>
      <c r="P44" s="1185" t="s">
        <v>927</v>
      </c>
    </row>
    <row r="45" spans="2:30" ht="15" customHeight="1">
      <c r="B45" s="1189"/>
      <c r="C45" s="1195" t="str">
        <f t="shared" si="2"/>
        <v>COMHRMBE</v>
      </c>
      <c r="D45" s="1189" t="str">
        <f t="shared" si="0"/>
        <v xml:space="preserve">Commercial Heating Rural Multi Boilers Existing buildings </v>
      </c>
      <c r="E45" s="1189" t="s">
        <v>317</v>
      </c>
      <c r="F45" s="1189"/>
      <c r="G45" s="1202" t="s">
        <v>352</v>
      </c>
      <c r="H45" s="1189"/>
      <c r="I45" s="1189"/>
      <c r="L45" s="1185" t="s">
        <v>883</v>
      </c>
      <c r="M45" s="1185" t="s">
        <v>885</v>
      </c>
      <c r="N45" s="1185" t="s">
        <v>872</v>
      </c>
      <c r="O45" s="1185" t="s">
        <v>926</v>
      </c>
      <c r="P45" s="1185" t="s">
        <v>927</v>
      </c>
    </row>
    <row r="46" spans="2:30" ht="15" customHeight="1">
      <c r="B46" s="1189"/>
      <c r="C46" s="1195" t="str">
        <f t="shared" si="2"/>
        <v>COMHUDBN</v>
      </c>
      <c r="D46" s="1189" t="str">
        <f t="shared" si="0"/>
        <v xml:space="preserve">Commercial Heating Urban Detached Boilers New buildings </v>
      </c>
      <c r="E46" s="1189" t="s">
        <v>317</v>
      </c>
      <c r="F46" s="1189"/>
      <c r="G46" s="1202" t="s">
        <v>352</v>
      </c>
      <c r="H46" s="1189"/>
      <c r="I46" s="1189"/>
      <c r="L46" s="1185" t="s">
        <v>883</v>
      </c>
      <c r="M46" s="1185" t="s">
        <v>871</v>
      </c>
      <c r="N46" s="1185" t="s">
        <v>870</v>
      </c>
      <c r="O46" s="1185" t="s">
        <v>926</v>
      </c>
      <c r="P46" s="1185" t="s">
        <v>928</v>
      </c>
    </row>
    <row r="47" spans="2:30" ht="15" customHeight="1">
      <c r="B47" s="1189"/>
      <c r="C47" s="1195" t="str">
        <f t="shared" si="2"/>
        <v>COMHRDBN</v>
      </c>
      <c r="D47" s="1189" t="str">
        <f t="shared" si="0"/>
        <v xml:space="preserve">Commercial Heating Rural Detached Boilers New buildings </v>
      </c>
      <c r="E47" s="1189" t="s">
        <v>317</v>
      </c>
      <c r="F47" s="1189"/>
      <c r="G47" s="1202" t="s">
        <v>352</v>
      </c>
      <c r="H47" s="1189"/>
      <c r="I47" s="1189"/>
      <c r="L47" s="1185" t="s">
        <v>883</v>
      </c>
      <c r="M47" s="1185" t="s">
        <v>871</v>
      </c>
      <c r="N47" s="1185" t="s">
        <v>872</v>
      </c>
      <c r="O47" s="1185" t="s">
        <v>926</v>
      </c>
      <c r="P47" s="1185" t="s">
        <v>928</v>
      </c>
    </row>
    <row r="48" spans="2:30" ht="15" customHeight="1">
      <c r="B48" s="1189"/>
      <c r="C48" s="1195" t="str">
        <f t="shared" si="2"/>
        <v>COMHUMBN</v>
      </c>
      <c r="D48" s="1189" t="str">
        <f t="shared" si="0"/>
        <v xml:space="preserve">Commercial Heating Urban Multi Boilers New buildings </v>
      </c>
      <c r="E48" s="1189" t="s">
        <v>317</v>
      </c>
      <c r="F48" s="1189"/>
      <c r="G48" s="1202" t="s">
        <v>352</v>
      </c>
      <c r="H48" s="1189"/>
      <c r="I48" s="1189"/>
      <c r="L48" s="1185" t="s">
        <v>883</v>
      </c>
      <c r="M48" s="1185" t="s">
        <v>885</v>
      </c>
      <c r="N48" s="1185" t="s">
        <v>870</v>
      </c>
      <c r="O48" s="1185" t="s">
        <v>926</v>
      </c>
      <c r="P48" s="1185" t="s">
        <v>928</v>
      </c>
    </row>
    <row r="49" spans="2:27" ht="15" customHeight="1">
      <c r="B49" s="1197"/>
      <c r="C49" s="1198" t="str">
        <f t="shared" si="2"/>
        <v>COMHRMBN</v>
      </c>
      <c r="D49" s="1197" t="str">
        <f t="shared" si="0"/>
        <v xml:space="preserve">Commercial Heating Rural Multi Boilers New buildings </v>
      </c>
      <c r="E49" s="1197" t="s">
        <v>317</v>
      </c>
      <c r="F49" s="1197"/>
      <c r="G49" s="1203" t="s">
        <v>352</v>
      </c>
      <c r="H49" s="1197"/>
      <c r="I49" s="1197"/>
      <c r="J49" s="1200"/>
      <c r="L49" s="1185" t="s">
        <v>883</v>
      </c>
      <c r="M49" s="1185" t="s">
        <v>885</v>
      </c>
      <c r="N49" s="1185" t="s">
        <v>872</v>
      </c>
      <c r="O49" s="1185" t="s">
        <v>926</v>
      </c>
      <c r="P49" s="1185" t="s">
        <v>928</v>
      </c>
    </row>
    <row r="50" spans="2:27" ht="15" customHeight="1">
      <c r="B50" s="1189"/>
      <c r="C50" s="1195" t="str">
        <f t="shared" si="2"/>
        <v>COMCUDB</v>
      </c>
      <c r="D50" s="1189" t="str">
        <f t="shared" si="0"/>
        <v xml:space="preserve">Commercial Cooling Urban Detached Boilers  </v>
      </c>
      <c r="E50" s="1189" t="s">
        <v>317</v>
      </c>
      <c r="F50" s="1189"/>
      <c r="G50" s="1202" t="s">
        <v>352</v>
      </c>
      <c r="H50" s="1189"/>
      <c r="I50" s="1189"/>
      <c r="L50" s="1185" t="s">
        <v>886</v>
      </c>
      <c r="M50" s="1185" t="s">
        <v>871</v>
      </c>
      <c r="N50" s="1185" t="s">
        <v>870</v>
      </c>
      <c r="O50" s="1185" t="s">
        <v>926</v>
      </c>
    </row>
    <row r="51" spans="2:27" ht="15" customHeight="1">
      <c r="B51" s="1189"/>
      <c r="C51" s="1195" t="str">
        <f t="shared" si="2"/>
        <v>COMCRDB</v>
      </c>
      <c r="D51" s="1189" t="str">
        <f t="shared" si="0"/>
        <v xml:space="preserve">Commercial Cooling Rural Detached Boilers  </v>
      </c>
      <c r="E51" s="1189" t="s">
        <v>317</v>
      </c>
      <c r="F51" s="1189"/>
      <c r="G51" s="1202" t="s">
        <v>352</v>
      </c>
      <c r="H51" s="1189"/>
      <c r="I51" s="1189"/>
      <c r="L51" s="1185" t="s">
        <v>886</v>
      </c>
      <c r="M51" s="1185" t="s">
        <v>871</v>
      </c>
      <c r="N51" s="1185" t="s">
        <v>872</v>
      </c>
      <c r="O51" s="1185" t="s">
        <v>926</v>
      </c>
    </row>
    <row r="52" spans="2:27" ht="15" customHeight="1">
      <c r="B52" s="1189"/>
      <c r="C52" s="1195" t="str">
        <f t="shared" si="2"/>
        <v>COMCUMB</v>
      </c>
      <c r="D52" s="1189" t="str">
        <f t="shared" si="0"/>
        <v xml:space="preserve">Commercial Cooling Urban Multi Boilers  </v>
      </c>
      <c r="E52" s="1189" t="s">
        <v>317</v>
      </c>
      <c r="F52" s="1189"/>
      <c r="G52" s="1202" t="s">
        <v>352</v>
      </c>
      <c r="H52" s="1189"/>
      <c r="I52" s="1189"/>
      <c r="L52" s="1185" t="s">
        <v>886</v>
      </c>
      <c r="M52" s="1185" t="s">
        <v>885</v>
      </c>
      <c r="N52" s="1185" t="s">
        <v>870</v>
      </c>
      <c r="O52" s="1185" t="s">
        <v>926</v>
      </c>
    </row>
    <row r="53" spans="2:27" ht="15" customHeight="1" thickBot="1">
      <c r="B53" s="1189"/>
      <c r="C53" s="1195" t="str">
        <f t="shared" si="2"/>
        <v>COMCRMB</v>
      </c>
      <c r="D53" s="1189" t="str">
        <f t="shared" si="0"/>
        <v xml:space="preserve">Commercial Cooling Rural Multi Boilers  </v>
      </c>
      <c r="E53" s="1189" t="s">
        <v>317</v>
      </c>
      <c r="F53" s="1189"/>
      <c r="G53" s="1202" t="s">
        <v>352</v>
      </c>
      <c r="H53" s="1189"/>
      <c r="I53" s="1189"/>
      <c r="L53" s="1185" t="s">
        <v>886</v>
      </c>
      <c r="M53" s="1185" t="s">
        <v>885</v>
      </c>
      <c r="N53" s="1185" t="s">
        <v>872</v>
      </c>
      <c r="O53" s="1185" t="s">
        <v>926</v>
      </c>
    </row>
    <row r="54" spans="2:27" ht="15" customHeight="1">
      <c r="B54" s="1204"/>
      <c r="C54" s="1195" t="str">
        <f t="shared" si="2"/>
        <v>COMHUDSL</v>
      </c>
      <c r="D54" s="1204" t="str">
        <f t="shared" si="0"/>
        <v xml:space="preserve">Commercial Heating Urban Detached Savings Low </v>
      </c>
      <c r="E54" s="1204" t="s">
        <v>317</v>
      </c>
      <c r="F54" s="1204" t="s">
        <v>929</v>
      </c>
      <c r="G54" s="1204" t="s">
        <v>352</v>
      </c>
      <c r="H54" s="1204"/>
      <c r="I54" s="1204"/>
      <c r="J54" s="1205"/>
      <c r="K54" s="1206"/>
      <c r="L54" s="1185" t="s">
        <v>883</v>
      </c>
      <c r="M54" s="1185" t="s">
        <v>871</v>
      </c>
      <c r="N54" s="1185" t="s">
        <v>870</v>
      </c>
      <c r="O54" s="1185" t="s">
        <v>930</v>
      </c>
      <c r="P54" s="1185" t="s">
        <v>931</v>
      </c>
      <c r="Q54" s="1206"/>
      <c r="R54" s="1206"/>
      <c r="S54" s="1206"/>
      <c r="T54" s="1206"/>
      <c r="V54" s="1206"/>
      <c r="W54" s="1206"/>
      <c r="X54" s="1206"/>
      <c r="Y54" s="1206"/>
      <c r="Z54" s="1206"/>
      <c r="AA54" s="1206"/>
    </row>
    <row r="55" spans="2:27" ht="15" customHeight="1">
      <c r="B55" s="1189"/>
      <c r="C55" s="1195" t="str">
        <f t="shared" si="2"/>
        <v>COMHUDSM</v>
      </c>
      <c r="D55" s="1189" t="str">
        <f t="shared" si="0"/>
        <v xml:space="preserve">Commercial Heating Urban Detached Savings Medium </v>
      </c>
      <c r="E55" s="1189" t="s">
        <v>317</v>
      </c>
      <c r="F55" s="1189" t="s">
        <v>929</v>
      </c>
      <c r="G55" s="1189" t="s">
        <v>352</v>
      </c>
      <c r="H55" s="1189"/>
      <c r="I55" s="1189"/>
      <c r="K55" s="1206"/>
      <c r="L55" s="1185" t="s">
        <v>883</v>
      </c>
      <c r="M55" s="1185" t="s">
        <v>871</v>
      </c>
      <c r="N55" s="1185" t="s">
        <v>870</v>
      </c>
      <c r="O55" s="1185" t="s">
        <v>930</v>
      </c>
      <c r="P55" s="1185" t="s">
        <v>932</v>
      </c>
      <c r="Q55" s="1206"/>
      <c r="R55" s="1206"/>
      <c r="S55" s="1206"/>
      <c r="T55" s="1206"/>
      <c r="V55" s="1206"/>
      <c r="W55" s="1206"/>
      <c r="X55" s="1206"/>
      <c r="Y55" s="1206"/>
      <c r="Z55" s="1206"/>
      <c r="AA55" s="1206"/>
    </row>
    <row r="56" spans="2:27" ht="15" customHeight="1">
      <c r="B56" s="1189"/>
      <c r="C56" s="1195" t="str">
        <f t="shared" si="2"/>
        <v>COMHUDSH</v>
      </c>
      <c r="D56" s="1189" t="str">
        <f t="shared" si="0"/>
        <v xml:space="preserve">Commercial Heating Urban Detached Savings High </v>
      </c>
      <c r="E56" s="1189" t="s">
        <v>317</v>
      </c>
      <c r="F56" s="1189" t="s">
        <v>929</v>
      </c>
      <c r="G56" s="1189" t="s">
        <v>352</v>
      </c>
      <c r="H56" s="1189"/>
      <c r="I56" s="1189"/>
      <c r="K56" s="1206"/>
      <c r="L56" s="1185" t="s">
        <v>883</v>
      </c>
      <c r="M56" s="1185" t="s">
        <v>871</v>
      </c>
      <c r="N56" s="1185" t="s">
        <v>870</v>
      </c>
      <c r="O56" s="1185" t="s">
        <v>930</v>
      </c>
      <c r="P56" s="1185" t="s">
        <v>933</v>
      </c>
      <c r="Q56" s="1206"/>
      <c r="R56" s="1206"/>
      <c r="S56" s="1206"/>
      <c r="T56" s="1206"/>
      <c r="V56" s="1206"/>
      <c r="W56" s="1206"/>
      <c r="X56" s="1206"/>
      <c r="Y56" s="1206"/>
      <c r="Z56" s="1206"/>
      <c r="AA56" s="1206"/>
    </row>
    <row r="57" spans="2:27" ht="15" customHeight="1">
      <c r="B57" s="1189"/>
      <c r="C57" s="1195" t="str">
        <f t="shared" si="2"/>
        <v>COMHRDSL</v>
      </c>
      <c r="D57" s="1189" t="str">
        <f t="shared" si="0"/>
        <v xml:space="preserve">Commercial Heating Rural Detached Savings Low </v>
      </c>
      <c r="E57" s="1189" t="s">
        <v>317</v>
      </c>
      <c r="F57" s="1189" t="s">
        <v>929</v>
      </c>
      <c r="G57" s="1189" t="s">
        <v>352</v>
      </c>
      <c r="H57" s="1189"/>
      <c r="I57" s="1189"/>
      <c r="K57" s="1206"/>
      <c r="L57" s="1185" t="s">
        <v>883</v>
      </c>
      <c r="M57" s="1185" t="s">
        <v>871</v>
      </c>
      <c r="N57" s="1185" t="s">
        <v>872</v>
      </c>
      <c r="O57" s="1185" t="s">
        <v>930</v>
      </c>
      <c r="P57" s="1185" t="s">
        <v>931</v>
      </c>
      <c r="Q57" s="1206"/>
      <c r="R57" s="1206"/>
      <c r="S57" s="1206"/>
      <c r="T57" s="1206"/>
      <c r="V57" s="1206"/>
      <c r="W57" s="1206"/>
      <c r="X57" s="1206"/>
      <c r="Y57" s="1206"/>
      <c r="Z57" s="1206"/>
      <c r="AA57" s="1206"/>
    </row>
    <row r="58" spans="2:27" ht="15" customHeight="1">
      <c r="B58" s="1189"/>
      <c r="C58" s="1195" t="str">
        <f t="shared" si="2"/>
        <v>COMHRDSM</v>
      </c>
      <c r="D58" s="1189" t="str">
        <f t="shared" si="0"/>
        <v xml:space="preserve">Commercial Heating Rural Detached Savings Medium </v>
      </c>
      <c r="E58" s="1189" t="s">
        <v>317</v>
      </c>
      <c r="F58" s="1189" t="s">
        <v>929</v>
      </c>
      <c r="G58" s="1189" t="s">
        <v>352</v>
      </c>
      <c r="H58" s="1189"/>
      <c r="I58" s="1189"/>
      <c r="K58" s="1206"/>
      <c r="L58" s="1185" t="s">
        <v>883</v>
      </c>
      <c r="M58" s="1185" t="s">
        <v>871</v>
      </c>
      <c r="N58" s="1185" t="s">
        <v>872</v>
      </c>
      <c r="O58" s="1185" t="s">
        <v>930</v>
      </c>
      <c r="P58" s="1185" t="s">
        <v>932</v>
      </c>
      <c r="Q58" s="1206"/>
      <c r="R58" s="1206"/>
      <c r="S58" s="1206"/>
      <c r="T58" s="1206"/>
      <c r="V58" s="1206"/>
      <c r="W58" s="1206"/>
      <c r="X58" s="1206"/>
      <c r="Y58" s="1206"/>
      <c r="Z58" s="1206"/>
      <c r="AA58" s="1206"/>
    </row>
    <row r="59" spans="2:27" ht="15" customHeight="1">
      <c r="B59" s="1189"/>
      <c r="C59" s="1195" t="str">
        <f t="shared" si="2"/>
        <v>COMHRDSH</v>
      </c>
      <c r="D59" s="1189" t="str">
        <f t="shared" si="0"/>
        <v xml:space="preserve">Commercial Heating Rural Detached Savings High </v>
      </c>
      <c r="E59" s="1189" t="s">
        <v>317</v>
      </c>
      <c r="F59" s="1189" t="s">
        <v>929</v>
      </c>
      <c r="G59" s="1189" t="s">
        <v>352</v>
      </c>
      <c r="H59" s="1189"/>
      <c r="I59" s="1189"/>
      <c r="K59" s="1206"/>
      <c r="L59" s="1185" t="s">
        <v>883</v>
      </c>
      <c r="M59" s="1185" t="s">
        <v>871</v>
      </c>
      <c r="N59" s="1185" t="s">
        <v>872</v>
      </c>
      <c r="O59" s="1185" t="s">
        <v>930</v>
      </c>
      <c r="P59" s="1185" t="s">
        <v>933</v>
      </c>
      <c r="Q59" s="1206"/>
      <c r="R59" s="1206"/>
      <c r="S59" s="1206"/>
      <c r="T59" s="1206"/>
      <c r="V59" s="1206"/>
      <c r="W59" s="1206"/>
      <c r="X59" s="1206"/>
      <c r="Y59" s="1206"/>
      <c r="Z59" s="1206"/>
      <c r="AA59" s="1206"/>
    </row>
    <row r="60" spans="2:27" ht="15" customHeight="1">
      <c r="B60" s="1189"/>
      <c r="C60" s="1195" t="str">
        <f>$C$2&amp;LEFT(L60,1)&amp;LEFT(N60,1)&amp;LEFT(M60,1)&amp;LEFT(O60,1)&amp;LEFT(P60,1)&amp;Q60</f>
        <v>COMHUMSL</v>
      </c>
      <c r="D60" s="1189" t="str">
        <f t="shared" si="0"/>
        <v xml:space="preserve">Commercial Heating Urban Multi Savings Low </v>
      </c>
      <c r="E60" s="1189" t="s">
        <v>317</v>
      </c>
      <c r="F60" s="1189" t="s">
        <v>929</v>
      </c>
      <c r="G60" s="1189" t="s">
        <v>352</v>
      </c>
      <c r="H60" s="1189"/>
      <c r="I60" s="1189"/>
      <c r="L60" s="1185" t="s">
        <v>883</v>
      </c>
      <c r="M60" s="1185" t="s">
        <v>885</v>
      </c>
      <c r="N60" s="1185" t="s">
        <v>870</v>
      </c>
      <c r="O60" s="1185" t="s">
        <v>930</v>
      </c>
      <c r="P60" s="1185" t="s">
        <v>931</v>
      </c>
      <c r="Q60" s="1206"/>
      <c r="R60" s="1206"/>
      <c r="S60" s="1206"/>
      <c r="T60" s="1206"/>
      <c r="V60" s="1206"/>
      <c r="W60" s="1206"/>
      <c r="X60" s="1206"/>
      <c r="Y60" s="1206"/>
      <c r="Z60" s="1206"/>
      <c r="AA60" s="1206"/>
    </row>
    <row r="61" spans="2:27" ht="15" customHeight="1">
      <c r="B61" s="1189"/>
      <c r="C61" s="1195" t="str">
        <f t="shared" si="2"/>
        <v>COMHUMSM</v>
      </c>
      <c r="D61" s="1189" t="str">
        <f t="shared" si="0"/>
        <v xml:space="preserve">Commercial Heating Urban Multi Savings Medium </v>
      </c>
      <c r="E61" s="1189" t="s">
        <v>317</v>
      </c>
      <c r="F61" s="1189" t="s">
        <v>929</v>
      </c>
      <c r="G61" s="1189" t="s">
        <v>352</v>
      </c>
      <c r="H61" s="1189"/>
      <c r="I61" s="1189"/>
      <c r="K61" s="1206"/>
      <c r="L61" s="1185" t="s">
        <v>883</v>
      </c>
      <c r="M61" s="1185" t="s">
        <v>885</v>
      </c>
      <c r="N61" s="1185" t="s">
        <v>870</v>
      </c>
      <c r="O61" s="1185" t="s">
        <v>930</v>
      </c>
      <c r="P61" s="1185" t="s">
        <v>932</v>
      </c>
      <c r="Q61" s="1206"/>
      <c r="R61" s="1206"/>
      <c r="S61" s="1206"/>
      <c r="T61" s="1206"/>
      <c r="V61" s="1206"/>
      <c r="W61" s="1206"/>
      <c r="X61" s="1206"/>
      <c r="Y61" s="1206"/>
      <c r="Z61" s="1206"/>
      <c r="AA61" s="1206"/>
    </row>
    <row r="62" spans="2:27" ht="15" customHeight="1">
      <c r="B62" s="1189"/>
      <c r="C62" s="1195" t="str">
        <f t="shared" si="2"/>
        <v>COMHUMSH</v>
      </c>
      <c r="D62" s="1189" t="str">
        <f t="shared" si="0"/>
        <v xml:space="preserve">Commercial Heating Urban Multi Savings High </v>
      </c>
      <c r="E62" s="1189" t="s">
        <v>317</v>
      </c>
      <c r="F62" s="1189" t="s">
        <v>929</v>
      </c>
      <c r="G62" s="1189" t="s">
        <v>352</v>
      </c>
      <c r="H62" s="1189"/>
      <c r="I62" s="1189"/>
      <c r="K62" s="1206"/>
      <c r="L62" s="1185" t="s">
        <v>883</v>
      </c>
      <c r="M62" s="1185" t="s">
        <v>885</v>
      </c>
      <c r="N62" s="1185" t="s">
        <v>870</v>
      </c>
      <c r="O62" s="1185" t="s">
        <v>930</v>
      </c>
      <c r="P62" s="1185" t="s">
        <v>933</v>
      </c>
      <c r="Q62" s="1206"/>
      <c r="R62" s="1206"/>
      <c r="S62" s="1206"/>
      <c r="T62" s="1206"/>
      <c r="V62" s="1206"/>
      <c r="W62" s="1206"/>
      <c r="X62" s="1206"/>
      <c r="Y62" s="1206"/>
      <c r="Z62" s="1206"/>
      <c r="AA62" s="1206"/>
    </row>
    <row r="63" spans="2:27" ht="15" customHeight="1">
      <c r="B63" s="1189"/>
      <c r="C63" s="1195" t="str">
        <f t="shared" si="2"/>
        <v>COMHRMSL</v>
      </c>
      <c r="D63" s="1189" t="str">
        <f t="shared" si="0"/>
        <v xml:space="preserve">Commercial Heating Rural Multi Savings Low </v>
      </c>
      <c r="E63" s="1189" t="s">
        <v>317</v>
      </c>
      <c r="F63" s="1189" t="s">
        <v>929</v>
      </c>
      <c r="G63" s="1189" t="s">
        <v>352</v>
      </c>
      <c r="H63" s="1189"/>
      <c r="I63" s="1189"/>
      <c r="K63" s="1206"/>
      <c r="L63" s="1185" t="s">
        <v>883</v>
      </c>
      <c r="M63" s="1185" t="s">
        <v>885</v>
      </c>
      <c r="N63" s="1185" t="s">
        <v>872</v>
      </c>
      <c r="O63" s="1185" t="s">
        <v>930</v>
      </c>
      <c r="P63" s="1185" t="s">
        <v>931</v>
      </c>
      <c r="Q63" s="1206"/>
      <c r="R63" s="1206"/>
      <c r="S63" s="1206"/>
      <c r="T63" s="1206"/>
      <c r="V63" s="1206"/>
      <c r="W63" s="1206"/>
      <c r="X63" s="1206"/>
      <c r="Y63" s="1206"/>
      <c r="Z63" s="1206"/>
      <c r="AA63" s="1206"/>
    </row>
    <row r="64" spans="2:27" ht="15" customHeight="1">
      <c r="B64" s="1189"/>
      <c r="C64" s="1195" t="str">
        <f t="shared" si="2"/>
        <v>COMHRMSM</v>
      </c>
      <c r="D64" s="1189" t="str">
        <f t="shared" si="0"/>
        <v xml:space="preserve">Commercial Heating Rural Multi Savings Medium </v>
      </c>
      <c r="E64" s="1189" t="s">
        <v>317</v>
      </c>
      <c r="F64" s="1189" t="s">
        <v>929</v>
      </c>
      <c r="G64" s="1189" t="s">
        <v>352</v>
      </c>
      <c r="H64" s="1189"/>
      <c r="I64" s="1189"/>
      <c r="K64" s="1206"/>
      <c r="L64" s="1185" t="s">
        <v>883</v>
      </c>
      <c r="M64" s="1185" t="s">
        <v>885</v>
      </c>
      <c r="N64" s="1185" t="s">
        <v>872</v>
      </c>
      <c r="O64" s="1185" t="s">
        <v>930</v>
      </c>
      <c r="P64" s="1185" t="s">
        <v>932</v>
      </c>
      <c r="Q64" s="1206"/>
      <c r="R64" s="1206"/>
      <c r="S64" s="1206"/>
      <c r="T64" s="1206"/>
      <c r="V64" s="1206"/>
      <c r="W64" s="1206"/>
      <c r="X64" s="1206"/>
      <c r="Y64" s="1206"/>
      <c r="Z64" s="1206"/>
      <c r="AA64" s="1206"/>
    </row>
    <row r="65" spans="2:27" ht="15" customHeight="1" thickBot="1">
      <c r="B65" s="1207"/>
      <c r="C65" s="1195" t="str">
        <f t="shared" si="2"/>
        <v>COMHRMSH</v>
      </c>
      <c r="D65" s="1207" t="str">
        <f t="shared" si="0"/>
        <v xml:space="preserve">Commercial Heating Rural Multi Savings High </v>
      </c>
      <c r="E65" s="1207" t="s">
        <v>317</v>
      </c>
      <c r="F65" s="1207" t="s">
        <v>929</v>
      </c>
      <c r="G65" s="1207" t="s">
        <v>352</v>
      </c>
      <c r="H65" s="1207"/>
      <c r="I65" s="1207"/>
      <c r="J65" s="1208"/>
      <c r="K65" s="1206"/>
      <c r="L65" s="1185" t="s">
        <v>883</v>
      </c>
      <c r="M65" s="1185" t="s">
        <v>885</v>
      </c>
      <c r="N65" s="1185" t="s">
        <v>872</v>
      </c>
      <c r="O65" s="1185" t="s">
        <v>930</v>
      </c>
      <c r="P65" s="1185" t="s">
        <v>933</v>
      </c>
      <c r="Q65" s="1206"/>
      <c r="R65" s="1206"/>
      <c r="S65" s="1206"/>
      <c r="T65" s="1206"/>
      <c r="V65" s="1206"/>
      <c r="W65" s="1206"/>
      <c r="X65" s="1206"/>
      <c r="Y65" s="1206"/>
      <c r="Z65" s="1206"/>
      <c r="AA65" s="1206"/>
    </row>
    <row r="66" spans="2:27" ht="16.25" customHeight="1" thickBot="1">
      <c r="C66" s="1195" t="str">
        <f t="shared" si="2"/>
        <v>COMCUDSL</v>
      </c>
      <c r="D66" s="1185" t="str">
        <f t="shared" si="0"/>
        <v xml:space="preserve">Commercial Cooling Urban Detached Savings Low </v>
      </c>
      <c r="E66" s="1207" t="s">
        <v>317</v>
      </c>
      <c r="F66" s="1207" t="s">
        <v>929</v>
      </c>
      <c r="G66" s="1207" t="s">
        <v>352</v>
      </c>
      <c r="H66" s="1207"/>
      <c r="I66" s="1207"/>
      <c r="J66" s="1208"/>
      <c r="L66" s="1185" t="s">
        <v>886</v>
      </c>
      <c r="M66" s="1185" t="s">
        <v>871</v>
      </c>
      <c r="N66" s="1185" t="s">
        <v>870</v>
      </c>
      <c r="O66" s="1185" t="s">
        <v>930</v>
      </c>
      <c r="P66" s="1185" t="s">
        <v>931</v>
      </c>
    </row>
    <row r="67" spans="2:27" ht="16.25" customHeight="1" thickBot="1">
      <c r="C67" s="1195" t="str">
        <f t="shared" si="2"/>
        <v>COMCUDSM</v>
      </c>
      <c r="D67" s="1185" t="str">
        <f t="shared" si="0"/>
        <v xml:space="preserve">Commercial Cooling Urban Detached Savings Medium </v>
      </c>
      <c r="E67" s="1207" t="s">
        <v>317</v>
      </c>
      <c r="F67" s="1207" t="s">
        <v>929</v>
      </c>
      <c r="G67" s="1207" t="s">
        <v>352</v>
      </c>
      <c r="H67" s="1207"/>
      <c r="I67" s="1207"/>
      <c r="J67" s="1208"/>
      <c r="L67" s="1185" t="s">
        <v>886</v>
      </c>
      <c r="M67" s="1185" t="s">
        <v>871</v>
      </c>
      <c r="N67" s="1185" t="s">
        <v>870</v>
      </c>
      <c r="O67" s="1185" t="s">
        <v>930</v>
      </c>
      <c r="P67" s="1185" t="s">
        <v>932</v>
      </c>
    </row>
    <row r="68" spans="2:27" ht="16.25" customHeight="1" thickBot="1">
      <c r="B68" s="1189"/>
      <c r="C68" s="1195" t="str">
        <f t="shared" si="2"/>
        <v>COMCUDSH</v>
      </c>
      <c r="D68" s="1185" t="str">
        <f t="shared" si="0"/>
        <v xml:space="preserve">Commercial Cooling Urban Detached Savings High </v>
      </c>
      <c r="E68" s="1207" t="s">
        <v>317</v>
      </c>
      <c r="F68" s="1207" t="s">
        <v>929</v>
      </c>
      <c r="G68" s="1207" t="s">
        <v>352</v>
      </c>
      <c r="H68" s="1207"/>
      <c r="I68" s="1207"/>
      <c r="J68" s="1208"/>
      <c r="L68" s="1185" t="s">
        <v>886</v>
      </c>
      <c r="M68" s="1185" t="s">
        <v>871</v>
      </c>
      <c r="N68" s="1185" t="s">
        <v>870</v>
      </c>
      <c r="O68" s="1185" t="s">
        <v>930</v>
      </c>
      <c r="P68" s="1185" t="s">
        <v>933</v>
      </c>
    </row>
    <row r="69" spans="2:27" ht="16.25" customHeight="1" thickBot="1">
      <c r="B69" s="1189"/>
      <c r="C69" s="1195" t="str">
        <f t="shared" si="2"/>
        <v>COMCRDSL</v>
      </c>
      <c r="D69" s="1185" t="str">
        <f t="shared" si="0"/>
        <v xml:space="preserve">Commercial Cooling Rural Detached Savings Low </v>
      </c>
      <c r="E69" s="1207" t="s">
        <v>317</v>
      </c>
      <c r="F69" s="1207" t="s">
        <v>929</v>
      </c>
      <c r="G69" s="1207" t="s">
        <v>352</v>
      </c>
      <c r="H69" s="1207"/>
      <c r="I69" s="1207"/>
      <c r="J69" s="1208"/>
      <c r="L69" s="1185" t="s">
        <v>886</v>
      </c>
      <c r="M69" s="1185" t="s">
        <v>871</v>
      </c>
      <c r="N69" s="1185" t="s">
        <v>872</v>
      </c>
      <c r="O69" s="1185" t="s">
        <v>930</v>
      </c>
      <c r="P69" s="1185" t="s">
        <v>931</v>
      </c>
    </row>
    <row r="70" spans="2:27" ht="16.25" customHeight="1" thickBot="1">
      <c r="C70" s="1195" t="str">
        <f t="shared" si="2"/>
        <v>COMCRDSM</v>
      </c>
      <c r="D70" s="1185" t="str">
        <f t="shared" si="0"/>
        <v xml:space="preserve">Commercial Cooling Rural Detached Savings Medium </v>
      </c>
      <c r="E70" s="1207" t="s">
        <v>317</v>
      </c>
      <c r="F70" s="1207" t="s">
        <v>929</v>
      </c>
      <c r="G70" s="1207" t="s">
        <v>352</v>
      </c>
      <c r="H70" s="1207"/>
      <c r="I70" s="1207"/>
      <c r="J70" s="1208"/>
      <c r="L70" s="1185" t="s">
        <v>886</v>
      </c>
      <c r="M70" s="1185" t="s">
        <v>871</v>
      </c>
      <c r="N70" s="1185" t="s">
        <v>872</v>
      </c>
      <c r="O70" s="1185" t="s">
        <v>930</v>
      </c>
      <c r="P70" s="1185" t="s">
        <v>932</v>
      </c>
    </row>
    <row r="71" spans="2:27" ht="16.25" customHeight="1" thickBot="1">
      <c r="C71" s="1195" t="str">
        <f t="shared" si="2"/>
        <v>COMCRDSH</v>
      </c>
      <c r="D71" s="1185" t="str">
        <f t="shared" ref="D71:D77" si="3">$D$2&amp;" "&amp;L71&amp;" "&amp;N71&amp;" "&amp;M71&amp;" "&amp;O71&amp;" "&amp;P71&amp;" "&amp;R71</f>
        <v xml:space="preserve">Commercial Cooling Rural Detached Savings High </v>
      </c>
      <c r="E71" s="1207" t="s">
        <v>317</v>
      </c>
      <c r="F71" s="1207" t="s">
        <v>929</v>
      </c>
      <c r="G71" s="1207" t="s">
        <v>352</v>
      </c>
      <c r="H71" s="1207"/>
      <c r="I71" s="1207"/>
      <c r="J71" s="1208"/>
      <c r="L71" s="1185" t="s">
        <v>886</v>
      </c>
      <c r="M71" s="1185" t="s">
        <v>871</v>
      </c>
      <c r="N71" s="1185" t="s">
        <v>872</v>
      </c>
      <c r="O71" s="1185" t="s">
        <v>930</v>
      </c>
      <c r="P71" s="1185" t="s">
        <v>933</v>
      </c>
    </row>
    <row r="72" spans="2:27" ht="16.25" customHeight="1" thickBot="1">
      <c r="C72" s="1195" t="str">
        <f t="shared" si="2"/>
        <v>COMCUMSL</v>
      </c>
      <c r="D72" s="1185" t="str">
        <f t="shared" si="3"/>
        <v xml:space="preserve">Commercial Cooling Urban Multi Savings Low </v>
      </c>
      <c r="E72" s="1207" t="s">
        <v>317</v>
      </c>
      <c r="F72" s="1207" t="s">
        <v>929</v>
      </c>
      <c r="G72" s="1207" t="s">
        <v>352</v>
      </c>
      <c r="H72" s="1207"/>
      <c r="I72" s="1207"/>
      <c r="J72" s="1208"/>
      <c r="L72" s="1185" t="s">
        <v>886</v>
      </c>
      <c r="M72" s="1185" t="s">
        <v>885</v>
      </c>
      <c r="N72" s="1185" t="s">
        <v>870</v>
      </c>
      <c r="O72" s="1185" t="s">
        <v>930</v>
      </c>
      <c r="P72" s="1185" t="s">
        <v>931</v>
      </c>
    </row>
    <row r="73" spans="2:27" ht="16.25" customHeight="1" thickBot="1">
      <c r="C73" s="1195" t="str">
        <f t="shared" si="2"/>
        <v>COMCUMSM</v>
      </c>
      <c r="D73" s="1185" t="str">
        <f t="shared" si="3"/>
        <v xml:space="preserve">Commercial Cooling Urban Multi Savings Medium </v>
      </c>
      <c r="E73" s="1207" t="s">
        <v>317</v>
      </c>
      <c r="F73" s="1207" t="s">
        <v>929</v>
      </c>
      <c r="G73" s="1207" t="s">
        <v>352</v>
      </c>
      <c r="H73" s="1207"/>
      <c r="I73" s="1207"/>
      <c r="J73" s="1208"/>
      <c r="L73" s="1185" t="s">
        <v>886</v>
      </c>
      <c r="M73" s="1185" t="s">
        <v>885</v>
      </c>
      <c r="N73" s="1185" t="s">
        <v>870</v>
      </c>
      <c r="O73" s="1185" t="s">
        <v>930</v>
      </c>
      <c r="P73" s="1185" t="s">
        <v>932</v>
      </c>
    </row>
    <row r="74" spans="2:27" ht="16.25" customHeight="1" thickBot="1">
      <c r="C74" s="1195" t="str">
        <f t="shared" si="2"/>
        <v>COMCUMSH</v>
      </c>
      <c r="D74" s="1185" t="str">
        <f t="shared" si="3"/>
        <v xml:space="preserve">Commercial Cooling Urban Multi Savings High </v>
      </c>
      <c r="E74" s="1207" t="s">
        <v>317</v>
      </c>
      <c r="F74" s="1207" t="s">
        <v>929</v>
      </c>
      <c r="G74" s="1207" t="s">
        <v>352</v>
      </c>
      <c r="H74" s="1207"/>
      <c r="I74" s="1207"/>
      <c r="J74" s="1208"/>
      <c r="L74" s="1185" t="s">
        <v>886</v>
      </c>
      <c r="M74" s="1185" t="s">
        <v>885</v>
      </c>
      <c r="N74" s="1185" t="s">
        <v>870</v>
      </c>
      <c r="O74" s="1185" t="s">
        <v>930</v>
      </c>
      <c r="P74" s="1185" t="s">
        <v>933</v>
      </c>
    </row>
    <row r="75" spans="2:27" ht="16.25" customHeight="1" thickBot="1">
      <c r="C75" s="1195" t="str">
        <f t="shared" si="2"/>
        <v>COMCRMSL</v>
      </c>
      <c r="D75" s="1185" t="str">
        <f t="shared" si="3"/>
        <v xml:space="preserve">Commercial Cooling Rural Multi Savings Low </v>
      </c>
      <c r="E75" s="1207" t="s">
        <v>317</v>
      </c>
      <c r="F75" s="1207" t="s">
        <v>929</v>
      </c>
      <c r="G75" s="1207" t="s">
        <v>352</v>
      </c>
      <c r="H75" s="1207"/>
      <c r="I75" s="1207"/>
      <c r="J75" s="1208"/>
      <c r="L75" s="1185" t="s">
        <v>886</v>
      </c>
      <c r="M75" s="1185" t="s">
        <v>885</v>
      </c>
      <c r="N75" s="1185" t="s">
        <v>872</v>
      </c>
      <c r="O75" s="1185" t="s">
        <v>930</v>
      </c>
      <c r="P75" s="1185" t="s">
        <v>931</v>
      </c>
    </row>
    <row r="76" spans="2:27" ht="16.25" customHeight="1" thickBot="1">
      <c r="C76" s="1195" t="str">
        <f t="shared" si="2"/>
        <v>COMCRMSM</v>
      </c>
      <c r="D76" s="1185" t="str">
        <f t="shared" si="3"/>
        <v xml:space="preserve">Commercial Cooling Rural Multi Savings Medium </v>
      </c>
      <c r="E76" s="1207" t="s">
        <v>317</v>
      </c>
      <c r="F76" s="1207" t="s">
        <v>929</v>
      </c>
      <c r="G76" s="1207" t="s">
        <v>352</v>
      </c>
      <c r="H76" s="1207"/>
      <c r="I76" s="1207"/>
      <c r="J76" s="1208"/>
      <c r="L76" s="1185" t="s">
        <v>886</v>
      </c>
      <c r="M76" s="1185" t="s">
        <v>885</v>
      </c>
      <c r="N76" s="1185" t="s">
        <v>872</v>
      </c>
      <c r="O76" s="1185" t="s">
        <v>930</v>
      </c>
      <c r="P76" s="1185" t="s">
        <v>932</v>
      </c>
    </row>
    <row r="77" spans="2:27" ht="16.25" customHeight="1" thickBot="1">
      <c r="C77" s="1195" t="str">
        <f t="shared" si="2"/>
        <v>COMCRMSH</v>
      </c>
      <c r="D77" s="1185" t="str">
        <f t="shared" si="3"/>
        <v xml:space="preserve">Commercial Cooling Rural Multi Savings High </v>
      </c>
      <c r="E77" s="1207" t="s">
        <v>317</v>
      </c>
      <c r="F77" s="1207" t="s">
        <v>929</v>
      </c>
      <c r="G77" s="1207" t="s">
        <v>352</v>
      </c>
      <c r="H77" s="1207"/>
      <c r="I77" s="1207"/>
      <c r="J77" s="1208"/>
      <c r="L77" s="1185" t="s">
        <v>886</v>
      </c>
      <c r="M77" s="1185" t="s">
        <v>885</v>
      </c>
      <c r="N77" s="1185" t="s">
        <v>872</v>
      </c>
      <c r="O77" s="1185" t="s">
        <v>930</v>
      </c>
      <c r="P77" s="1185" t="s">
        <v>933</v>
      </c>
    </row>
    <row r="78" spans="2:27" ht="16.25" customHeight="1">
      <c r="B78" s="1197" t="s">
        <v>297</v>
      </c>
      <c r="C78" s="1198" t="s">
        <v>934</v>
      </c>
      <c r="D78" s="1197" t="s">
        <v>935</v>
      </c>
      <c r="E78" s="1197" t="s">
        <v>936</v>
      </c>
      <c r="F78" s="1197"/>
      <c r="G78" s="1197"/>
      <c r="H78" s="1197"/>
      <c r="I78" s="1197"/>
      <c r="J78" s="1200"/>
    </row>
  </sheetData>
  <pageMargins left="0.75" right="0.75" top="1" bottom="1" header="0.5" footer="0.5"/>
  <pageSetup paperSize="9"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CP132"/>
  <sheetViews>
    <sheetView workbookViewId="0">
      <selection activeCell="C16" sqref="C16"/>
    </sheetView>
  </sheetViews>
  <sheetFormatPr baseColWidth="10" defaultColWidth="8.83203125" defaultRowHeight="15"/>
  <cols>
    <col min="1" max="1" width="10.33203125" customWidth="1"/>
    <col min="2" max="2" width="51.5" customWidth="1"/>
    <col min="3" max="3" width="14.6640625" style="52" bestFit="1" customWidth="1"/>
    <col min="4" max="7" width="9.1640625" style="52"/>
    <col min="8" max="8" width="7" style="52" customWidth="1"/>
    <col min="26" max="26" width="46.1640625" customWidth="1"/>
  </cols>
  <sheetData>
    <row r="1" spans="1:94" ht="29">
      <c r="B1" s="51" t="s">
        <v>282</v>
      </c>
    </row>
    <row r="2" spans="1:94" s="562" customFormat="1" ht="29">
      <c r="B2" s="51"/>
      <c r="C2" s="52"/>
      <c r="D2" s="52"/>
      <c r="E2" s="52"/>
      <c r="F2" s="52"/>
      <c r="G2" s="52"/>
      <c r="H2" s="52"/>
    </row>
    <row r="3" spans="1:94" s="562" customFormat="1" ht="29">
      <c r="B3" s="51"/>
      <c r="C3" s="52"/>
      <c r="D3" s="52"/>
      <c r="E3" s="52"/>
      <c r="F3" s="52"/>
      <c r="G3" s="52"/>
      <c r="H3" s="52"/>
      <c r="J3" s="821" t="s">
        <v>783</v>
      </c>
      <c r="AH3" s="821" t="s">
        <v>783</v>
      </c>
    </row>
    <row r="4" spans="1:94" s="562" customFormat="1">
      <c r="B4" s="146" t="s">
        <v>273</v>
      </c>
      <c r="C4"/>
      <c r="D4"/>
      <c r="E4"/>
      <c r="F4"/>
      <c r="G4"/>
      <c r="H4"/>
      <c r="I4"/>
      <c r="J4" s="821">
        <v>0.2</v>
      </c>
      <c r="K4"/>
      <c r="L4"/>
      <c r="M4"/>
      <c r="N4"/>
      <c r="O4"/>
      <c r="P4"/>
      <c r="Z4" s="34" t="s">
        <v>273</v>
      </c>
      <c r="AH4" s="821">
        <v>0.2</v>
      </c>
    </row>
    <row r="5" spans="1:94" s="562"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row>
    <row r="6" spans="1:94" s="562" customFormat="1" ht="16" thickBot="1">
      <c r="B6" s="31"/>
      <c r="C6" s="31"/>
      <c r="D6" s="32"/>
      <c r="E6" s="32"/>
      <c r="F6" s="33"/>
      <c r="G6" s="31"/>
      <c r="H6" s="31"/>
      <c r="I6" s="31"/>
      <c r="J6" s="31"/>
      <c r="K6" s="31"/>
      <c r="L6" s="31"/>
      <c r="M6" s="31"/>
      <c r="N6" s="31"/>
      <c r="O6" s="31"/>
      <c r="Z6" s="31"/>
      <c r="AA6" s="31"/>
      <c r="AB6" s="32"/>
      <c r="AD6" s="33"/>
      <c r="AE6" s="31"/>
      <c r="AF6" s="31"/>
      <c r="AG6" s="31"/>
      <c r="AH6" s="31"/>
      <c r="AI6" s="31"/>
      <c r="AJ6" s="31"/>
      <c r="AK6" s="31"/>
      <c r="AL6" s="31"/>
      <c r="AM6" s="31"/>
    </row>
    <row r="7" spans="1:94" s="562" customFormat="1">
      <c r="B7" s="37"/>
      <c r="C7" s="37"/>
      <c r="D7" s="38"/>
      <c r="E7" s="38" t="s">
        <v>637</v>
      </c>
      <c r="F7" s="38" t="s">
        <v>353</v>
      </c>
      <c r="G7" s="38" t="s">
        <v>354</v>
      </c>
      <c r="H7" s="38" t="s">
        <v>355</v>
      </c>
      <c r="I7" s="37" t="s">
        <v>271</v>
      </c>
      <c r="J7" s="37" t="s">
        <v>271</v>
      </c>
      <c r="K7" s="37" t="s">
        <v>272</v>
      </c>
      <c r="L7" s="37" t="s">
        <v>272</v>
      </c>
      <c r="M7" s="37" t="s">
        <v>272</v>
      </c>
      <c r="N7" s="37" t="s">
        <v>272</v>
      </c>
      <c r="O7" s="37" t="s">
        <v>272</v>
      </c>
      <c r="Z7" s="37"/>
      <c r="AA7" s="37"/>
      <c r="AB7" s="38"/>
      <c r="AD7" s="38" t="s">
        <v>353</v>
      </c>
      <c r="AE7" s="38" t="s">
        <v>354</v>
      </c>
      <c r="AF7" s="38" t="s">
        <v>355</v>
      </c>
      <c r="AG7" s="37" t="s">
        <v>271</v>
      </c>
      <c r="AH7" s="37" t="s">
        <v>271</v>
      </c>
      <c r="AI7" s="37" t="s">
        <v>272</v>
      </c>
      <c r="AJ7" s="37" t="s">
        <v>272</v>
      </c>
      <c r="AK7" s="37" t="s">
        <v>272</v>
      </c>
      <c r="AL7" s="37" t="s">
        <v>272</v>
      </c>
      <c r="AM7" s="37" t="s">
        <v>272</v>
      </c>
    </row>
    <row r="8" spans="1:94">
      <c r="B8" s="39">
        <f>C14</f>
        <v>2015</v>
      </c>
      <c r="C8" s="39">
        <f>B8</f>
        <v>2015</v>
      </c>
      <c r="D8" s="39">
        <f>C21/100</f>
        <v>1.35</v>
      </c>
      <c r="E8" s="39">
        <f>C23</f>
        <v>20</v>
      </c>
      <c r="F8" s="226">
        <f>C43</f>
        <v>9.6850000000000005</v>
      </c>
      <c r="G8" s="226">
        <f>C46</f>
        <v>0.17507500000000001</v>
      </c>
      <c r="H8" s="226">
        <f>C47</f>
        <v>0</v>
      </c>
      <c r="I8" s="77"/>
      <c r="J8" s="39">
        <f>$J$4*C18/100</f>
        <v>0.2</v>
      </c>
      <c r="K8" s="39"/>
      <c r="L8" s="39"/>
      <c r="M8" s="39"/>
      <c r="N8" s="39"/>
      <c r="O8" s="39"/>
      <c r="Q8" s="39"/>
      <c r="Z8" s="39">
        <f>AA14</f>
        <v>2015</v>
      </c>
      <c r="AA8" s="39">
        <f>Z8</f>
        <v>2015</v>
      </c>
      <c r="AB8" s="39">
        <f>AA21/100</f>
        <v>1.35</v>
      </c>
      <c r="AC8" s="39">
        <f>AA23</f>
        <v>20</v>
      </c>
      <c r="AD8" s="226">
        <f>AA43</f>
        <v>3.0477272727272728</v>
      </c>
      <c r="AE8" s="226">
        <f>AA46</f>
        <v>3.9789772727272729E-2</v>
      </c>
      <c r="AF8" s="226">
        <f>AA47</f>
        <v>0</v>
      </c>
      <c r="AG8" s="39"/>
      <c r="AH8" s="39">
        <f>$J$4*AA18/100</f>
        <v>0.2</v>
      </c>
      <c r="AI8" s="39">
        <f>AA23</f>
        <v>20</v>
      </c>
      <c r="AJ8" s="39">
        <f>AA24</f>
        <v>0</v>
      </c>
      <c r="AK8" s="39" t="str">
        <f>AA25</f>
        <v>-</v>
      </c>
      <c r="AL8" s="39" t="str">
        <f>AA26</f>
        <v>-</v>
      </c>
      <c r="AM8" s="39" t="str">
        <f>AA27</f>
        <v>-</v>
      </c>
    </row>
    <row r="9" spans="1:94">
      <c r="B9" s="39">
        <f>D14</f>
        <v>2020</v>
      </c>
      <c r="C9" s="39"/>
      <c r="D9" s="39">
        <f>D21/100</f>
        <v>1.45</v>
      </c>
      <c r="E9" s="39">
        <f>D23</f>
        <v>20</v>
      </c>
      <c r="F9" s="226">
        <f>D43</f>
        <v>9.1038999999999994</v>
      </c>
      <c r="G9" s="226">
        <f>D46</f>
        <v>0.17507500000000001</v>
      </c>
      <c r="H9" s="226">
        <f>D47</f>
        <v>0</v>
      </c>
      <c r="I9" s="77"/>
      <c r="J9" s="39">
        <f>$J$4*D18/100</f>
        <v>0.2</v>
      </c>
      <c r="K9" s="39"/>
      <c r="L9" s="39"/>
      <c r="M9" s="39"/>
      <c r="N9" s="39"/>
      <c r="O9" s="39"/>
      <c r="Q9" s="39"/>
      <c r="Z9" s="39">
        <f>AB14</f>
        <v>2020</v>
      </c>
      <c r="AA9" s="39"/>
      <c r="AB9" s="39">
        <f>AB21/100</f>
        <v>1.45</v>
      </c>
      <c r="AC9" s="39">
        <f>AB23</f>
        <v>20</v>
      </c>
      <c r="AD9" s="226">
        <f>AB43</f>
        <v>1.5831249999999999</v>
      </c>
      <c r="AE9" s="226">
        <f>AB46</f>
        <v>2.1884375000000001E-2</v>
      </c>
      <c r="AF9" s="226">
        <f>AB47</f>
        <v>0</v>
      </c>
      <c r="AG9" s="39"/>
      <c r="AH9" s="39">
        <f>$J$4*AB18/100</f>
        <v>0.2</v>
      </c>
      <c r="AI9" s="39">
        <f>AB23</f>
        <v>20</v>
      </c>
      <c r="AJ9" s="39">
        <f>AB24</f>
        <v>0</v>
      </c>
      <c r="AK9" s="39" t="str">
        <f>AB25</f>
        <v>-</v>
      </c>
      <c r="AL9" s="39" t="str">
        <f>AB26</f>
        <v>-</v>
      </c>
      <c r="AM9" s="39" t="str">
        <f>AB27</f>
        <v>-</v>
      </c>
    </row>
    <row r="10" spans="1:94" ht="15" customHeight="1">
      <c r="B10" s="39">
        <f>E14</f>
        <v>2030</v>
      </c>
      <c r="C10" s="39"/>
      <c r="D10" s="39">
        <f>E21/100</f>
        <v>1.7</v>
      </c>
      <c r="E10" s="39">
        <f>E23</f>
        <v>20</v>
      </c>
      <c r="F10" s="226">
        <f>E43</f>
        <v>8.1935099999999998</v>
      </c>
      <c r="G10" s="226">
        <f>E46</f>
        <v>0.17507500000000001</v>
      </c>
      <c r="H10" s="226">
        <f>E47</f>
        <v>0</v>
      </c>
      <c r="I10" s="77"/>
      <c r="J10" s="39">
        <f>$J$4*E18/100</f>
        <v>0.2</v>
      </c>
      <c r="K10" s="39"/>
      <c r="L10" s="39"/>
      <c r="M10" s="39"/>
      <c r="N10" s="39"/>
      <c r="O10" s="39"/>
      <c r="Q10" s="39"/>
      <c r="Z10" s="39">
        <f>AC14</f>
        <v>2030</v>
      </c>
      <c r="AA10" s="39"/>
      <c r="AB10" s="39">
        <f>AC21/100</f>
        <v>1.7</v>
      </c>
      <c r="AC10" s="39">
        <f>AC23</f>
        <v>20</v>
      </c>
      <c r="AD10" s="226">
        <f>AC43</f>
        <v>1.3968750000000001</v>
      </c>
      <c r="AE10" s="226">
        <f>AC46</f>
        <v>2.1884375000000001E-2</v>
      </c>
      <c r="AF10" s="226">
        <f>AC47</f>
        <v>0</v>
      </c>
      <c r="AG10" s="39"/>
      <c r="AH10" s="39">
        <f>$J$4*AC18/100</f>
        <v>0.2</v>
      </c>
      <c r="AI10" s="39">
        <f>AC23</f>
        <v>20</v>
      </c>
      <c r="AJ10" s="39">
        <f>AC24</f>
        <v>0</v>
      </c>
      <c r="AK10" s="39" t="str">
        <f>AC25</f>
        <v>-</v>
      </c>
      <c r="AL10" s="39" t="str">
        <f>AC26</f>
        <v>-</v>
      </c>
      <c r="AM10" s="39" t="str">
        <f>AC27</f>
        <v>-</v>
      </c>
    </row>
    <row r="11" spans="1:94" ht="15" customHeight="1">
      <c r="B11" s="39">
        <f>F14</f>
        <v>2050</v>
      </c>
      <c r="C11" s="39"/>
      <c r="D11" s="39">
        <f>F21/100</f>
        <v>1.7</v>
      </c>
      <c r="E11" s="39">
        <f>F23</f>
        <v>20</v>
      </c>
      <c r="F11" s="226">
        <f>F43</f>
        <v>7.3741589999999997</v>
      </c>
      <c r="G11" s="226">
        <f>F46</f>
        <v>0.17507500000000001</v>
      </c>
      <c r="H11" s="226">
        <f>F47</f>
        <v>0</v>
      </c>
      <c r="I11" s="77"/>
      <c r="J11" s="39">
        <f>$J$4*F18/100</f>
        <v>0.2</v>
      </c>
      <c r="K11" s="39"/>
      <c r="L11" s="39"/>
      <c r="M11" s="39"/>
      <c r="N11" s="39"/>
      <c r="O11" s="39"/>
      <c r="Q11" s="39"/>
      <c r="Z11" s="39">
        <f>AD14</f>
        <v>2050</v>
      </c>
      <c r="AA11" s="39"/>
      <c r="AB11" s="39">
        <f>AD21/100</f>
        <v>1.7</v>
      </c>
      <c r="AC11" s="39">
        <f>AD23</f>
        <v>20</v>
      </c>
      <c r="AD11" s="226">
        <f>AD43</f>
        <v>1.30375</v>
      </c>
      <c r="AE11" s="226">
        <f>AD46</f>
        <v>2.1884375000000001E-2</v>
      </c>
      <c r="AF11" s="226">
        <f>AD47</f>
        <v>0</v>
      </c>
      <c r="AG11" s="39"/>
      <c r="AH11" s="39">
        <f>$J$4*AD18/100</f>
        <v>0.2</v>
      </c>
      <c r="AI11" s="39">
        <f>AD23</f>
        <v>20</v>
      </c>
      <c r="AJ11" s="39">
        <f>AD24</f>
        <v>0</v>
      </c>
      <c r="AK11" s="39" t="str">
        <f>AD25</f>
        <v>-</v>
      </c>
      <c r="AL11" s="39" t="str">
        <f>AD26</f>
        <v>-</v>
      </c>
      <c r="AM11" s="39" t="str">
        <f>AD27</f>
        <v>-</v>
      </c>
    </row>
    <row r="12" spans="1:94" s="562" customFormat="1" ht="15" customHeight="1" thickBot="1">
      <c r="B12" s="603"/>
      <c r="C12" s="603"/>
      <c r="D12" s="603"/>
      <c r="E12" s="603"/>
      <c r="F12" s="603"/>
      <c r="G12" s="604"/>
      <c r="H12" s="604"/>
      <c r="I12" s="604"/>
      <c r="J12" s="603"/>
      <c r="K12" s="603"/>
      <c r="L12" s="603"/>
      <c r="M12" s="603"/>
      <c r="N12" s="603"/>
      <c r="O12" s="603"/>
      <c r="P12" s="603"/>
    </row>
    <row r="13" spans="1:94" ht="15.75" customHeight="1" thickBot="1">
      <c r="A13" s="605"/>
      <c r="B13" s="605" t="s">
        <v>0</v>
      </c>
      <c r="C13" s="1249" t="s">
        <v>624</v>
      </c>
      <c r="D13" s="1250"/>
      <c r="E13" s="1250"/>
      <c r="F13" s="1250"/>
      <c r="G13" s="1250"/>
      <c r="H13" s="1250"/>
      <c r="I13" s="1250"/>
      <c r="J13" s="1250"/>
      <c r="K13" s="1250"/>
      <c r="L13" s="1251"/>
      <c r="M13" s="439"/>
      <c r="N13" s="439"/>
      <c r="O13" s="439"/>
      <c r="P13" s="439"/>
      <c r="Q13" s="439"/>
      <c r="R13" s="439"/>
      <c r="S13" s="439"/>
      <c r="T13" s="439"/>
      <c r="U13" s="439"/>
      <c r="V13" s="562"/>
      <c r="W13" s="562"/>
      <c r="X13" s="562"/>
      <c r="Y13" s="562"/>
      <c r="Z13" s="605" t="s">
        <v>0</v>
      </c>
      <c r="AA13" s="1249" t="s">
        <v>630</v>
      </c>
      <c r="AB13" s="1250"/>
      <c r="AC13" s="1250"/>
      <c r="AD13" s="1250"/>
      <c r="AE13" s="1250"/>
      <c r="AF13" s="1250"/>
      <c r="AG13" s="1250"/>
      <c r="AH13" s="1250"/>
      <c r="AI13" s="1250"/>
      <c r="AJ13" s="1251"/>
      <c r="AK13" s="562"/>
      <c r="AL13" s="562"/>
      <c r="AM13" s="562"/>
      <c r="AN13" s="562"/>
      <c r="AO13" s="562"/>
      <c r="AP13" s="562"/>
      <c r="AQ13" s="562"/>
      <c r="AR13" s="562"/>
      <c r="AS13" s="562"/>
      <c r="AT13" s="562"/>
      <c r="AU13" s="562"/>
    </row>
    <row r="14" spans="1:94" s="8" customFormat="1" ht="15.75" customHeight="1" thickBot="1">
      <c r="A14" s="608"/>
      <c r="B14" s="608"/>
      <c r="C14" s="1255">
        <v>2015</v>
      </c>
      <c r="D14" s="1256">
        <v>2020</v>
      </c>
      <c r="E14" s="1256">
        <v>2030</v>
      </c>
      <c r="F14" s="1252">
        <v>2050</v>
      </c>
      <c r="G14" s="1255" t="s">
        <v>467</v>
      </c>
      <c r="H14" s="1252"/>
      <c r="I14" s="1255" t="s">
        <v>468</v>
      </c>
      <c r="J14" s="1252"/>
      <c r="K14" s="619" t="s">
        <v>2</v>
      </c>
      <c r="L14" s="619" t="s">
        <v>3</v>
      </c>
      <c r="M14" s="439"/>
      <c r="N14" s="439"/>
      <c r="O14" s="439"/>
      <c r="P14" s="439"/>
      <c r="Q14" s="439"/>
      <c r="R14" s="439"/>
      <c r="S14" s="439"/>
      <c r="T14" s="439"/>
      <c r="U14" s="439"/>
      <c r="V14" s="562"/>
      <c r="W14" s="562"/>
      <c r="X14" s="562"/>
      <c r="Y14" s="562"/>
      <c r="Z14" s="564"/>
      <c r="AA14" s="1256">
        <v>2015</v>
      </c>
      <c r="AB14" s="1254">
        <v>2020</v>
      </c>
      <c r="AC14" s="1256">
        <v>2030</v>
      </c>
      <c r="AD14" s="1252">
        <v>2050</v>
      </c>
      <c r="AE14" s="1254" t="s">
        <v>467</v>
      </c>
      <c r="AF14" s="1252"/>
      <c r="AG14" s="1255" t="s">
        <v>468</v>
      </c>
      <c r="AH14" s="1252"/>
      <c r="AI14" s="619" t="s">
        <v>2</v>
      </c>
      <c r="AJ14" s="690" t="s">
        <v>3</v>
      </c>
      <c r="AK14" s="562"/>
      <c r="AL14" s="562"/>
      <c r="AM14" s="562"/>
      <c r="AN14" s="562"/>
      <c r="AO14" s="562"/>
      <c r="AP14" s="562"/>
      <c r="AQ14" s="562"/>
      <c r="AR14" s="562"/>
      <c r="AS14" s="562"/>
      <c r="AT14" s="562"/>
      <c r="AU14" s="562"/>
    </row>
    <row r="15" spans="1:94" ht="25.5" customHeight="1" thickBot="1">
      <c r="A15" s="606"/>
      <c r="B15" s="606" t="s">
        <v>4</v>
      </c>
      <c r="C15" s="1259"/>
      <c r="D15" s="1257"/>
      <c r="E15" s="1257"/>
      <c r="F15" s="1253"/>
      <c r="G15" s="565" t="s">
        <v>469</v>
      </c>
      <c r="H15" s="681" t="s">
        <v>470</v>
      </c>
      <c r="I15" s="566" t="s">
        <v>469</v>
      </c>
      <c r="J15" s="567" t="s">
        <v>470</v>
      </c>
      <c r="K15" s="682"/>
      <c r="L15" s="683"/>
      <c r="M15" s="439"/>
      <c r="N15" s="439"/>
      <c r="O15" s="439"/>
      <c r="P15" s="439"/>
      <c r="Q15" s="439"/>
      <c r="R15" s="439"/>
      <c r="S15" s="439"/>
      <c r="T15" s="439"/>
      <c r="U15" s="439"/>
      <c r="V15" s="562"/>
      <c r="W15" s="562"/>
      <c r="X15" s="562"/>
      <c r="Y15" s="562"/>
      <c r="Z15" s="606" t="s">
        <v>4</v>
      </c>
      <c r="AA15" s="1257"/>
      <c r="AB15" s="1258"/>
      <c r="AC15" s="1257"/>
      <c r="AD15" s="1253"/>
      <c r="AE15" s="565" t="s">
        <v>469</v>
      </c>
      <c r="AF15" s="566" t="s">
        <v>470</v>
      </c>
      <c r="AG15" s="681" t="s">
        <v>469</v>
      </c>
      <c r="AH15" s="566" t="s">
        <v>470</v>
      </c>
      <c r="AI15" s="691"/>
      <c r="AJ15" s="683"/>
      <c r="AK15" s="562"/>
      <c r="AL15" s="562"/>
      <c r="AM15" s="562"/>
      <c r="AN15" s="562"/>
      <c r="AO15" s="562"/>
      <c r="AP15" s="562"/>
      <c r="AQ15" s="562"/>
      <c r="AR15" s="562"/>
      <c r="AS15" s="562"/>
      <c r="AT15" s="562"/>
      <c r="AU15" s="562"/>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1:94" ht="25.5" customHeight="1" thickBot="1">
      <c r="A16" s="607"/>
      <c r="B16" s="607" t="s">
        <v>5</v>
      </c>
      <c r="C16" s="580">
        <v>10</v>
      </c>
      <c r="D16" s="580">
        <v>10</v>
      </c>
      <c r="E16" s="580">
        <v>10</v>
      </c>
      <c r="F16" s="580">
        <v>10</v>
      </c>
      <c r="G16" s="621">
        <v>10</v>
      </c>
      <c r="H16" s="621">
        <v>50</v>
      </c>
      <c r="I16" s="621">
        <v>10</v>
      </c>
      <c r="J16" s="621">
        <v>50</v>
      </c>
      <c r="K16" s="621" t="s">
        <v>625</v>
      </c>
      <c r="L16" s="621"/>
      <c r="M16" s="439"/>
      <c r="N16" s="439">
        <f>F16*8760</f>
        <v>87600</v>
      </c>
      <c r="O16" s="439">
        <f>18000/N16</f>
        <v>0.20547945205479451</v>
      </c>
      <c r="P16" s="439"/>
      <c r="Q16" s="439"/>
      <c r="R16" s="439"/>
      <c r="S16" s="439"/>
      <c r="T16" s="439"/>
      <c r="U16" s="439"/>
      <c r="V16" s="562"/>
      <c r="W16" s="562"/>
      <c r="X16" s="562"/>
      <c r="Y16" s="562"/>
      <c r="Z16" s="607" t="s">
        <v>5</v>
      </c>
      <c r="AA16" s="580">
        <v>44</v>
      </c>
      <c r="AB16" s="580">
        <v>80</v>
      </c>
      <c r="AC16" s="580">
        <v>80</v>
      </c>
      <c r="AD16" s="580">
        <v>80</v>
      </c>
      <c r="AE16" s="621" t="s">
        <v>626</v>
      </c>
      <c r="AF16" s="621" t="s">
        <v>626</v>
      </c>
      <c r="AG16" s="621" t="s">
        <v>626</v>
      </c>
      <c r="AH16" s="621" t="s">
        <v>626</v>
      </c>
      <c r="AI16" s="621" t="s">
        <v>631</v>
      </c>
      <c r="AJ16" s="690"/>
      <c r="AK16" s="562"/>
      <c r="AL16" s="562"/>
      <c r="AM16" s="562"/>
      <c r="AN16" s="562"/>
      <c r="AO16" s="562"/>
      <c r="AP16" s="562"/>
      <c r="AQ16" s="562"/>
      <c r="AR16" s="562"/>
      <c r="AS16" s="562"/>
      <c r="AT16" s="562"/>
      <c r="AU16" s="562"/>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1:94" ht="15.75" customHeight="1" thickBot="1">
      <c r="A17" s="607"/>
      <c r="B17" s="607" t="s">
        <v>77</v>
      </c>
      <c r="C17" s="621">
        <v>0</v>
      </c>
      <c r="D17" s="621">
        <v>0</v>
      </c>
      <c r="E17" s="621">
        <v>0</v>
      </c>
      <c r="F17" s="621">
        <v>0</v>
      </c>
      <c r="G17" s="621">
        <v>0</v>
      </c>
      <c r="H17" s="621">
        <v>0</v>
      </c>
      <c r="I17" s="621">
        <v>0</v>
      </c>
      <c r="J17" s="621">
        <v>0</v>
      </c>
      <c r="K17" s="621"/>
      <c r="L17" s="621"/>
      <c r="M17" s="439"/>
      <c r="N17" s="439"/>
      <c r="O17" s="439"/>
      <c r="P17" s="439"/>
      <c r="Q17" s="439"/>
      <c r="R17" s="439"/>
      <c r="S17" s="439"/>
      <c r="T17" s="439"/>
      <c r="U17" s="439"/>
      <c r="V17" s="562"/>
      <c r="W17" s="562"/>
      <c r="X17" s="562"/>
      <c r="Y17" s="562"/>
      <c r="Z17" s="607" t="s">
        <v>77</v>
      </c>
      <c r="AA17" s="621">
        <v>0</v>
      </c>
      <c r="AB17" s="621">
        <v>0</v>
      </c>
      <c r="AC17" s="621">
        <v>0</v>
      </c>
      <c r="AD17" s="621">
        <v>0</v>
      </c>
      <c r="AE17" s="621">
        <v>0</v>
      </c>
      <c r="AF17" s="621">
        <v>0</v>
      </c>
      <c r="AG17" s="621">
        <v>0</v>
      </c>
      <c r="AH17" s="621">
        <v>0</v>
      </c>
      <c r="AI17" s="621"/>
      <c r="AJ17" s="621"/>
      <c r="AK17" s="562"/>
      <c r="AL17" s="562"/>
      <c r="AM17" s="562"/>
      <c r="AN17" s="562"/>
      <c r="AO17" s="562"/>
      <c r="AP17" s="562"/>
      <c r="AQ17" s="562"/>
      <c r="AR17" s="562"/>
      <c r="AS17" s="562"/>
      <c r="AT17" s="562"/>
      <c r="AU17" s="562"/>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1:94" ht="15.75" customHeight="1" thickBot="1">
      <c r="A18" s="607"/>
      <c r="B18" s="607" t="s">
        <v>7</v>
      </c>
      <c r="C18" s="621">
        <v>100</v>
      </c>
      <c r="D18" s="621">
        <v>100</v>
      </c>
      <c r="E18" s="621">
        <v>100</v>
      </c>
      <c r="F18" s="621">
        <v>100</v>
      </c>
      <c r="G18" s="621" t="s">
        <v>626</v>
      </c>
      <c r="H18" s="621" t="s">
        <v>626</v>
      </c>
      <c r="I18" s="621" t="s">
        <v>626</v>
      </c>
      <c r="J18" s="621" t="s">
        <v>626</v>
      </c>
      <c r="K18" s="621"/>
      <c r="L18" s="621"/>
      <c r="M18" s="439"/>
      <c r="N18" s="439"/>
      <c r="O18" s="439"/>
      <c r="P18" s="439"/>
      <c r="Q18" s="439"/>
      <c r="R18" s="439"/>
      <c r="S18" s="439"/>
      <c r="T18" s="439"/>
      <c r="U18" s="439"/>
      <c r="V18" s="562"/>
      <c r="W18" s="562"/>
      <c r="X18" s="562"/>
      <c r="Y18" s="562"/>
      <c r="Z18" s="607" t="s">
        <v>7</v>
      </c>
      <c r="AA18" s="621">
        <v>100</v>
      </c>
      <c r="AB18" s="621">
        <v>100</v>
      </c>
      <c r="AC18" s="621">
        <v>100</v>
      </c>
      <c r="AD18" s="621">
        <v>100</v>
      </c>
      <c r="AE18" s="621" t="s">
        <v>626</v>
      </c>
      <c r="AF18" s="621" t="s">
        <v>626</v>
      </c>
      <c r="AG18" s="621" t="s">
        <v>626</v>
      </c>
      <c r="AH18" s="621" t="s">
        <v>626</v>
      </c>
      <c r="AI18" s="621"/>
      <c r="AJ18" s="621"/>
      <c r="AK18" s="562"/>
      <c r="AL18" s="562"/>
      <c r="AM18" s="562"/>
      <c r="AN18" s="562"/>
      <c r="AO18" s="562"/>
      <c r="AP18" s="562"/>
      <c r="AQ18" s="562"/>
      <c r="AR18" s="562"/>
      <c r="AS18" s="562"/>
      <c r="AT18" s="562"/>
      <c r="AU18" s="562"/>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1:94" ht="15.75" customHeight="1" thickBot="1">
      <c r="A19" s="607"/>
      <c r="B19" s="607" t="s">
        <v>8</v>
      </c>
      <c r="C19" s="621">
        <v>100</v>
      </c>
      <c r="D19" s="621">
        <v>100</v>
      </c>
      <c r="E19" s="621">
        <v>100</v>
      </c>
      <c r="F19" s="621">
        <v>100</v>
      </c>
      <c r="G19" s="621" t="s">
        <v>626</v>
      </c>
      <c r="H19" s="621" t="s">
        <v>626</v>
      </c>
      <c r="I19" s="621" t="s">
        <v>626</v>
      </c>
      <c r="J19" s="621" t="s">
        <v>626</v>
      </c>
      <c r="K19" s="621"/>
      <c r="L19" s="621"/>
      <c r="M19" s="439"/>
      <c r="N19" s="439"/>
      <c r="O19" s="439"/>
      <c r="P19" s="439"/>
      <c r="Q19" s="439"/>
      <c r="R19" s="439"/>
      <c r="S19" s="439"/>
      <c r="T19" s="439"/>
      <c r="U19" s="439"/>
      <c r="V19" s="562"/>
      <c r="W19" s="562"/>
      <c r="X19" s="562"/>
      <c r="Y19" s="562"/>
      <c r="Z19" s="607" t="s">
        <v>8</v>
      </c>
      <c r="AA19" s="621">
        <v>100</v>
      </c>
      <c r="AB19" s="621">
        <v>100</v>
      </c>
      <c r="AC19" s="621">
        <v>100</v>
      </c>
      <c r="AD19" s="621">
        <v>100</v>
      </c>
      <c r="AE19" s="621" t="s">
        <v>626</v>
      </c>
      <c r="AF19" s="621" t="s">
        <v>626</v>
      </c>
      <c r="AG19" s="621" t="s">
        <v>626</v>
      </c>
      <c r="AH19" s="621" t="s">
        <v>626</v>
      </c>
      <c r="AI19" s="621"/>
      <c r="AJ19" s="621"/>
      <c r="AK19" s="562"/>
      <c r="AL19" s="562"/>
      <c r="AM19" s="562"/>
      <c r="AN19" s="562"/>
      <c r="AO19" s="562"/>
      <c r="AP19" s="562"/>
      <c r="AQ19" s="562"/>
      <c r="AR19" s="562"/>
      <c r="AS19" s="562"/>
      <c r="AT19" s="562"/>
      <c r="AU19" s="562"/>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1:94" ht="15.75" customHeight="1" thickBot="1">
      <c r="A20" s="607"/>
      <c r="B20" s="607" t="s">
        <v>86</v>
      </c>
      <c r="C20" s="621" t="s">
        <v>626</v>
      </c>
      <c r="D20" s="621" t="s">
        <v>626</v>
      </c>
      <c r="E20" s="621" t="s">
        <v>626</v>
      </c>
      <c r="F20" s="621" t="s">
        <v>626</v>
      </c>
      <c r="G20" s="621" t="s">
        <v>626</v>
      </c>
      <c r="H20" s="621" t="s">
        <v>626</v>
      </c>
      <c r="I20" s="621" t="s">
        <v>626</v>
      </c>
      <c r="J20" s="621" t="s">
        <v>626</v>
      </c>
      <c r="K20" s="621"/>
      <c r="L20" s="621"/>
      <c r="M20" s="439"/>
      <c r="N20" s="439"/>
      <c r="O20" s="439"/>
      <c r="P20" s="439"/>
      <c r="Q20" s="439"/>
      <c r="R20" s="439"/>
      <c r="S20" s="439"/>
      <c r="T20" s="439"/>
      <c r="U20" s="439"/>
      <c r="V20" s="562"/>
      <c r="W20" s="562"/>
      <c r="X20" s="562"/>
      <c r="Y20" s="562"/>
      <c r="Z20" s="607" t="s">
        <v>86</v>
      </c>
      <c r="AA20" s="621" t="s">
        <v>626</v>
      </c>
      <c r="AB20" s="621" t="s">
        <v>626</v>
      </c>
      <c r="AC20" s="621" t="s">
        <v>626</v>
      </c>
      <c r="AD20" s="621" t="s">
        <v>626</v>
      </c>
      <c r="AE20" s="621" t="s">
        <v>626</v>
      </c>
      <c r="AF20" s="621" t="s">
        <v>626</v>
      </c>
      <c r="AG20" s="621" t="s">
        <v>626</v>
      </c>
      <c r="AH20" s="621" t="s">
        <v>626</v>
      </c>
      <c r="AI20" s="621"/>
      <c r="AJ20" s="621"/>
      <c r="AK20" s="562"/>
      <c r="AL20" s="562"/>
      <c r="AM20" s="562"/>
      <c r="AN20" s="562"/>
      <c r="AO20" s="562"/>
      <c r="AP20" s="562"/>
      <c r="AQ20" s="562"/>
      <c r="AR20" s="562"/>
      <c r="AS20" s="562"/>
      <c r="AT20" s="562"/>
      <c r="AU20" s="562"/>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1:94" ht="15.75" customHeight="1" thickBot="1">
      <c r="A21" s="607"/>
      <c r="B21" s="607" t="s">
        <v>9</v>
      </c>
      <c r="C21" s="621">
        <v>135</v>
      </c>
      <c r="D21" s="621">
        <v>145</v>
      </c>
      <c r="E21" s="621">
        <v>170</v>
      </c>
      <c r="F21" s="621">
        <v>170</v>
      </c>
      <c r="G21" s="621" t="s">
        <v>626</v>
      </c>
      <c r="H21" s="621" t="s">
        <v>626</v>
      </c>
      <c r="I21" s="621" t="s">
        <v>626</v>
      </c>
      <c r="J21" s="621" t="s">
        <v>626</v>
      </c>
      <c r="K21" s="621" t="s">
        <v>42</v>
      </c>
      <c r="L21" s="621">
        <v>2.16</v>
      </c>
      <c r="M21" s="439"/>
      <c r="N21" s="439"/>
      <c r="O21" s="439"/>
      <c r="P21" s="439"/>
      <c r="Q21" s="439"/>
      <c r="R21" s="439"/>
      <c r="S21" s="439"/>
      <c r="T21" s="439"/>
      <c r="U21" s="439"/>
      <c r="V21" s="562"/>
      <c r="W21" s="562"/>
      <c r="X21" s="562"/>
      <c r="Y21" s="562"/>
      <c r="Z21" s="607" t="s">
        <v>9</v>
      </c>
      <c r="AA21" s="621">
        <v>135</v>
      </c>
      <c r="AB21" s="621">
        <v>145</v>
      </c>
      <c r="AC21" s="621">
        <v>170</v>
      </c>
      <c r="AD21" s="621">
        <v>170</v>
      </c>
      <c r="AE21" s="621" t="s">
        <v>626</v>
      </c>
      <c r="AF21" s="621" t="s">
        <v>626</v>
      </c>
      <c r="AG21" s="621" t="s">
        <v>626</v>
      </c>
      <c r="AH21" s="621" t="s">
        <v>626</v>
      </c>
      <c r="AI21" s="621" t="s">
        <v>42</v>
      </c>
      <c r="AJ21" s="621">
        <v>2.16</v>
      </c>
      <c r="AK21" s="562"/>
      <c r="AL21" s="562"/>
      <c r="AM21" s="562"/>
      <c r="AN21" s="562"/>
      <c r="AO21" s="562"/>
      <c r="AP21" s="562"/>
      <c r="AQ21" s="562"/>
      <c r="AR21" s="562"/>
      <c r="AS21" s="562"/>
      <c r="AT21" s="562"/>
      <c r="AU21" s="562"/>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1:94" ht="15.75" customHeight="1" thickBot="1">
      <c r="A22" s="607"/>
      <c r="B22" s="607" t="s">
        <v>472</v>
      </c>
      <c r="C22" s="621" t="s">
        <v>626</v>
      </c>
      <c r="D22" s="621" t="s">
        <v>626</v>
      </c>
      <c r="E22" s="621" t="s">
        <v>626</v>
      </c>
      <c r="F22" s="621" t="s">
        <v>626</v>
      </c>
      <c r="G22" s="621" t="s">
        <v>626</v>
      </c>
      <c r="H22" s="621" t="s">
        <v>626</v>
      </c>
      <c r="I22" s="621" t="s">
        <v>626</v>
      </c>
      <c r="J22" s="621" t="s">
        <v>626</v>
      </c>
      <c r="K22" s="621"/>
      <c r="L22" s="621"/>
      <c r="M22" s="439"/>
      <c r="N22" s="439"/>
      <c r="O22" s="439"/>
      <c r="P22" s="439"/>
      <c r="Q22" s="439"/>
      <c r="R22" s="439"/>
      <c r="S22" s="439"/>
      <c r="T22" s="439"/>
      <c r="U22" s="439"/>
      <c r="V22" s="562"/>
      <c r="W22" s="562"/>
      <c r="X22" s="562"/>
      <c r="Y22" s="562"/>
      <c r="Z22" s="607" t="s">
        <v>472</v>
      </c>
      <c r="AA22" s="621" t="s">
        <v>626</v>
      </c>
      <c r="AB22" s="621" t="s">
        <v>626</v>
      </c>
      <c r="AC22" s="621" t="s">
        <v>626</v>
      </c>
      <c r="AD22" s="621" t="s">
        <v>626</v>
      </c>
      <c r="AE22" s="621" t="s">
        <v>626</v>
      </c>
      <c r="AF22" s="621" t="s">
        <v>626</v>
      </c>
      <c r="AG22" s="621" t="s">
        <v>626</v>
      </c>
      <c r="AH22" s="621" t="s">
        <v>626</v>
      </c>
      <c r="AI22" s="621"/>
      <c r="AJ22" s="621"/>
      <c r="AK22" s="562"/>
      <c r="AL22" s="562"/>
      <c r="AM22" s="562"/>
      <c r="AN22" s="562"/>
      <c r="AO22" s="562"/>
      <c r="AP22" s="562"/>
      <c r="AQ22" s="562"/>
      <c r="AR22" s="562"/>
      <c r="AS22" s="562"/>
      <c r="AT22" s="562"/>
      <c r="AU22" s="562"/>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1:94" ht="15.75" customHeight="1" thickBot="1">
      <c r="A23" s="607"/>
      <c r="B23" s="607" t="s">
        <v>10</v>
      </c>
      <c r="C23" s="621">
        <v>20</v>
      </c>
      <c r="D23" s="621">
        <v>20</v>
      </c>
      <c r="E23" s="621">
        <v>20</v>
      </c>
      <c r="F23" s="621">
        <v>20</v>
      </c>
      <c r="G23" s="621" t="s">
        <v>626</v>
      </c>
      <c r="H23" s="621" t="s">
        <v>626</v>
      </c>
      <c r="I23" s="621" t="s">
        <v>626</v>
      </c>
      <c r="J23" s="621" t="s">
        <v>626</v>
      </c>
      <c r="K23" s="621" t="s">
        <v>19</v>
      </c>
      <c r="L23" s="621"/>
      <c r="M23" s="439"/>
      <c r="N23" s="439"/>
      <c r="O23" s="439"/>
      <c r="P23" s="439"/>
      <c r="Q23" s="439"/>
      <c r="R23" s="439"/>
      <c r="S23" s="439"/>
      <c r="T23" s="439"/>
      <c r="U23" s="439"/>
      <c r="V23" s="562"/>
      <c r="W23" s="562"/>
      <c r="X23" s="562"/>
      <c r="Y23" s="562"/>
      <c r="Z23" s="607" t="s">
        <v>10</v>
      </c>
      <c r="AA23" s="621">
        <v>20</v>
      </c>
      <c r="AB23" s="621">
        <v>20</v>
      </c>
      <c r="AC23" s="621">
        <v>20</v>
      </c>
      <c r="AD23" s="621">
        <v>20</v>
      </c>
      <c r="AE23" s="621" t="s">
        <v>626</v>
      </c>
      <c r="AF23" s="621" t="s">
        <v>626</v>
      </c>
      <c r="AG23" s="621" t="s">
        <v>626</v>
      </c>
      <c r="AH23" s="621" t="s">
        <v>626</v>
      </c>
      <c r="AI23" s="621" t="s">
        <v>19</v>
      </c>
      <c r="AJ23" s="621"/>
      <c r="AK23" s="562"/>
      <c r="AL23" s="562"/>
      <c r="AM23" s="562"/>
      <c r="AN23" s="562"/>
      <c r="AO23" s="562"/>
      <c r="AP23" s="562"/>
      <c r="AQ23" s="562"/>
      <c r="AR23" s="562"/>
      <c r="AS23" s="562"/>
      <c r="AT23" s="562"/>
      <c r="AU23" s="562"/>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1:94" ht="15.75" customHeight="1" thickBot="1">
      <c r="A24" s="606"/>
      <c r="B24" s="606" t="s">
        <v>488</v>
      </c>
      <c r="C24" s="569"/>
      <c r="D24" s="569"/>
      <c r="E24" s="569"/>
      <c r="F24" s="569"/>
      <c r="G24" s="569"/>
      <c r="H24" s="569"/>
      <c r="I24" s="569"/>
      <c r="J24" s="569"/>
      <c r="K24" s="569"/>
      <c r="L24" s="621"/>
      <c r="M24" s="439"/>
      <c r="N24" s="439"/>
      <c r="O24" s="439"/>
      <c r="P24" s="439"/>
      <c r="Q24" s="439"/>
      <c r="R24" s="439"/>
      <c r="S24" s="439"/>
      <c r="T24" s="439"/>
      <c r="U24" s="439"/>
      <c r="V24" s="562"/>
      <c r="W24" s="562"/>
      <c r="X24" s="562"/>
      <c r="Y24" s="562"/>
      <c r="Z24" s="606" t="s">
        <v>488</v>
      </c>
      <c r="AA24" s="569"/>
      <c r="AB24" s="569"/>
      <c r="AC24" s="569"/>
      <c r="AD24" s="569"/>
      <c r="AE24" s="569"/>
      <c r="AF24" s="569"/>
      <c r="AG24" s="569"/>
      <c r="AH24" s="569"/>
      <c r="AI24" s="569"/>
      <c r="AJ24" s="621"/>
      <c r="AK24" s="562"/>
      <c r="AL24" s="562"/>
      <c r="AM24" s="562"/>
      <c r="AN24" s="562"/>
      <c r="AO24" s="562"/>
      <c r="AP24" s="562"/>
      <c r="AQ24" s="562"/>
      <c r="AR24" s="562"/>
      <c r="AS24" s="562"/>
      <c r="AT24" s="562"/>
      <c r="AU24" s="562"/>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1:94" ht="15.75" customHeight="1" thickBot="1">
      <c r="A25" s="607"/>
      <c r="B25" s="607" t="s">
        <v>578</v>
      </c>
      <c r="C25" s="621" t="s">
        <v>626</v>
      </c>
      <c r="D25" s="621" t="s">
        <v>626</v>
      </c>
      <c r="E25" s="621" t="s">
        <v>626</v>
      </c>
      <c r="F25" s="621" t="s">
        <v>626</v>
      </c>
      <c r="G25" s="621" t="s">
        <v>626</v>
      </c>
      <c r="H25" s="621" t="s">
        <v>626</v>
      </c>
      <c r="I25" s="621" t="s">
        <v>626</v>
      </c>
      <c r="J25" s="621" t="s">
        <v>626</v>
      </c>
      <c r="K25" s="570"/>
      <c r="L25" s="621"/>
      <c r="M25" s="439"/>
      <c r="N25" s="439"/>
      <c r="O25" s="439"/>
      <c r="P25" s="439"/>
      <c r="Q25" s="439"/>
      <c r="R25" s="439"/>
      <c r="S25" s="439"/>
      <c r="T25" s="439"/>
      <c r="U25" s="439"/>
      <c r="V25" s="562"/>
      <c r="W25" s="562"/>
      <c r="X25" s="562"/>
      <c r="Y25" s="562"/>
      <c r="Z25" s="607" t="s">
        <v>578</v>
      </c>
      <c r="AA25" s="621" t="s">
        <v>626</v>
      </c>
      <c r="AB25" s="621" t="s">
        <v>626</v>
      </c>
      <c r="AC25" s="621" t="s">
        <v>626</v>
      </c>
      <c r="AD25" s="621" t="s">
        <v>626</v>
      </c>
      <c r="AE25" s="621" t="s">
        <v>626</v>
      </c>
      <c r="AF25" s="621" t="s">
        <v>626</v>
      </c>
      <c r="AG25" s="621" t="s">
        <v>626</v>
      </c>
      <c r="AH25" s="621" t="s">
        <v>626</v>
      </c>
      <c r="AI25" s="570"/>
      <c r="AJ25" s="621"/>
      <c r="AK25" s="562"/>
      <c r="AL25" s="562"/>
      <c r="AM25" s="562"/>
      <c r="AN25" s="562"/>
      <c r="AO25" s="562"/>
      <c r="AP25" s="562"/>
      <c r="AQ25" s="562"/>
      <c r="AR25" s="562"/>
      <c r="AS25" s="562"/>
      <c r="AT25" s="562"/>
      <c r="AU25" s="562"/>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1:94" ht="15.75" customHeight="1" thickBot="1">
      <c r="A26" s="607"/>
      <c r="B26" s="607" t="s">
        <v>492</v>
      </c>
      <c r="C26" s="621" t="s">
        <v>626</v>
      </c>
      <c r="D26" s="621" t="s">
        <v>626</v>
      </c>
      <c r="E26" s="621" t="s">
        <v>626</v>
      </c>
      <c r="F26" s="621" t="s">
        <v>626</v>
      </c>
      <c r="G26" s="621" t="s">
        <v>626</v>
      </c>
      <c r="H26" s="621" t="s">
        <v>626</v>
      </c>
      <c r="I26" s="621" t="s">
        <v>626</v>
      </c>
      <c r="J26" s="621" t="s">
        <v>626</v>
      </c>
      <c r="K26" s="570"/>
      <c r="L26" s="621"/>
      <c r="M26" s="439"/>
      <c r="N26" s="439"/>
      <c r="O26" s="439"/>
      <c r="P26" s="439"/>
      <c r="Q26" s="439"/>
      <c r="R26" s="439"/>
      <c r="S26" s="439"/>
      <c r="T26" s="439"/>
      <c r="U26" s="439"/>
      <c r="V26" s="562"/>
      <c r="W26" s="562"/>
      <c r="X26" s="562"/>
      <c r="Y26" s="562"/>
      <c r="Z26" s="607" t="s">
        <v>492</v>
      </c>
      <c r="AA26" s="621" t="s">
        <v>626</v>
      </c>
      <c r="AB26" s="621" t="s">
        <v>626</v>
      </c>
      <c r="AC26" s="621" t="s">
        <v>626</v>
      </c>
      <c r="AD26" s="621" t="s">
        <v>626</v>
      </c>
      <c r="AE26" s="621" t="s">
        <v>626</v>
      </c>
      <c r="AF26" s="621" t="s">
        <v>626</v>
      </c>
      <c r="AG26" s="621" t="s">
        <v>626</v>
      </c>
      <c r="AH26" s="621" t="s">
        <v>626</v>
      </c>
      <c r="AI26" s="570"/>
      <c r="AJ26" s="621"/>
      <c r="AK26" s="562"/>
      <c r="AL26" s="562"/>
      <c r="AM26" s="562"/>
      <c r="AN26" s="562"/>
      <c r="AO26" s="562"/>
      <c r="AP26" s="562"/>
      <c r="AQ26" s="562"/>
      <c r="AR26" s="562"/>
      <c r="AS26" s="562"/>
      <c r="AT26" s="562"/>
      <c r="AU26" s="562"/>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1:94" ht="15.75" customHeight="1" thickBot="1">
      <c r="A27" s="607"/>
      <c r="B27" s="607" t="s">
        <v>493</v>
      </c>
      <c r="C27" s="621" t="s">
        <v>626</v>
      </c>
      <c r="D27" s="621" t="s">
        <v>626</v>
      </c>
      <c r="E27" s="621" t="s">
        <v>626</v>
      </c>
      <c r="F27" s="621" t="s">
        <v>626</v>
      </c>
      <c r="G27" s="621" t="s">
        <v>626</v>
      </c>
      <c r="H27" s="621" t="s">
        <v>626</v>
      </c>
      <c r="I27" s="621" t="s">
        <v>626</v>
      </c>
      <c r="J27" s="621" t="s">
        <v>626</v>
      </c>
      <c r="K27" s="570"/>
      <c r="L27" s="621"/>
      <c r="M27" s="439"/>
      <c r="N27" s="439"/>
      <c r="O27" s="439"/>
      <c r="P27" s="439"/>
      <c r="Q27" s="439"/>
      <c r="R27" s="439"/>
      <c r="S27" s="439"/>
      <c r="T27" s="439"/>
      <c r="U27" s="439"/>
      <c r="V27" s="562"/>
      <c r="W27" s="562"/>
      <c r="X27" s="562"/>
      <c r="Y27" s="562"/>
      <c r="Z27" s="607" t="s">
        <v>493</v>
      </c>
      <c r="AA27" s="621" t="s">
        <v>626</v>
      </c>
      <c r="AB27" s="621" t="s">
        <v>626</v>
      </c>
      <c r="AC27" s="621" t="s">
        <v>626</v>
      </c>
      <c r="AD27" s="621" t="s">
        <v>626</v>
      </c>
      <c r="AE27" s="621" t="s">
        <v>626</v>
      </c>
      <c r="AF27" s="621" t="s">
        <v>626</v>
      </c>
      <c r="AG27" s="621" t="s">
        <v>626</v>
      </c>
      <c r="AH27" s="621" t="s">
        <v>626</v>
      </c>
      <c r="AI27" s="570"/>
      <c r="AJ27" s="621"/>
      <c r="AK27" s="562"/>
      <c r="AL27" s="562"/>
      <c r="AM27" s="562"/>
      <c r="AN27" s="562"/>
      <c r="AO27" s="562"/>
      <c r="AP27" s="562"/>
      <c r="AQ27" s="562"/>
      <c r="AR27" s="562"/>
      <c r="AS27" s="562"/>
      <c r="AT27" s="562"/>
      <c r="AU27" s="562"/>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1:94" ht="15.75" customHeight="1" thickBot="1">
      <c r="A28" s="606"/>
      <c r="B28" s="606" t="s">
        <v>11</v>
      </c>
      <c r="C28" s="571"/>
      <c r="D28" s="571"/>
      <c r="E28" s="571"/>
      <c r="F28" s="571"/>
      <c r="G28" s="571"/>
      <c r="H28" s="571"/>
      <c r="I28" s="571"/>
      <c r="J28" s="571"/>
      <c r="K28" s="571"/>
      <c r="L28" s="572"/>
      <c r="M28" s="562"/>
      <c r="N28" s="439"/>
      <c r="O28" s="439"/>
      <c r="P28" s="439"/>
      <c r="Q28" s="439"/>
      <c r="R28" s="439"/>
      <c r="S28" s="439"/>
      <c r="T28" s="439"/>
      <c r="U28" s="439"/>
      <c r="V28" s="562"/>
      <c r="W28" s="562"/>
      <c r="X28" s="562"/>
      <c r="Y28" s="562"/>
      <c r="Z28" s="606" t="s">
        <v>11</v>
      </c>
      <c r="AA28" s="571"/>
      <c r="AB28" s="571"/>
      <c r="AC28" s="571"/>
      <c r="AD28" s="571"/>
      <c r="AE28" s="571"/>
      <c r="AF28" s="571"/>
      <c r="AG28" s="571"/>
      <c r="AH28" s="571"/>
      <c r="AI28" s="571"/>
      <c r="AJ28" s="572"/>
      <c r="AK28" s="562"/>
      <c r="AL28" s="562"/>
      <c r="AM28" s="562"/>
      <c r="AN28" s="562"/>
      <c r="AO28" s="562"/>
      <c r="AP28" s="562"/>
      <c r="AQ28" s="562"/>
      <c r="AR28" s="562"/>
      <c r="AS28" s="562"/>
      <c r="AT28" s="562"/>
      <c r="AU28" s="562"/>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1:94" ht="15.75" customHeight="1" thickBot="1">
      <c r="A29" s="607"/>
      <c r="B29" s="607" t="s">
        <v>474</v>
      </c>
      <c r="C29" s="621" t="s">
        <v>626</v>
      </c>
      <c r="D29" s="621" t="s">
        <v>626</v>
      </c>
      <c r="E29" s="621" t="s">
        <v>626</v>
      </c>
      <c r="F29" s="621" t="s">
        <v>626</v>
      </c>
      <c r="G29" s="621" t="s">
        <v>626</v>
      </c>
      <c r="H29" s="621" t="s">
        <v>626</v>
      </c>
      <c r="I29" s="621" t="s">
        <v>626</v>
      </c>
      <c r="J29" s="621" t="s">
        <v>626</v>
      </c>
      <c r="K29" s="621"/>
      <c r="L29" s="621"/>
      <c r="M29" s="562"/>
      <c r="N29" s="439"/>
      <c r="O29" s="439"/>
      <c r="P29" s="439"/>
      <c r="Q29" s="439"/>
      <c r="R29" s="439"/>
      <c r="S29" s="439"/>
      <c r="T29" s="439"/>
      <c r="U29" s="439"/>
      <c r="V29" s="562"/>
      <c r="W29" s="562"/>
      <c r="X29" s="562"/>
      <c r="Y29" s="562"/>
      <c r="Z29" s="607" t="s">
        <v>474</v>
      </c>
      <c r="AA29" s="621" t="s">
        <v>626</v>
      </c>
      <c r="AB29" s="621" t="s">
        <v>626</v>
      </c>
      <c r="AC29" s="621" t="s">
        <v>626</v>
      </c>
      <c r="AD29" s="621" t="s">
        <v>626</v>
      </c>
      <c r="AE29" s="621" t="s">
        <v>626</v>
      </c>
      <c r="AF29" s="621" t="s">
        <v>626</v>
      </c>
      <c r="AG29" s="621" t="s">
        <v>626</v>
      </c>
      <c r="AH29" s="621" t="s">
        <v>626</v>
      </c>
      <c r="AI29" s="621"/>
      <c r="AJ29" s="621"/>
      <c r="AK29" s="562"/>
      <c r="AL29" s="562"/>
      <c r="AM29" s="562"/>
      <c r="AN29" s="562"/>
      <c r="AO29" s="562"/>
      <c r="AP29" s="562"/>
      <c r="AQ29" s="562"/>
      <c r="AR29" s="562"/>
      <c r="AS29" s="562"/>
      <c r="AT29" s="562"/>
      <c r="AU29" s="562"/>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1:94" ht="15.75" customHeight="1" thickBot="1">
      <c r="A30" s="607"/>
      <c r="B30" s="607" t="s">
        <v>475</v>
      </c>
      <c r="C30" s="570">
        <v>15</v>
      </c>
      <c r="D30" s="570">
        <v>10</v>
      </c>
      <c r="E30" s="570">
        <v>5</v>
      </c>
      <c r="F30" s="570">
        <v>5</v>
      </c>
      <c r="G30" s="621" t="s">
        <v>626</v>
      </c>
      <c r="H30" s="621" t="s">
        <v>626</v>
      </c>
      <c r="I30" s="621" t="s">
        <v>626</v>
      </c>
      <c r="J30" s="621" t="s">
        <v>626</v>
      </c>
      <c r="K30" s="621"/>
      <c r="L30" s="621">
        <v>14</v>
      </c>
      <c r="M30" s="562"/>
      <c r="N30" s="439"/>
      <c r="O30" s="439"/>
      <c r="P30" s="439"/>
      <c r="Q30" s="439"/>
      <c r="R30" s="439"/>
      <c r="S30" s="439"/>
      <c r="T30" s="439"/>
      <c r="U30" s="439"/>
      <c r="V30" s="562"/>
      <c r="W30" s="562"/>
      <c r="X30" s="562"/>
      <c r="Y30" s="562"/>
      <c r="Z30" s="607" t="s">
        <v>475</v>
      </c>
      <c r="AA30" s="570">
        <v>15</v>
      </c>
      <c r="AB30" s="570">
        <v>10</v>
      </c>
      <c r="AC30" s="570">
        <v>5</v>
      </c>
      <c r="AD30" s="570">
        <v>5</v>
      </c>
      <c r="AE30" s="621" t="s">
        <v>626</v>
      </c>
      <c r="AF30" s="621" t="s">
        <v>626</v>
      </c>
      <c r="AG30" s="621" t="s">
        <v>626</v>
      </c>
      <c r="AH30" s="621" t="s">
        <v>626</v>
      </c>
      <c r="AI30" s="621"/>
      <c r="AJ30" s="621">
        <v>14</v>
      </c>
      <c r="AK30" s="562"/>
      <c r="AL30" s="562"/>
      <c r="AM30" s="562"/>
      <c r="AN30" s="562"/>
      <c r="AO30" s="562"/>
      <c r="AP30" s="562"/>
      <c r="AQ30" s="562"/>
      <c r="AR30" s="562"/>
      <c r="AS30" s="562"/>
      <c r="AT30" s="562"/>
      <c r="AU30" s="562"/>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1:94" ht="15.75" customHeight="1" thickBot="1">
      <c r="A31" s="607"/>
      <c r="B31" s="607" t="s">
        <v>476</v>
      </c>
      <c r="C31" s="570">
        <v>2</v>
      </c>
      <c r="D31" s="570">
        <v>1</v>
      </c>
      <c r="E31" s="684">
        <v>0.5</v>
      </c>
      <c r="F31" s="684">
        <v>0.5</v>
      </c>
      <c r="G31" s="621" t="s">
        <v>626</v>
      </c>
      <c r="H31" s="621" t="s">
        <v>626</v>
      </c>
      <c r="I31" s="621" t="s">
        <v>626</v>
      </c>
      <c r="J31" s="621" t="s">
        <v>626</v>
      </c>
      <c r="K31" s="621" t="s">
        <v>279</v>
      </c>
      <c r="L31" s="621"/>
      <c r="M31" s="562"/>
      <c r="N31" s="439"/>
      <c r="O31" s="439"/>
      <c r="P31" s="439"/>
      <c r="Q31" s="439"/>
      <c r="R31" s="439"/>
      <c r="S31" s="439"/>
      <c r="T31" s="439"/>
      <c r="U31" s="439"/>
      <c r="V31" s="562"/>
      <c r="W31" s="562"/>
      <c r="X31" s="562"/>
      <c r="Y31" s="562"/>
      <c r="Z31" s="607" t="s">
        <v>476</v>
      </c>
      <c r="AA31" s="570">
        <v>2</v>
      </c>
      <c r="AB31" s="570">
        <v>1</v>
      </c>
      <c r="AC31" s="684">
        <v>0.5</v>
      </c>
      <c r="AD31" s="684">
        <v>0.5</v>
      </c>
      <c r="AE31" s="621" t="s">
        <v>626</v>
      </c>
      <c r="AF31" s="621" t="s">
        <v>626</v>
      </c>
      <c r="AG31" s="621" t="s">
        <v>626</v>
      </c>
      <c r="AH31" s="621" t="s">
        <v>626</v>
      </c>
      <c r="AI31" s="621" t="s">
        <v>37</v>
      </c>
      <c r="AJ31" s="621"/>
      <c r="AK31" s="562"/>
      <c r="AL31" s="562"/>
      <c r="AM31" s="562"/>
      <c r="AN31" s="562"/>
      <c r="AO31" s="562"/>
      <c r="AP31" s="562"/>
      <c r="AQ31" s="562"/>
      <c r="AR31" s="562"/>
      <c r="AS31" s="562"/>
      <c r="AT31" s="562"/>
      <c r="AU31" s="562"/>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1:94" ht="15.75" customHeight="1" thickBot="1">
      <c r="A32" s="607"/>
      <c r="B32" s="607" t="s">
        <v>477</v>
      </c>
      <c r="C32" s="570">
        <v>0</v>
      </c>
      <c r="D32" s="570">
        <v>0</v>
      </c>
      <c r="E32" s="570">
        <v>0</v>
      </c>
      <c r="F32" s="570">
        <v>0</v>
      </c>
      <c r="G32" s="621" t="s">
        <v>626</v>
      </c>
      <c r="H32" s="621" t="s">
        <v>626</v>
      </c>
      <c r="I32" s="621" t="s">
        <v>626</v>
      </c>
      <c r="J32" s="621" t="s">
        <v>626</v>
      </c>
      <c r="K32" s="621" t="s">
        <v>279</v>
      </c>
      <c r="L32" s="621"/>
      <c r="M32" s="562"/>
      <c r="N32" s="439"/>
      <c r="O32" s="439"/>
      <c r="P32" s="439"/>
      <c r="Q32" s="439"/>
      <c r="R32" s="439"/>
      <c r="S32" s="439"/>
      <c r="T32" s="439"/>
      <c r="U32" s="439"/>
      <c r="V32" s="562"/>
      <c r="W32" s="562"/>
      <c r="X32" s="562"/>
      <c r="Y32" s="562"/>
      <c r="Z32" s="607" t="s">
        <v>477</v>
      </c>
      <c r="AA32" s="570">
        <v>0</v>
      </c>
      <c r="AB32" s="570">
        <v>0</v>
      </c>
      <c r="AC32" s="570">
        <v>0</v>
      </c>
      <c r="AD32" s="570">
        <v>0</v>
      </c>
      <c r="AE32" s="621" t="s">
        <v>626</v>
      </c>
      <c r="AF32" s="621" t="s">
        <v>626</v>
      </c>
      <c r="AG32" s="621" t="s">
        <v>626</v>
      </c>
      <c r="AH32" s="621" t="s">
        <v>626</v>
      </c>
      <c r="AI32" s="621" t="s">
        <v>37</v>
      </c>
      <c r="AJ32" s="621"/>
      <c r="AK32" s="562"/>
      <c r="AL32" s="562"/>
      <c r="AM32" s="562"/>
      <c r="AN32" s="562"/>
      <c r="AO32" s="562"/>
      <c r="AP32" s="562"/>
      <c r="AQ32" s="562"/>
      <c r="AR32" s="562"/>
      <c r="AS32" s="562"/>
      <c r="AT32" s="562"/>
      <c r="AU32" s="562"/>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1:94" ht="15.75" customHeight="1" thickBot="1">
      <c r="A33" s="607"/>
      <c r="B33" s="607" t="s">
        <v>18</v>
      </c>
      <c r="C33" s="570">
        <v>0</v>
      </c>
      <c r="D33" s="570">
        <v>0</v>
      </c>
      <c r="E33" s="570">
        <v>0</v>
      </c>
      <c r="F33" s="570">
        <v>0</v>
      </c>
      <c r="G33" s="621" t="s">
        <v>626</v>
      </c>
      <c r="H33" s="621" t="s">
        <v>626</v>
      </c>
      <c r="I33" s="621" t="s">
        <v>626</v>
      </c>
      <c r="J33" s="621" t="s">
        <v>626</v>
      </c>
      <c r="K33" s="621" t="s">
        <v>279</v>
      </c>
      <c r="L33" s="621"/>
      <c r="M33" s="562"/>
      <c r="N33" s="439"/>
      <c r="O33" s="439"/>
      <c r="P33" s="439"/>
      <c r="Q33" s="439"/>
      <c r="R33" s="439"/>
      <c r="S33" s="439"/>
      <c r="T33" s="439"/>
      <c r="U33" s="439"/>
      <c r="V33" s="562"/>
      <c r="W33" s="562"/>
      <c r="X33" s="562"/>
      <c r="Y33" s="562"/>
      <c r="Z33" s="607" t="s">
        <v>18</v>
      </c>
      <c r="AA33" s="570">
        <v>0</v>
      </c>
      <c r="AB33" s="570">
        <v>0</v>
      </c>
      <c r="AC33" s="570">
        <v>0</v>
      </c>
      <c r="AD33" s="570">
        <v>0</v>
      </c>
      <c r="AE33" s="621" t="s">
        <v>626</v>
      </c>
      <c r="AF33" s="621" t="s">
        <v>626</v>
      </c>
      <c r="AG33" s="621" t="s">
        <v>626</v>
      </c>
      <c r="AH33" s="621" t="s">
        <v>626</v>
      </c>
      <c r="AI33" s="621" t="s">
        <v>37</v>
      </c>
      <c r="AJ33" s="621"/>
      <c r="AK33" s="562"/>
      <c r="AL33" s="562"/>
      <c r="AM33" s="562"/>
      <c r="AN33" s="562"/>
      <c r="AO33" s="562"/>
      <c r="AP33" s="562"/>
      <c r="AQ33" s="562"/>
      <c r="AR33" s="562"/>
      <c r="AS33" s="562"/>
      <c r="AT33" s="562"/>
      <c r="AU33" s="562"/>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1:94" ht="15.75" customHeight="1" thickBot="1">
      <c r="A34" s="606"/>
      <c r="B34" s="606" t="s">
        <v>613</v>
      </c>
      <c r="C34" s="685"/>
      <c r="D34" s="685"/>
      <c r="E34" s="685"/>
      <c r="F34" s="685"/>
      <c r="G34" s="685"/>
      <c r="H34" s="685"/>
      <c r="I34" s="685"/>
      <c r="J34" s="685"/>
      <c r="K34" s="571"/>
      <c r="L34" s="572"/>
      <c r="M34" s="562"/>
      <c r="N34" s="439"/>
      <c r="O34" s="439"/>
      <c r="P34" s="439"/>
      <c r="Q34" s="439"/>
      <c r="R34" s="439"/>
      <c r="S34" s="439"/>
      <c r="T34" s="439"/>
      <c r="U34" s="439"/>
      <c r="V34" s="562"/>
      <c r="W34" s="562"/>
      <c r="X34" s="562"/>
      <c r="Y34" s="562"/>
      <c r="Z34" s="606" t="s">
        <v>613</v>
      </c>
      <c r="AA34" s="685"/>
      <c r="AB34" s="685"/>
      <c r="AC34" s="685"/>
      <c r="AD34" s="685"/>
      <c r="AE34" s="685"/>
      <c r="AF34" s="685"/>
      <c r="AG34" s="685"/>
      <c r="AH34" s="685"/>
      <c r="AI34" s="571"/>
      <c r="AJ34" s="572"/>
      <c r="AK34" s="562"/>
      <c r="AL34" s="562"/>
      <c r="AM34" s="562"/>
      <c r="AN34" s="562"/>
      <c r="AO34" s="562"/>
      <c r="AP34" s="562"/>
      <c r="AQ34" s="562"/>
      <c r="AR34" s="562"/>
      <c r="AS34" s="562"/>
      <c r="AT34" s="562"/>
      <c r="AU34" s="562"/>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row>
    <row r="35" spans="1:94" ht="15.75" customHeight="1">
      <c r="A35" s="609"/>
      <c r="B35" s="609" t="s">
        <v>22</v>
      </c>
      <c r="C35" s="619">
        <v>13</v>
      </c>
      <c r="D35" s="583">
        <v>12.219999999999999</v>
      </c>
      <c r="E35" s="583">
        <v>10.997999999999999</v>
      </c>
      <c r="F35" s="583">
        <v>9.8981999999999992</v>
      </c>
      <c r="G35" s="619" t="s">
        <v>626</v>
      </c>
      <c r="H35" s="619" t="s">
        <v>626</v>
      </c>
      <c r="I35" s="619" t="s">
        <v>626</v>
      </c>
      <c r="J35" s="619" t="s">
        <v>626</v>
      </c>
      <c r="K35" s="575" t="s">
        <v>627</v>
      </c>
      <c r="L35" s="575"/>
      <c r="M35" s="562"/>
      <c r="N35" s="439"/>
      <c r="O35" s="439"/>
      <c r="P35" s="439"/>
      <c r="Q35" s="439"/>
      <c r="R35" s="439"/>
      <c r="S35" s="439"/>
      <c r="T35" s="439"/>
      <c r="U35" s="439"/>
      <c r="V35" s="562"/>
      <c r="W35" s="562"/>
      <c r="X35" s="562"/>
      <c r="Y35" s="562"/>
      <c r="Z35" s="609" t="s">
        <v>22</v>
      </c>
      <c r="AA35" s="619">
        <v>18</v>
      </c>
      <c r="AB35" s="583">
        <v>17</v>
      </c>
      <c r="AC35" s="583">
        <v>15</v>
      </c>
      <c r="AD35" s="583">
        <v>14</v>
      </c>
      <c r="AE35" s="619" t="s">
        <v>626</v>
      </c>
      <c r="AF35" s="619" t="s">
        <v>626</v>
      </c>
      <c r="AG35" s="619" t="s">
        <v>626</v>
      </c>
      <c r="AH35" s="619" t="s">
        <v>626</v>
      </c>
      <c r="AI35" s="575" t="s">
        <v>627</v>
      </c>
      <c r="AJ35" s="575"/>
      <c r="AK35" s="562"/>
      <c r="AL35" s="562"/>
      <c r="AM35" s="562"/>
      <c r="AN35" s="562"/>
      <c r="AO35" s="562"/>
      <c r="AP35" s="562"/>
      <c r="AQ35" s="562"/>
      <c r="AR35" s="562"/>
      <c r="AS35" s="562"/>
      <c r="AT35" s="562"/>
      <c r="AU35" s="562"/>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1:94">
      <c r="A36" s="609"/>
      <c r="B36" s="609" t="s">
        <v>24</v>
      </c>
      <c r="C36" s="588">
        <v>77</v>
      </c>
      <c r="D36" s="588">
        <v>75</v>
      </c>
      <c r="E36" s="588">
        <v>70</v>
      </c>
      <c r="F36" s="686">
        <v>70</v>
      </c>
      <c r="G36" s="588" t="s">
        <v>626</v>
      </c>
      <c r="H36" s="588" t="s">
        <v>626</v>
      </c>
      <c r="I36" s="588" t="s">
        <v>626</v>
      </c>
      <c r="J36" s="588" t="s">
        <v>626</v>
      </c>
      <c r="K36" s="575"/>
      <c r="L36" s="575"/>
      <c r="M36" s="562"/>
      <c r="N36" s="439"/>
      <c r="O36" s="439"/>
      <c r="P36" s="439"/>
      <c r="Q36" s="439"/>
      <c r="R36" s="439"/>
      <c r="S36" s="439"/>
      <c r="T36" s="439"/>
      <c r="U36" s="439"/>
      <c r="V36" s="562"/>
      <c r="W36" s="562"/>
      <c r="X36" s="562"/>
      <c r="Y36" s="562"/>
      <c r="Z36" s="609" t="s">
        <v>24</v>
      </c>
      <c r="AA36" s="588">
        <v>78</v>
      </c>
      <c r="AB36" s="588">
        <v>78</v>
      </c>
      <c r="AC36" s="588">
        <v>78</v>
      </c>
      <c r="AD36" s="588">
        <v>78</v>
      </c>
      <c r="AE36" s="588" t="s">
        <v>626</v>
      </c>
      <c r="AF36" s="588" t="s">
        <v>626</v>
      </c>
      <c r="AG36" s="588" t="s">
        <v>626</v>
      </c>
      <c r="AH36" s="588" t="s">
        <v>626</v>
      </c>
      <c r="AI36" s="575"/>
      <c r="AJ36" s="575"/>
      <c r="AK36" s="562"/>
      <c r="AL36" s="562"/>
      <c r="AM36" s="562"/>
      <c r="AN36" s="562"/>
      <c r="AO36" s="562"/>
      <c r="AP36" s="562"/>
      <c r="AQ36" s="562"/>
      <c r="AR36" s="562"/>
      <c r="AS36" s="562"/>
      <c r="AT36" s="562"/>
      <c r="AU36" s="562"/>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1:94" ht="16" thickBot="1">
      <c r="A37" s="610"/>
      <c r="B37" s="610" t="s">
        <v>26</v>
      </c>
      <c r="C37" s="620">
        <v>23</v>
      </c>
      <c r="D37" s="620">
        <v>25</v>
      </c>
      <c r="E37" s="620">
        <v>30</v>
      </c>
      <c r="F37" s="618">
        <v>30</v>
      </c>
      <c r="G37" s="620" t="s">
        <v>626</v>
      </c>
      <c r="H37" s="620" t="s">
        <v>626</v>
      </c>
      <c r="I37" s="620" t="s">
        <v>626</v>
      </c>
      <c r="J37" s="620" t="s">
        <v>626</v>
      </c>
      <c r="K37" s="621"/>
      <c r="L37" s="621"/>
      <c r="M37" s="562"/>
      <c r="N37" s="439"/>
      <c r="O37" s="439"/>
      <c r="P37" s="439"/>
      <c r="Q37" s="439"/>
      <c r="R37" s="439"/>
      <c r="S37" s="439"/>
      <c r="T37" s="439"/>
      <c r="U37" s="439"/>
      <c r="V37" s="562"/>
      <c r="W37" s="562"/>
      <c r="X37" s="562"/>
      <c r="Y37" s="562"/>
      <c r="Z37" s="610" t="s">
        <v>26</v>
      </c>
      <c r="AA37" s="620">
        <v>22</v>
      </c>
      <c r="AB37" s="620">
        <v>22</v>
      </c>
      <c r="AC37" s="620">
        <v>22</v>
      </c>
      <c r="AD37" s="620">
        <v>22</v>
      </c>
      <c r="AE37" s="620" t="s">
        <v>626</v>
      </c>
      <c r="AF37" s="620" t="s">
        <v>626</v>
      </c>
      <c r="AG37" s="620" t="s">
        <v>626</v>
      </c>
      <c r="AH37" s="620" t="s">
        <v>626</v>
      </c>
      <c r="AI37" s="621"/>
      <c r="AJ37" s="621"/>
      <c r="AK37" s="562"/>
      <c r="AL37" s="562"/>
      <c r="AM37" s="562"/>
      <c r="AN37" s="562"/>
      <c r="AO37" s="562"/>
      <c r="AP37" s="562"/>
      <c r="AQ37" s="562"/>
      <c r="AR37" s="562"/>
      <c r="AS37" s="562"/>
      <c r="AT37" s="562"/>
      <c r="AU37" s="562"/>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1:94" ht="16" thickBot="1">
      <c r="A38" s="607"/>
      <c r="B38" s="607" t="s">
        <v>28</v>
      </c>
      <c r="C38" s="621">
        <v>2</v>
      </c>
      <c r="D38" s="621">
        <v>2</v>
      </c>
      <c r="E38" s="621">
        <v>2</v>
      </c>
      <c r="F38" s="621">
        <v>2</v>
      </c>
      <c r="G38" s="621" t="s">
        <v>626</v>
      </c>
      <c r="H38" s="621" t="s">
        <v>626</v>
      </c>
      <c r="I38" s="621" t="s">
        <v>626</v>
      </c>
      <c r="J38" s="621" t="s">
        <v>626</v>
      </c>
      <c r="K38" s="621" t="s">
        <v>40</v>
      </c>
      <c r="L38" s="621"/>
      <c r="M38" s="562"/>
      <c r="N38" s="561"/>
      <c r="O38" s="561"/>
      <c r="P38" s="561"/>
      <c r="Q38" s="439"/>
      <c r="R38" s="439"/>
      <c r="S38" s="439"/>
      <c r="T38" s="439"/>
      <c r="U38" s="439"/>
      <c r="V38" s="562"/>
      <c r="W38" s="562"/>
      <c r="X38" s="562"/>
      <c r="Y38" s="562"/>
      <c r="Z38" s="607" t="s">
        <v>28</v>
      </c>
      <c r="AA38" s="621">
        <v>1.6</v>
      </c>
      <c r="AB38" s="621">
        <v>1.6</v>
      </c>
      <c r="AC38" s="621">
        <v>1.6</v>
      </c>
      <c r="AD38" s="621">
        <v>1.6</v>
      </c>
      <c r="AE38" s="621" t="s">
        <v>626</v>
      </c>
      <c r="AF38" s="621" t="s">
        <v>626</v>
      </c>
      <c r="AG38" s="621" t="s">
        <v>626</v>
      </c>
      <c r="AH38" s="621" t="s">
        <v>626</v>
      </c>
      <c r="AI38" s="621" t="s">
        <v>40</v>
      </c>
      <c r="AJ38" s="621"/>
      <c r="AK38" s="562"/>
      <c r="AL38" s="562"/>
      <c r="AM38" s="562"/>
      <c r="AN38" s="562"/>
      <c r="AO38" s="562"/>
      <c r="AP38" s="562"/>
      <c r="AQ38" s="562"/>
      <c r="AR38" s="562"/>
      <c r="AS38" s="562"/>
      <c r="AT38" s="562"/>
      <c r="AU38" s="562"/>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1:94" ht="16" thickBot="1">
      <c r="A39" s="607"/>
      <c r="B39" s="607" t="s">
        <v>44</v>
      </c>
      <c r="C39" s="620">
        <v>235</v>
      </c>
      <c r="D39" s="620">
        <v>235</v>
      </c>
      <c r="E39" s="620">
        <v>235</v>
      </c>
      <c r="F39" s="620">
        <v>235</v>
      </c>
      <c r="G39" s="621" t="s">
        <v>626</v>
      </c>
      <c r="H39" s="621" t="s">
        <v>626</v>
      </c>
      <c r="I39" s="621" t="s">
        <v>626</v>
      </c>
      <c r="J39" s="621" t="s">
        <v>626</v>
      </c>
      <c r="K39" s="621" t="s">
        <v>15</v>
      </c>
      <c r="L39" s="621"/>
      <c r="M39" s="562"/>
      <c r="N39" s="351"/>
      <c r="O39" s="351"/>
      <c r="P39" s="561"/>
      <c r="Q39" s="439"/>
      <c r="R39" s="439"/>
      <c r="S39" s="439"/>
      <c r="T39" s="439"/>
      <c r="U39" s="439"/>
      <c r="V39" s="562"/>
      <c r="W39" s="562"/>
      <c r="X39" s="562"/>
      <c r="Y39" s="562"/>
      <c r="Z39" s="607" t="s">
        <v>44</v>
      </c>
      <c r="AA39" s="620">
        <v>235</v>
      </c>
      <c r="AB39" s="620">
        <v>235</v>
      </c>
      <c r="AC39" s="620">
        <v>235</v>
      </c>
      <c r="AD39" s="620">
        <v>235</v>
      </c>
      <c r="AE39" s="621" t="s">
        <v>626</v>
      </c>
      <c r="AF39" s="621" t="s">
        <v>626</v>
      </c>
      <c r="AG39" s="621" t="s">
        <v>626</v>
      </c>
      <c r="AH39" s="621" t="s">
        <v>626</v>
      </c>
      <c r="AI39" s="621" t="s">
        <v>15</v>
      </c>
      <c r="AJ39" s="621"/>
      <c r="AK39" s="562"/>
      <c r="AL39" s="562"/>
      <c r="AM39" s="562"/>
      <c r="AN39" s="562"/>
      <c r="AO39" s="562"/>
      <c r="AP39" s="562"/>
      <c r="AQ39" s="562"/>
      <c r="AR39" s="562"/>
      <c r="AS39" s="562"/>
      <c r="AT39" s="562"/>
      <c r="AU39" s="562"/>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1:94" ht="16" thickBot="1">
      <c r="A40" s="607"/>
      <c r="B40" s="607" t="s">
        <v>482</v>
      </c>
      <c r="C40" s="620">
        <v>0</v>
      </c>
      <c r="D40" s="621">
        <v>0</v>
      </c>
      <c r="E40" s="621">
        <v>0</v>
      </c>
      <c r="F40" s="621">
        <v>0</v>
      </c>
      <c r="G40" s="621" t="s">
        <v>626</v>
      </c>
      <c r="H40" s="621" t="s">
        <v>626</v>
      </c>
      <c r="I40" s="621" t="s">
        <v>626</v>
      </c>
      <c r="J40" s="621" t="s">
        <v>626</v>
      </c>
      <c r="K40" s="621" t="s">
        <v>19</v>
      </c>
      <c r="L40" s="621"/>
      <c r="M40" s="562"/>
      <c r="N40" s="561"/>
      <c r="O40" s="561"/>
      <c r="P40" s="561"/>
      <c r="Q40" s="439"/>
      <c r="R40" s="439"/>
      <c r="S40" s="439"/>
      <c r="T40" s="439"/>
      <c r="U40" s="439"/>
      <c r="V40" s="562"/>
      <c r="W40" s="562"/>
      <c r="X40" s="562"/>
      <c r="Y40" s="562"/>
      <c r="Z40" s="610" t="s">
        <v>482</v>
      </c>
      <c r="AA40" s="620">
        <v>0</v>
      </c>
      <c r="AB40" s="621">
        <v>0</v>
      </c>
      <c r="AC40" s="621">
        <v>0</v>
      </c>
      <c r="AD40" s="621">
        <v>0</v>
      </c>
      <c r="AE40" s="621" t="s">
        <v>626</v>
      </c>
      <c r="AF40" s="621" t="s">
        <v>626</v>
      </c>
      <c r="AG40" s="621" t="s">
        <v>626</v>
      </c>
      <c r="AH40" s="621" t="s">
        <v>626</v>
      </c>
      <c r="AI40" s="621" t="s">
        <v>19</v>
      </c>
      <c r="AJ40" s="621"/>
      <c r="AK40" s="562"/>
      <c r="AL40" s="562"/>
      <c r="AM40" s="562"/>
      <c r="AN40" s="562"/>
      <c r="AO40" s="562"/>
      <c r="AP40" s="562"/>
      <c r="AQ40" s="562"/>
      <c r="AR40" s="562"/>
      <c r="AS40" s="562"/>
      <c r="AT40" s="562"/>
      <c r="AU40" s="562"/>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1:94" ht="16" thickBot="1">
      <c r="A41" s="610"/>
      <c r="B41" s="54"/>
      <c r="C41" s="558"/>
      <c r="D41" s="558"/>
      <c r="E41" s="558"/>
      <c r="F41" s="558"/>
      <c r="G41" s="558"/>
      <c r="H41" s="558"/>
      <c r="I41" s="439"/>
      <c r="J41" s="439"/>
      <c r="K41" s="439"/>
      <c r="L41" s="439"/>
      <c r="M41" s="439"/>
      <c r="N41" s="439"/>
      <c r="O41" s="439"/>
      <c r="P41" s="439"/>
      <c r="Q41" s="439"/>
      <c r="R41" s="439"/>
      <c r="S41" s="439"/>
      <c r="T41" s="439"/>
      <c r="U41" s="439"/>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1:94" ht="45.75" customHeight="1" thickBot="1">
      <c r="A42" s="610"/>
      <c r="B42" s="429" t="s">
        <v>499</v>
      </c>
      <c r="C42" s="430"/>
      <c r="D42" s="430"/>
      <c r="E42" s="430"/>
      <c r="F42" s="430"/>
      <c r="G42" s="430"/>
      <c r="H42" s="430"/>
      <c r="I42" s="430"/>
      <c r="J42" s="430"/>
      <c r="K42" s="430"/>
      <c r="L42" s="432"/>
      <c r="M42" s="439"/>
      <c r="N42" s="439"/>
      <c r="O42" s="439"/>
      <c r="P42" s="439"/>
      <c r="Q42" s="439"/>
      <c r="R42" s="439"/>
      <c r="S42" s="439"/>
      <c r="T42" s="439"/>
      <c r="U42" s="439"/>
      <c r="V42" s="562"/>
      <c r="W42" s="562"/>
      <c r="X42" s="562"/>
      <c r="Y42" s="562"/>
      <c r="Z42" s="429" t="s">
        <v>499</v>
      </c>
      <c r="AA42" s="430"/>
      <c r="AB42" s="430"/>
      <c r="AC42" s="430"/>
      <c r="AD42" s="430"/>
      <c r="AE42" s="562"/>
      <c r="AF42" s="562"/>
      <c r="AG42" s="562"/>
      <c r="AH42" s="562"/>
      <c r="AI42" s="562"/>
      <c r="AJ42" s="562"/>
      <c r="AK42" s="562"/>
      <c r="AL42" s="562"/>
      <c r="AM42" s="562"/>
      <c r="AN42" s="562"/>
      <c r="AO42" s="562"/>
      <c r="AP42" s="562"/>
      <c r="AQ42" s="562"/>
      <c r="AR42" s="562"/>
      <c r="AS42" s="562"/>
      <c r="AT42" s="562"/>
      <c r="AU42" s="562"/>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1:94" ht="16" thickBot="1">
      <c r="A43" s="439"/>
      <c r="B43" s="617" t="s">
        <v>503</v>
      </c>
      <c r="C43" s="540">
        <f>C35/C$16*Euro</f>
        <v>9.6850000000000005</v>
      </c>
      <c r="D43" s="540">
        <f>D35/D$16*Euro</f>
        <v>9.1038999999999994</v>
      </c>
      <c r="E43" s="540">
        <f>E35/E$16*Euro</f>
        <v>8.1935099999999998</v>
      </c>
      <c r="F43" s="540">
        <f>F35/F$16*Euro</f>
        <v>7.3741589999999997</v>
      </c>
      <c r="G43" s="557"/>
      <c r="H43" s="557"/>
      <c r="I43" s="557"/>
      <c r="J43" s="557"/>
      <c r="K43" s="557"/>
      <c r="L43" s="557"/>
      <c r="M43" s="439"/>
      <c r="N43" s="439"/>
      <c r="O43" s="439"/>
      <c r="P43" s="439"/>
      <c r="Q43" s="439"/>
      <c r="R43" s="439"/>
      <c r="S43" s="439"/>
      <c r="T43" s="439"/>
      <c r="U43" s="439"/>
      <c r="V43" s="562"/>
      <c r="W43" s="562"/>
      <c r="X43" s="562"/>
      <c r="Y43" s="562"/>
      <c r="Z43" s="617" t="s">
        <v>503</v>
      </c>
      <c r="AA43" s="540">
        <f>AA35/AA$16*Euro</f>
        <v>3.0477272727272728</v>
      </c>
      <c r="AB43" s="540">
        <f>AB35/AB$16*Euro</f>
        <v>1.5831249999999999</v>
      </c>
      <c r="AC43" s="540">
        <f>AC35/AC$16*Euro</f>
        <v>1.3968750000000001</v>
      </c>
      <c r="AD43" s="540">
        <f>AD35/AD$16*Euro</f>
        <v>1.30375</v>
      </c>
      <c r="AE43" s="562"/>
      <c r="AF43" s="562"/>
      <c r="AG43" s="562"/>
      <c r="AH43" s="562"/>
      <c r="AI43" s="562"/>
      <c r="AJ43" s="562"/>
      <c r="AK43" s="562"/>
      <c r="AL43" s="562"/>
      <c r="AM43" s="562"/>
      <c r="AN43" s="562"/>
      <c r="AO43" s="562"/>
      <c r="AP43" s="562"/>
      <c r="AQ43" s="562"/>
      <c r="AR43" s="562"/>
      <c r="AS43" s="562"/>
      <c r="AT43" s="562"/>
      <c r="AU43" s="562"/>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1:94" ht="16" thickBot="1">
      <c r="A44" s="439"/>
      <c r="B44" s="617" t="s">
        <v>504</v>
      </c>
      <c r="C44" s="540">
        <f>C38/C$16*Euro</f>
        <v>1.4900000000000002</v>
      </c>
      <c r="D44" s="540">
        <f>D38/D$16*Euro</f>
        <v>1.4900000000000002</v>
      </c>
      <c r="E44" s="540">
        <f>E38/E$16*Euro</f>
        <v>1.4900000000000002</v>
      </c>
      <c r="F44" s="540">
        <f>F38/F$16*Euro</f>
        <v>1.4900000000000002</v>
      </c>
      <c r="G44" s="557"/>
      <c r="H44" s="557"/>
      <c r="I44" s="557"/>
      <c r="J44" s="557"/>
      <c r="K44" s="557"/>
      <c r="L44" s="557"/>
      <c r="M44" s="439"/>
      <c r="N44" s="439"/>
      <c r="O44" s="439"/>
      <c r="P44" s="439"/>
      <c r="Q44" s="439"/>
      <c r="R44" s="439"/>
      <c r="S44" s="439"/>
      <c r="T44" s="439"/>
      <c r="U44" s="439"/>
      <c r="V44" s="562"/>
      <c r="W44" s="562"/>
      <c r="X44" s="562"/>
      <c r="Y44" s="562"/>
      <c r="Z44" s="617" t="s">
        <v>504</v>
      </c>
      <c r="AA44" s="540">
        <f>AA38/AA$16*Euro</f>
        <v>0.27090909090909093</v>
      </c>
      <c r="AB44" s="540">
        <f>AB38/AB$16*Euro</f>
        <v>0.14899999999999999</v>
      </c>
      <c r="AC44" s="540">
        <f>AC38/AC$16*Euro</f>
        <v>0.14899999999999999</v>
      </c>
      <c r="AD44" s="540">
        <f>AD38/AD$16*Euro</f>
        <v>0.14899999999999999</v>
      </c>
      <c r="AE44" s="562"/>
      <c r="AF44" s="562"/>
      <c r="AG44" s="562"/>
      <c r="AH44" s="562"/>
      <c r="AI44" s="562"/>
      <c r="AJ44" s="562"/>
      <c r="AK44" s="562"/>
      <c r="AL44" s="562"/>
      <c r="AM44" s="562"/>
      <c r="AN44" s="562"/>
      <c r="AO44" s="562"/>
      <c r="AP44" s="562"/>
      <c r="AQ44" s="562"/>
      <c r="AR44" s="562"/>
      <c r="AS44" s="562"/>
      <c r="AT44" s="562"/>
      <c r="AU44" s="562"/>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1:94" ht="16" thickBot="1">
      <c r="A45" s="439"/>
      <c r="B45" s="617"/>
      <c r="C45" s="616"/>
      <c r="D45" s="616"/>
      <c r="E45" s="616"/>
      <c r="F45" s="616"/>
      <c r="G45" s="557"/>
      <c r="H45" s="557"/>
      <c r="I45" s="557"/>
      <c r="J45" s="557"/>
      <c r="K45" s="557"/>
      <c r="L45" s="557"/>
      <c r="M45" s="439"/>
      <c r="N45" s="439"/>
      <c r="O45" s="439"/>
      <c r="P45" s="439"/>
      <c r="Q45" s="439"/>
      <c r="R45" s="439"/>
      <c r="S45" s="439"/>
      <c r="T45" s="439"/>
      <c r="U45" s="439"/>
      <c r="V45" s="562"/>
      <c r="W45" s="562"/>
      <c r="X45" s="562"/>
      <c r="Y45" s="562"/>
      <c r="Z45" s="617"/>
      <c r="AA45" s="616"/>
      <c r="AB45" s="616"/>
      <c r="AC45" s="616"/>
      <c r="AD45" s="616"/>
      <c r="AE45" s="562"/>
      <c r="AF45" s="562"/>
      <c r="AG45" s="562"/>
      <c r="AH45" s="562"/>
      <c r="AI45" s="562"/>
      <c r="AJ45" s="562"/>
      <c r="AK45" s="562"/>
      <c r="AL45" s="562"/>
      <c r="AM45" s="562"/>
      <c r="AN45" s="562"/>
      <c r="AO45" s="562"/>
      <c r="AP45" s="562"/>
      <c r="AQ45" s="562"/>
      <c r="AR45" s="562"/>
      <c r="AS45" s="562"/>
      <c r="AT45" s="562"/>
      <c r="AU45" s="562"/>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1:94" ht="16" thickBot="1">
      <c r="A46" s="439"/>
      <c r="B46" s="615" t="s">
        <v>502</v>
      </c>
      <c r="C46" s="540">
        <f>C39/C16/1000*Euro</f>
        <v>0.17507500000000001</v>
      </c>
      <c r="D46" s="540">
        <f>D39/D16/1000*Euro</f>
        <v>0.17507500000000001</v>
      </c>
      <c r="E46" s="540">
        <f>E39/E16/1000*Euro</f>
        <v>0.17507500000000001</v>
      </c>
      <c r="F46" s="540">
        <f>F39/F16/1000*Euro</f>
        <v>0.17507500000000001</v>
      </c>
      <c r="G46" s="557"/>
      <c r="H46" s="557"/>
      <c r="I46" s="557"/>
      <c r="J46" s="557"/>
      <c r="K46" s="557"/>
      <c r="L46" s="557"/>
      <c r="M46" s="439"/>
      <c r="N46" s="439"/>
      <c r="O46" s="439"/>
      <c r="P46" s="439"/>
      <c r="Q46" s="439"/>
      <c r="R46" s="439"/>
      <c r="S46" s="439"/>
      <c r="T46" s="439"/>
      <c r="U46" s="439"/>
      <c r="V46" s="562"/>
      <c r="W46" s="562"/>
      <c r="X46" s="562"/>
      <c r="Y46" s="562"/>
      <c r="Z46" s="615" t="s">
        <v>502</v>
      </c>
      <c r="AA46" s="540">
        <f>AA39/AA16/1000*Euro</f>
        <v>3.9789772727272729E-2</v>
      </c>
      <c r="AB46" s="540">
        <f>AB39/AB16/1000*Euro</f>
        <v>2.1884375000000001E-2</v>
      </c>
      <c r="AC46" s="540">
        <f>AC39/AC16/1000*Euro</f>
        <v>2.1884375000000001E-2</v>
      </c>
      <c r="AD46" s="540">
        <f>AD39/AD16/1000*Euro</f>
        <v>2.1884375000000001E-2</v>
      </c>
      <c r="AE46" s="562"/>
      <c r="AF46" s="562"/>
      <c r="AG46" s="562"/>
      <c r="AH46" s="562"/>
      <c r="AI46" s="562"/>
      <c r="AJ46" s="562"/>
      <c r="AK46" s="562"/>
      <c r="AL46" s="562"/>
      <c r="AM46" s="562"/>
      <c r="AN46" s="562"/>
      <c r="AO46" s="562"/>
      <c r="AP46" s="562"/>
      <c r="AQ46" s="562"/>
      <c r="AR46" s="562"/>
      <c r="AS46" s="562"/>
      <c r="AT46" s="562"/>
      <c r="AU46" s="562"/>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1:94" ht="16" thickBot="1">
      <c r="A47" s="439"/>
      <c r="B47" s="526" t="s">
        <v>505</v>
      </c>
      <c r="C47" s="592">
        <f>C40/3.6*Euro</f>
        <v>0</v>
      </c>
      <c r="D47" s="775">
        <f>D40/3.6*Euro</f>
        <v>0</v>
      </c>
      <c r="E47" s="775">
        <f>E40/3.6*Euro</f>
        <v>0</v>
      </c>
      <c r="F47" s="775">
        <f>F40/3.6*Euro</f>
        <v>0</v>
      </c>
      <c r="G47" s="514"/>
      <c r="H47" s="514"/>
      <c r="I47" s="514"/>
      <c r="J47" s="514"/>
      <c r="K47" s="514"/>
      <c r="L47" s="514"/>
      <c r="M47" s="439"/>
      <c r="N47" s="439"/>
      <c r="O47" s="439"/>
      <c r="P47" s="439"/>
      <c r="Q47" s="439"/>
      <c r="R47" s="439"/>
      <c r="S47" s="439"/>
      <c r="T47" s="439"/>
      <c r="U47" s="439"/>
      <c r="V47" s="562"/>
      <c r="W47" s="562"/>
      <c r="X47" s="562"/>
      <c r="Y47" s="562"/>
      <c r="Z47" s="526" t="s">
        <v>505</v>
      </c>
      <c r="AA47" s="592">
        <f>AA40*3.6*Euro/1000</f>
        <v>0</v>
      </c>
      <c r="AB47" s="592">
        <f>AB40*3.6*Euro/1000</f>
        <v>0</v>
      </c>
      <c r="AC47" s="592">
        <f>AC40*3.6*Euro/1000</f>
        <v>0</v>
      </c>
      <c r="AD47" s="592">
        <f>AD40*3.6*Euro/1000</f>
        <v>0</v>
      </c>
      <c r="AE47" s="562"/>
      <c r="AF47" s="562"/>
      <c r="AG47" s="562"/>
      <c r="AH47" s="562"/>
      <c r="AI47" s="562"/>
      <c r="AJ47" s="562"/>
      <c r="AK47" s="562"/>
      <c r="AL47" s="562"/>
      <c r="AM47" s="562"/>
      <c r="AN47" s="562"/>
      <c r="AO47" s="562"/>
      <c r="AP47" s="562"/>
      <c r="AQ47" s="562"/>
      <c r="AR47" s="562"/>
      <c r="AS47" s="562"/>
      <c r="AT47" s="562"/>
      <c r="AU47" s="562"/>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1:94">
      <c r="A48" s="439"/>
      <c r="B48" s="555"/>
      <c r="C48" s="35"/>
      <c r="D48" s="35"/>
      <c r="E48" s="35"/>
      <c r="F48" s="35"/>
      <c r="G48" s="35"/>
      <c r="H48" s="35"/>
      <c r="I48" s="439"/>
      <c r="J48" s="439"/>
      <c r="K48" s="439"/>
      <c r="L48" s="439"/>
      <c r="M48" s="439"/>
      <c r="N48" s="439"/>
      <c r="O48" s="439"/>
      <c r="P48" s="439"/>
      <c r="Q48" s="439"/>
      <c r="R48" s="439"/>
      <c r="S48" s="439"/>
      <c r="T48" s="439"/>
      <c r="U48" s="439"/>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1:94">
      <c r="A49" s="439"/>
      <c r="B49" s="555"/>
      <c r="C49" s="35"/>
      <c r="D49" s="35"/>
      <c r="E49" s="35"/>
      <c r="F49" s="35"/>
      <c r="G49" s="35"/>
      <c r="H49" s="35"/>
      <c r="I49" s="439"/>
      <c r="J49" s="439"/>
      <c r="K49" s="439"/>
      <c r="L49" s="439"/>
      <c r="M49" s="439"/>
      <c r="N49" s="439"/>
      <c r="O49" s="439"/>
      <c r="P49" s="439"/>
      <c r="Q49" s="439"/>
      <c r="R49" s="439"/>
      <c r="S49" s="439"/>
      <c r="T49" s="439"/>
      <c r="U49" s="439"/>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1:94" ht="15.75" customHeight="1">
      <c r="A50" s="581"/>
      <c r="B50" s="562"/>
      <c r="C50" s="562"/>
      <c r="D50" s="562"/>
      <c r="E50" s="562"/>
      <c r="F50" s="562"/>
      <c r="G50" s="562"/>
      <c r="H50" s="562"/>
      <c r="I50" s="562"/>
      <c r="J50" s="562"/>
      <c r="K50" s="562"/>
      <c r="L50" s="562"/>
      <c r="M50" s="562"/>
      <c r="N50" s="439"/>
      <c r="O50" s="439"/>
      <c r="P50" s="439"/>
      <c r="Q50" s="439"/>
      <c r="R50" s="439"/>
      <c r="S50" s="439"/>
      <c r="T50" s="439"/>
      <c r="U50" s="439"/>
      <c r="V50" s="562"/>
      <c r="W50" s="562"/>
      <c r="X50" s="562"/>
      <c r="Y50" s="581" t="s">
        <v>580</v>
      </c>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1:94" ht="16">
      <c r="A51" s="577"/>
      <c r="B51" s="601" t="s">
        <v>581</v>
      </c>
      <c r="C51" s="562"/>
      <c r="D51" s="562"/>
      <c r="E51" s="562"/>
      <c r="F51" s="562"/>
      <c r="G51" s="562"/>
      <c r="H51" s="562"/>
      <c r="I51" s="562"/>
      <c r="J51" s="562"/>
      <c r="K51" s="562"/>
      <c r="L51" s="562"/>
      <c r="M51" s="562"/>
      <c r="N51" s="439"/>
      <c r="O51" s="439"/>
      <c r="P51" s="439"/>
      <c r="Q51" s="439"/>
      <c r="R51" s="439"/>
      <c r="S51" s="439"/>
      <c r="T51" s="439"/>
      <c r="U51" s="439"/>
      <c r="V51" s="562"/>
      <c r="W51" s="562"/>
      <c r="X51" s="562"/>
      <c r="Y51" s="577">
        <v>4</v>
      </c>
      <c r="Z51" s="601" t="s">
        <v>584</v>
      </c>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1:94" ht="16">
      <c r="A52" s="577"/>
      <c r="B52" s="601" t="s">
        <v>582</v>
      </c>
      <c r="C52" s="562"/>
      <c r="D52" s="562"/>
      <c r="E52" s="562"/>
      <c r="F52" s="562"/>
      <c r="G52" s="562"/>
      <c r="H52" s="562"/>
      <c r="I52" s="562"/>
      <c r="J52" s="562"/>
      <c r="K52" s="562"/>
      <c r="L52" s="562"/>
      <c r="M52" s="562"/>
      <c r="N52" s="439"/>
      <c r="O52" s="439"/>
      <c r="P52" s="439"/>
      <c r="Q52" s="439"/>
      <c r="R52" s="439"/>
      <c r="S52" s="439"/>
      <c r="T52" s="439"/>
      <c r="U52" s="439"/>
      <c r="V52" s="562"/>
      <c r="W52" s="562"/>
      <c r="X52" s="562"/>
      <c r="Y52" s="577">
        <v>5</v>
      </c>
      <c r="Z52" s="601" t="s">
        <v>585</v>
      </c>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1:94" ht="16">
      <c r="A53" s="577"/>
      <c r="B53" s="601" t="s">
        <v>583</v>
      </c>
      <c r="C53" s="562"/>
      <c r="D53" s="562"/>
      <c r="E53" s="562"/>
      <c r="F53" s="562"/>
      <c r="G53" s="562"/>
      <c r="H53" s="562"/>
      <c r="I53" s="562"/>
      <c r="J53" s="562"/>
      <c r="K53" s="562"/>
      <c r="L53" s="562"/>
      <c r="M53" s="562"/>
      <c r="N53" s="439"/>
      <c r="O53" s="439"/>
      <c r="P53" s="439"/>
      <c r="Q53" s="439"/>
      <c r="R53" s="439"/>
      <c r="S53" s="439"/>
      <c r="T53" s="439"/>
      <c r="U53" s="439"/>
      <c r="V53" s="562"/>
      <c r="W53" s="562"/>
      <c r="X53" s="562"/>
      <c r="Y53" s="577">
        <v>6</v>
      </c>
      <c r="Z53" s="601" t="s">
        <v>601</v>
      </c>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1:94" ht="16">
      <c r="A54" s="577"/>
      <c r="B54" s="601" t="s">
        <v>584</v>
      </c>
      <c r="C54" s="562"/>
      <c r="D54" s="562"/>
      <c r="E54" s="562"/>
      <c r="F54" s="562"/>
      <c r="G54" s="562"/>
      <c r="H54" s="562"/>
      <c r="I54" s="562"/>
      <c r="J54" s="562"/>
      <c r="K54" s="562"/>
      <c r="L54" s="562"/>
      <c r="M54" s="562"/>
      <c r="N54" s="439"/>
      <c r="O54" s="439"/>
      <c r="P54" s="439"/>
      <c r="Q54" s="439"/>
      <c r="R54" s="439"/>
      <c r="S54" s="439"/>
      <c r="T54" s="439"/>
      <c r="U54" s="439"/>
      <c r="V54" s="562"/>
      <c r="W54" s="562"/>
      <c r="X54" s="562"/>
      <c r="Y54" s="577">
        <v>7</v>
      </c>
      <c r="Z54" s="601" t="s">
        <v>586</v>
      </c>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1:94" ht="16">
      <c r="A55" s="577"/>
      <c r="B55" s="601" t="s">
        <v>585</v>
      </c>
      <c r="C55" s="562"/>
      <c r="D55" s="562"/>
      <c r="E55" s="562"/>
      <c r="F55" s="562"/>
      <c r="G55" s="562"/>
      <c r="H55" s="562"/>
      <c r="I55" s="562"/>
      <c r="J55" s="562"/>
      <c r="K55" s="562"/>
      <c r="L55" s="562"/>
      <c r="M55" s="562"/>
      <c r="N55" s="439"/>
      <c r="O55" s="439"/>
      <c r="P55" s="439"/>
      <c r="Q55" s="439"/>
      <c r="R55" s="439"/>
      <c r="S55" s="439"/>
      <c r="T55" s="439"/>
      <c r="U55" s="439"/>
      <c r="V55" s="562"/>
      <c r="W55" s="562"/>
      <c r="X55" s="562"/>
      <c r="Y55" s="577">
        <v>11</v>
      </c>
      <c r="Z55" s="601" t="s">
        <v>602</v>
      </c>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1:94" ht="16">
      <c r="A56" s="577"/>
      <c r="B56" s="601" t="s">
        <v>586</v>
      </c>
      <c r="C56" s="562"/>
      <c r="D56" s="562"/>
      <c r="E56" s="562"/>
      <c r="F56" s="562"/>
      <c r="G56" s="562"/>
      <c r="H56" s="562"/>
      <c r="I56" s="562"/>
      <c r="J56" s="562"/>
      <c r="K56" s="562"/>
      <c r="L56" s="562"/>
      <c r="M56" s="562"/>
      <c r="N56" s="439"/>
      <c r="O56" s="439"/>
      <c r="P56" s="439"/>
      <c r="Q56" s="439"/>
      <c r="R56" s="439"/>
      <c r="S56" s="439"/>
      <c r="T56" s="439"/>
      <c r="U56" s="439"/>
      <c r="V56" s="562"/>
      <c r="W56" s="562"/>
      <c r="X56" s="562"/>
      <c r="Y56" s="577">
        <v>12</v>
      </c>
      <c r="Z56" s="601" t="s">
        <v>603</v>
      </c>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1:94" ht="16">
      <c r="A57" s="577"/>
      <c r="B57" s="601" t="s">
        <v>587</v>
      </c>
      <c r="C57" s="562"/>
      <c r="D57" s="562"/>
      <c r="E57" s="562"/>
      <c r="F57" s="562"/>
      <c r="G57" s="562"/>
      <c r="H57" s="562"/>
      <c r="I57" s="562"/>
      <c r="J57" s="562"/>
      <c r="K57" s="562"/>
      <c r="L57" s="562"/>
      <c r="M57" s="562"/>
      <c r="N57" s="439"/>
      <c r="O57" s="439"/>
      <c r="P57" s="439"/>
      <c r="Q57" s="439"/>
      <c r="R57" s="439"/>
      <c r="S57" s="439"/>
      <c r="T57" s="439"/>
      <c r="U57" s="439"/>
      <c r="V57" s="562"/>
      <c r="W57" s="562"/>
      <c r="X57" s="562"/>
      <c r="Y57" s="577">
        <v>13</v>
      </c>
      <c r="Z57" s="601" t="s">
        <v>604</v>
      </c>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1:94" ht="16">
      <c r="A58" s="543"/>
      <c r="B58" s="544" t="s">
        <v>588</v>
      </c>
      <c r="C58" s="113"/>
      <c r="D58" s="113"/>
      <c r="E58" s="113"/>
      <c r="F58" s="113"/>
      <c r="G58" s="113"/>
      <c r="H58" s="113"/>
      <c r="I58" s="113"/>
      <c r="J58" s="113"/>
      <c r="K58" s="113"/>
      <c r="L58" s="113"/>
      <c r="M58" s="113"/>
      <c r="N58" s="545"/>
      <c r="O58" s="545"/>
      <c r="P58" s="439"/>
      <c r="Q58" s="439"/>
      <c r="R58" s="439"/>
      <c r="S58" s="439"/>
      <c r="T58" s="439"/>
      <c r="U58" s="439"/>
      <c r="V58" s="562"/>
      <c r="W58" s="562"/>
      <c r="X58" s="562"/>
      <c r="Y58" s="577">
        <v>15</v>
      </c>
      <c r="Z58" s="601" t="s">
        <v>605</v>
      </c>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1:94">
      <c r="A59" s="545"/>
      <c r="B59" s="227"/>
      <c r="C59" s="158"/>
      <c r="D59" s="158"/>
      <c r="E59" s="158"/>
      <c r="F59" s="158"/>
      <c r="G59" s="158"/>
      <c r="H59" s="158"/>
      <c r="I59" s="545"/>
      <c r="J59" s="545"/>
      <c r="K59" s="545"/>
      <c r="L59" s="545"/>
      <c r="M59" s="545"/>
      <c r="N59" s="545"/>
      <c r="O59" s="545"/>
      <c r="P59" s="439"/>
      <c r="Q59" s="439"/>
      <c r="R59" s="439"/>
      <c r="S59" s="439"/>
      <c r="T59" s="439"/>
      <c r="U59" s="439"/>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1:94">
      <c r="A60" s="546"/>
      <c r="B60" s="113"/>
      <c r="C60" s="113"/>
      <c r="D60" s="113"/>
      <c r="E60" s="113"/>
      <c r="F60" s="113"/>
      <c r="G60" s="113"/>
      <c r="H60" s="113"/>
      <c r="I60" s="113"/>
      <c r="J60" s="113"/>
      <c r="K60" s="113"/>
      <c r="L60" s="113"/>
      <c r="M60" s="113"/>
      <c r="N60" s="545"/>
      <c r="O60" s="545"/>
      <c r="P60" s="439"/>
      <c r="Q60" s="439"/>
      <c r="R60" s="439"/>
      <c r="S60" s="439"/>
      <c r="T60" s="439"/>
      <c r="U60" s="439"/>
      <c r="V60" s="562"/>
      <c r="W60" s="562"/>
      <c r="X60" s="562"/>
      <c r="Y60" s="576" t="s">
        <v>589</v>
      </c>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1:94">
      <c r="A61" s="547"/>
      <c r="B61" s="113" t="s">
        <v>590</v>
      </c>
      <c r="C61" s="113"/>
      <c r="D61" s="113"/>
      <c r="E61" s="113"/>
      <c r="F61" s="113"/>
      <c r="G61" s="113"/>
      <c r="H61" s="113"/>
      <c r="I61" s="113"/>
      <c r="J61" s="113"/>
      <c r="K61" s="113"/>
      <c r="L61" s="113"/>
      <c r="M61" s="113"/>
      <c r="N61" s="545"/>
      <c r="O61" s="545"/>
      <c r="P61" s="439"/>
      <c r="Q61" s="439"/>
      <c r="R61" s="439"/>
      <c r="S61" s="439"/>
      <c r="T61" s="439"/>
      <c r="U61" s="439"/>
      <c r="V61" s="562"/>
      <c r="W61" s="562"/>
      <c r="X61" s="562"/>
      <c r="Y61" s="579" t="s">
        <v>42</v>
      </c>
      <c r="Z61" s="563" t="s">
        <v>590</v>
      </c>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1:94" ht="16">
      <c r="A62" s="547"/>
      <c r="B62" s="548" t="s">
        <v>591</v>
      </c>
      <c r="C62" s="113"/>
      <c r="D62" s="113"/>
      <c r="E62" s="113"/>
      <c r="F62" s="113"/>
      <c r="G62" s="113"/>
      <c r="H62" s="113"/>
      <c r="I62" s="113"/>
      <c r="J62" s="113"/>
      <c r="K62" s="113"/>
      <c r="L62" s="113"/>
      <c r="M62" s="113"/>
      <c r="N62" s="545"/>
      <c r="O62" s="545"/>
      <c r="P62" s="439"/>
      <c r="Q62" s="439"/>
      <c r="R62" s="439"/>
      <c r="S62" s="439"/>
      <c r="T62" s="439"/>
      <c r="U62" s="439"/>
      <c r="V62" s="562"/>
      <c r="W62" s="562"/>
      <c r="X62" s="562"/>
      <c r="Y62" s="579" t="s">
        <v>15</v>
      </c>
      <c r="Z62" s="578" t="s">
        <v>591</v>
      </c>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1:94" ht="16">
      <c r="A63" s="547"/>
      <c r="B63" s="548" t="s">
        <v>592</v>
      </c>
      <c r="C63" s="113"/>
      <c r="D63" s="113"/>
      <c r="E63" s="113"/>
      <c r="F63" s="113"/>
      <c r="G63" s="113"/>
      <c r="H63" s="113"/>
      <c r="I63" s="113"/>
      <c r="J63" s="113"/>
      <c r="K63" s="113"/>
      <c r="L63" s="113"/>
      <c r="M63" s="113"/>
      <c r="N63" s="545"/>
      <c r="O63" s="545"/>
      <c r="P63" s="439"/>
      <c r="Q63" s="439"/>
      <c r="R63" s="439"/>
      <c r="S63" s="439"/>
      <c r="T63" s="439"/>
      <c r="U63" s="439"/>
      <c r="V63" s="562"/>
      <c r="W63" s="562"/>
      <c r="X63" s="562"/>
      <c r="Y63" s="579" t="s">
        <v>23</v>
      </c>
      <c r="Z63" s="578" t="s">
        <v>593</v>
      </c>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1:94" ht="16">
      <c r="A64" s="547"/>
      <c r="B64" s="548" t="s">
        <v>593</v>
      </c>
      <c r="C64" s="158"/>
      <c r="D64" s="158"/>
      <c r="E64" s="158"/>
      <c r="F64" s="158"/>
      <c r="G64" s="158"/>
      <c r="H64" s="158"/>
      <c r="I64" s="545"/>
      <c r="J64" s="545"/>
      <c r="K64" s="545"/>
      <c r="L64" s="545"/>
      <c r="M64" s="545"/>
      <c r="N64" s="545"/>
      <c r="O64" s="545"/>
      <c r="P64" s="439"/>
      <c r="Q64" s="439"/>
      <c r="R64" s="439"/>
      <c r="S64" s="439"/>
      <c r="T64" s="439"/>
      <c r="U64" s="439"/>
      <c r="V64" s="562"/>
      <c r="W64" s="562"/>
      <c r="X64" s="562"/>
      <c r="Y64" s="579" t="s">
        <v>40</v>
      </c>
      <c r="Z64" s="578" t="s">
        <v>594</v>
      </c>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1:94" ht="16">
      <c r="A65" s="547"/>
      <c r="B65" s="548" t="s">
        <v>594</v>
      </c>
      <c r="C65" s="158"/>
      <c r="D65" s="158"/>
      <c r="E65" s="158"/>
      <c r="F65" s="158"/>
      <c r="G65" s="158"/>
      <c r="H65" s="158"/>
      <c r="I65" s="545"/>
      <c r="J65" s="545"/>
      <c r="K65" s="545"/>
      <c r="L65" s="545"/>
      <c r="M65" s="545"/>
      <c r="N65" s="545"/>
      <c r="O65" s="545"/>
      <c r="P65" s="439"/>
      <c r="Q65" s="439"/>
      <c r="R65" s="439"/>
      <c r="S65" s="439"/>
      <c r="T65" s="439"/>
      <c r="U65" s="439"/>
      <c r="V65" s="562"/>
      <c r="W65" s="562"/>
      <c r="X65" s="562"/>
      <c r="Y65" s="579" t="s">
        <v>41</v>
      </c>
      <c r="Z65" s="578" t="s">
        <v>595</v>
      </c>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1:94" ht="16">
      <c r="A66" s="547"/>
      <c r="B66" s="548" t="s">
        <v>595</v>
      </c>
      <c r="C66" s="549"/>
      <c r="D66" s="550"/>
      <c r="E66" s="550"/>
      <c r="F66" s="550"/>
      <c r="G66" s="551"/>
      <c r="H66" s="552"/>
      <c r="I66" s="545"/>
      <c r="J66" s="545"/>
      <c r="K66" s="545"/>
      <c r="L66" s="545"/>
      <c r="M66" s="545"/>
      <c r="N66" s="545"/>
      <c r="O66" s="545"/>
      <c r="P66" s="439"/>
      <c r="Q66" s="439"/>
      <c r="R66" s="439"/>
      <c r="S66" s="439"/>
      <c r="T66" s="439"/>
      <c r="U66" s="439"/>
      <c r="V66" s="562"/>
      <c r="W66" s="562"/>
      <c r="X66" s="562"/>
      <c r="Y66" s="579" t="s">
        <v>279</v>
      </c>
      <c r="Z66" s="578" t="s">
        <v>596</v>
      </c>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1:94" ht="16">
      <c r="A67" s="547"/>
      <c r="B67" s="548" t="s">
        <v>596</v>
      </c>
      <c r="C67" s="550"/>
      <c r="D67" s="553"/>
      <c r="E67" s="550"/>
      <c r="F67" s="550"/>
      <c r="G67" s="554"/>
      <c r="H67" s="552"/>
      <c r="I67" s="545"/>
      <c r="J67" s="545"/>
      <c r="K67" s="545"/>
      <c r="L67" s="545"/>
      <c r="M67" s="545"/>
      <c r="N67" s="545"/>
      <c r="O67" s="545"/>
      <c r="P67" s="439"/>
      <c r="Q67" s="439"/>
      <c r="R67" s="439"/>
      <c r="S67" s="439"/>
      <c r="T67" s="439"/>
      <c r="U67" s="439"/>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1:94">
      <c r="A68" s="439"/>
      <c r="B68" s="439"/>
      <c r="C68" s="439"/>
      <c r="D68" s="439"/>
      <c r="E68" s="439"/>
      <c r="F68" s="439"/>
      <c r="G68" s="439"/>
      <c r="H68" s="439"/>
      <c r="I68" s="439"/>
      <c r="J68" s="439"/>
      <c r="K68" s="439"/>
      <c r="L68" s="439"/>
      <c r="M68" s="439"/>
      <c r="N68" s="439"/>
      <c r="O68" s="439"/>
      <c r="P68" s="439"/>
      <c r="Q68" s="439"/>
      <c r="R68" s="439"/>
      <c r="S68" s="439"/>
      <c r="T68" s="439"/>
      <c r="U68" s="439"/>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1:94">
      <c r="A69" s="439"/>
      <c r="B69" s="439"/>
      <c r="C69" s="439"/>
      <c r="D69" s="439"/>
      <c r="E69" s="439"/>
      <c r="F69" s="439"/>
      <c r="G69" s="439"/>
      <c r="H69" s="439"/>
      <c r="I69" s="439"/>
      <c r="J69" s="439"/>
      <c r="K69" s="439"/>
      <c r="L69" s="439"/>
      <c r="M69" s="439"/>
      <c r="N69" s="439"/>
      <c r="O69" s="439"/>
      <c r="P69" s="439"/>
      <c r="Q69" s="439"/>
      <c r="R69" s="439"/>
      <c r="S69" s="439"/>
      <c r="T69" s="439"/>
      <c r="U69" s="439"/>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1:94">
      <c r="A70" s="439"/>
      <c r="B70" s="439"/>
      <c r="C70" s="439"/>
      <c r="D70" s="439"/>
      <c r="E70" s="439"/>
      <c r="F70" s="439"/>
      <c r="G70" s="439"/>
      <c r="H70" s="439"/>
      <c r="I70" s="439"/>
      <c r="J70" s="439"/>
      <c r="K70" s="439"/>
      <c r="L70" s="439"/>
      <c r="M70" s="439"/>
      <c r="N70" s="439"/>
      <c r="O70" s="439"/>
      <c r="P70" s="439"/>
      <c r="Q70" s="439"/>
      <c r="R70" s="439"/>
      <c r="S70" s="439"/>
      <c r="T70" s="439"/>
      <c r="U70" s="439"/>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1:94">
      <c r="A71" s="439"/>
      <c r="B71" s="439"/>
      <c r="C71" s="439"/>
      <c r="D71" s="439"/>
      <c r="E71" s="439"/>
      <c r="F71" s="439"/>
      <c r="G71" s="439"/>
      <c r="H71" s="439"/>
      <c r="I71" s="439"/>
      <c r="J71" s="439"/>
      <c r="K71" s="439"/>
      <c r="L71" s="439"/>
      <c r="M71" s="439"/>
      <c r="N71" s="439"/>
      <c r="O71" s="439"/>
      <c r="P71" s="439"/>
      <c r="Q71" s="439"/>
      <c r="R71" s="439"/>
      <c r="S71" s="439"/>
      <c r="T71" s="439"/>
      <c r="U71" s="439"/>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1:94">
      <c r="A72" s="439"/>
      <c r="B72" s="439"/>
      <c r="C72" s="439"/>
      <c r="D72" s="439"/>
      <c r="E72" s="439"/>
      <c r="F72" s="439"/>
      <c r="G72" s="439"/>
      <c r="H72" s="439"/>
      <c r="I72" s="439"/>
      <c r="J72" s="439"/>
      <c r="K72" s="439"/>
      <c r="L72" s="439"/>
      <c r="M72" s="439"/>
      <c r="N72" s="439"/>
      <c r="O72" s="439"/>
      <c r="P72" s="439"/>
      <c r="Q72" s="439"/>
      <c r="R72" s="439"/>
      <c r="S72" s="439"/>
      <c r="T72" s="439"/>
      <c r="U72" s="439"/>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1:94">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1:94">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1:94">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1:94">
      <c r="A76" s="562"/>
      <c r="B76" s="562"/>
      <c r="C76" s="562"/>
      <c r="D76" s="562"/>
      <c r="E76" s="562"/>
      <c r="F76" s="562"/>
      <c r="G76" s="562"/>
      <c r="H76" s="43"/>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1:94">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1:94">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1:94">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1:94">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1:94">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1:94">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1:94">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1:94">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1:94">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1:94">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1:94">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1:94">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1:94">
      <c r="A89" s="562"/>
      <c r="B89" s="562"/>
      <c r="C89" s="562"/>
      <c r="D89" s="562"/>
      <c r="E89" s="562"/>
      <c r="F89" s="562"/>
      <c r="G89" s="562"/>
      <c r="H89" s="562"/>
      <c r="I89" s="562"/>
      <c r="J89" s="562"/>
      <c r="K89" s="562"/>
      <c r="L89" s="562"/>
      <c r="M89" s="562"/>
      <c r="N89" s="562"/>
      <c r="O89" s="562"/>
      <c r="P89" s="562"/>
      <c r="Q89" s="562"/>
      <c r="R89" s="562"/>
      <c r="S89" s="562"/>
      <c r="T89" s="562"/>
      <c r="U89" s="562"/>
      <c r="V89" s="562"/>
      <c r="W89" s="562"/>
      <c r="X89" s="562"/>
      <c r="Y89" s="562"/>
      <c r="Z89" s="562"/>
      <c r="AA89" s="562"/>
      <c r="AB89" s="562"/>
      <c r="AC89" s="562"/>
      <c r="AD89" s="562"/>
      <c r="AE89" s="562"/>
      <c r="AF89" s="562"/>
      <c r="AG89" s="562"/>
      <c r="AH89" s="562"/>
      <c r="AI89" s="562"/>
      <c r="AJ89" s="562"/>
      <c r="AK89" s="562"/>
      <c r="AL89" s="562"/>
      <c r="AM89" s="562"/>
      <c r="AN89" s="562"/>
      <c r="AO89" s="562"/>
      <c r="AP89" s="562"/>
      <c r="AQ89" s="562"/>
      <c r="AR89" s="562"/>
      <c r="AS89" s="562"/>
      <c r="AT89" s="562"/>
      <c r="AU89" s="562"/>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1:94">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1:94">
      <c r="A91" s="562"/>
      <c r="B91" s="562"/>
      <c r="C91" s="562"/>
      <c r="D91" s="562"/>
      <c r="E91" s="562"/>
      <c r="F91" s="562"/>
      <c r="G91" s="562"/>
      <c r="H91" s="562"/>
      <c r="I91" s="562"/>
      <c r="J91" s="562"/>
      <c r="K91" s="562"/>
      <c r="L91" s="562"/>
      <c r="M91" s="562"/>
      <c r="N91" s="562"/>
      <c r="O91" s="562"/>
      <c r="P91" s="562"/>
      <c r="Q91" s="562"/>
      <c r="R91" s="562"/>
      <c r="S91" s="562"/>
      <c r="T91" s="562"/>
      <c r="U91" s="562"/>
      <c r="V91" s="562"/>
      <c r="W91" s="562"/>
      <c r="X91" s="562"/>
      <c r="Y91" s="562"/>
      <c r="Z91" s="562"/>
      <c r="AA91" s="562"/>
      <c r="AB91" s="562"/>
      <c r="AC91" s="562"/>
      <c r="AD91" s="562"/>
      <c r="AE91" s="562"/>
      <c r="AF91" s="562"/>
      <c r="AG91" s="562"/>
      <c r="AH91" s="562"/>
      <c r="AI91" s="562"/>
      <c r="AJ91" s="562"/>
      <c r="AK91" s="562"/>
      <c r="AL91" s="562"/>
      <c r="AM91" s="562"/>
      <c r="AN91" s="562"/>
      <c r="AO91" s="562"/>
      <c r="AP91" s="562"/>
      <c r="AQ91" s="562"/>
      <c r="AR91" s="562"/>
      <c r="AS91" s="562"/>
      <c r="AT91" s="562"/>
      <c r="AU91" s="562"/>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1:94">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c r="AG92" s="562"/>
      <c r="AH92" s="562"/>
      <c r="AI92" s="562"/>
      <c r="AJ92" s="562"/>
      <c r="AK92" s="562"/>
      <c r="AL92" s="562"/>
      <c r="AM92" s="562"/>
      <c r="AN92" s="562"/>
      <c r="AO92" s="562"/>
      <c r="AP92" s="562"/>
      <c r="AQ92" s="562"/>
      <c r="AR92" s="562"/>
      <c r="AS92" s="562"/>
      <c r="AT92" s="562"/>
      <c r="AU92" s="562"/>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1:94">
      <c r="A93" s="562"/>
      <c r="B93" s="562"/>
      <c r="C93" s="562"/>
      <c r="D93" s="562"/>
      <c r="E93" s="562"/>
      <c r="F93" s="562"/>
      <c r="G93" s="562"/>
      <c r="H93" s="562"/>
      <c r="I93" s="562"/>
      <c r="J93" s="562"/>
      <c r="K93" s="562"/>
      <c r="L93" s="562"/>
      <c r="M93" s="562"/>
      <c r="N93" s="562"/>
      <c r="O93" s="562"/>
      <c r="P93" s="562"/>
      <c r="Q93" s="562"/>
      <c r="R93" s="562"/>
      <c r="S93" s="562"/>
      <c r="T93" s="562"/>
      <c r="U93" s="562"/>
      <c r="V93" s="562"/>
      <c r="W93" s="562"/>
      <c r="X93" s="562"/>
      <c r="Y93" s="562"/>
      <c r="Z93" s="562"/>
      <c r="AA93" s="562"/>
      <c r="AB93" s="562"/>
      <c r="AC93" s="562"/>
      <c r="AD93" s="562"/>
      <c r="AE93" s="562"/>
      <c r="AF93" s="562"/>
      <c r="AG93" s="562"/>
      <c r="AH93" s="562"/>
      <c r="AI93" s="562"/>
      <c r="AJ93" s="562"/>
      <c r="AK93" s="562"/>
      <c r="AL93" s="562"/>
      <c r="AM93" s="562"/>
      <c r="AN93" s="562"/>
      <c r="AO93" s="562"/>
      <c r="AP93" s="562"/>
      <c r="AQ93" s="562"/>
      <c r="AR93" s="562"/>
      <c r="AS93" s="562"/>
      <c r="AT93" s="562"/>
      <c r="AU93" s="562"/>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1:94">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c r="AG94" s="562"/>
      <c r="AH94" s="562"/>
      <c r="AI94" s="562"/>
      <c r="AJ94" s="562"/>
      <c r="AK94" s="562"/>
      <c r="AL94" s="562"/>
      <c r="AM94" s="562"/>
      <c r="AN94" s="562"/>
      <c r="AO94" s="562"/>
      <c r="AP94" s="562"/>
      <c r="AQ94" s="562"/>
      <c r="AR94" s="562"/>
      <c r="AS94" s="562"/>
      <c r="AT94" s="562"/>
      <c r="AU94" s="562"/>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1:94">
      <c r="A95" s="562"/>
      <c r="B95" s="562"/>
      <c r="C95" s="562"/>
      <c r="D95" s="562"/>
      <c r="E95" s="562"/>
      <c r="F95" s="562"/>
      <c r="G95" s="562"/>
      <c r="H95" s="562"/>
      <c r="I95" s="562"/>
      <c r="J95" s="562"/>
      <c r="K95" s="562"/>
      <c r="L95" s="562"/>
      <c r="M95" s="562"/>
      <c r="N95" s="562"/>
      <c r="O95" s="562"/>
      <c r="P95" s="562"/>
      <c r="Q95" s="562"/>
      <c r="R95" s="562"/>
      <c r="S95" s="562"/>
      <c r="T95" s="562"/>
      <c r="U95" s="562"/>
      <c r="V95" s="562"/>
      <c r="W95" s="562"/>
      <c r="X95" s="562"/>
      <c r="Y95" s="562"/>
      <c r="Z95" s="562"/>
      <c r="AA95" s="562"/>
      <c r="AB95" s="562"/>
      <c r="AC95" s="562"/>
      <c r="AD95" s="562"/>
      <c r="AE95" s="562"/>
      <c r="AF95" s="562"/>
      <c r="AG95" s="562"/>
      <c r="AH95" s="562"/>
      <c r="AI95" s="562"/>
      <c r="AJ95" s="562"/>
      <c r="AK95" s="562"/>
      <c r="AL95" s="562"/>
      <c r="AM95" s="562"/>
      <c r="AN95" s="562"/>
      <c r="AO95" s="562"/>
      <c r="AP95" s="562"/>
      <c r="AQ95" s="562"/>
      <c r="AR95" s="562"/>
      <c r="AS95" s="562"/>
      <c r="AT95" s="562"/>
      <c r="AU95" s="562"/>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1:94">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c r="AG96" s="562"/>
      <c r="AH96" s="562"/>
      <c r="AI96" s="562"/>
      <c r="AJ96" s="562"/>
      <c r="AK96" s="562"/>
      <c r="AL96" s="562"/>
      <c r="AM96" s="562"/>
      <c r="AN96" s="562"/>
      <c r="AO96" s="562"/>
      <c r="AP96" s="562"/>
      <c r="AQ96" s="562"/>
      <c r="AR96" s="562"/>
      <c r="AS96" s="562"/>
      <c r="AT96" s="562"/>
      <c r="AU96" s="562"/>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1:94">
      <c r="A97" s="562"/>
      <c r="B97" s="562"/>
      <c r="C97" s="562"/>
      <c r="D97" s="562"/>
      <c r="E97" s="562"/>
      <c r="F97" s="562"/>
      <c r="G97" s="562"/>
      <c r="H97" s="562"/>
      <c r="I97" s="562"/>
      <c r="J97" s="562"/>
      <c r="K97" s="562"/>
      <c r="L97" s="562"/>
      <c r="M97" s="562"/>
      <c r="N97" s="562"/>
      <c r="O97" s="562"/>
      <c r="P97" s="562"/>
      <c r="Q97" s="562"/>
      <c r="R97" s="562"/>
      <c r="S97" s="562"/>
      <c r="T97" s="562"/>
      <c r="U97" s="562"/>
      <c r="V97" s="562"/>
      <c r="W97" s="562"/>
      <c r="X97" s="562"/>
      <c r="Y97" s="562"/>
      <c r="Z97" s="562"/>
      <c r="AA97" s="562"/>
      <c r="AB97" s="562"/>
      <c r="AC97" s="562"/>
      <c r="AD97" s="562"/>
      <c r="AE97" s="562"/>
      <c r="AF97" s="562"/>
      <c r="AG97" s="562"/>
      <c r="AH97" s="562"/>
      <c r="AI97" s="562"/>
      <c r="AJ97" s="562"/>
      <c r="AK97" s="562"/>
      <c r="AL97" s="562"/>
      <c r="AM97" s="562"/>
      <c r="AN97" s="562"/>
      <c r="AO97" s="562"/>
      <c r="AP97" s="562"/>
      <c r="AQ97" s="562"/>
      <c r="AR97" s="562"/>
      <c r="AS97" s="562"/>
      <c r="AT97" s="562"/>
      <c r="AU97" s="562"/>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1: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1: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1: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1: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1: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1: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1: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1: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1: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1: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1: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1: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1: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1: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1: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row r="131" spans="3:9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row>
    <row r="132" spans="3:9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row>
  </sheetData>
  <mergeCells count="14">
    <mergeCell ref="AA13:AJ13"/>
    <mergeCell ref="C13:L13"/>
    <mergeCell ref="AD14:AD15"/>
    <mergeCell ref="AE14:AF14"/>
    <mergeCell ref="AG14:AH14"/>
    <mergeCell ref="I14:J14"/>
    <mergeCell ref="AA14:AA15"/>
    <mergeCell ref="AB14:AB15"/>
    <mergeCell ref="AC14:AC15"/>
    <mergeCell ref="C14:C15"/>
    <mergeCell ref="D14:D15"/>
    <mergeCell ref="E14:E15"/>
    <mergeCell ref="F14:F15"/>
    <mergeCell ref="G14:H14"/>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B1:CP116"/>
  <sheetViews>
    <sheetView workbookViewId="0">
      <selection activeCell="H21" sqref="H21"/>
    </sheetView>
  </sheetViews>
  <sheetFormatPr baseColWidth="10" defaultColWidth="8.83203125" defaultRowHeight="15"/>
  <cols>
    <col min="2" max="2" width="51.5" customWidth="1"/>
    <col min="3" max="3" width="10.5" style="52" bestFit="1" customWidth="1"/>
    <col min="4" max="4" width="9.6640625" style="52" bestFit="1" customWidth="1"/>
    <col min="5" max="6" width="9.5" style="52" bestFit="1" customWidth="1"/>
    <col min="7" max="8" width="9.1640625" style="52"/>
    <col min="13" max="13" width="11.5" bestFit="1" customWidth="1"/>
    <col min="17" max="17" width="3.5" customWidth="1"/>
    <col min="18" max="18" width="3" customWidth="1"/>
    <col min="19" max="19" width="1.33203125" customWidth="1"/>
    <col min="20" max="20" width="3.5" customWidth="1"/>
    <col min="21" max="21" width="3.33203125" customWidth="1"/>
    <col min="22" max="22" width="2.83203125" customWidth="1"/>
    <col min="23" max="23" width="1.6640625" customWidth="1"/>
    <col min="24" max="24" width="1.5" customWidth="1"/>
    <col min="25" max="25" width="3.5" customWidth="1"/>
    <col min="26" max="26" width="29.5" customWidth="1"/>
  </cols>
  <sheetData>
    <row r="1" spans="2:94" ht="16" thickBot="1">
      <c r="D1" s="170">
        <v>10</v>
      </c>
    </row>
    <row r="3" spans="2:94" ht="29">
      <c r="B3" s="51" t="s">
        <v>283</v>
      </c>
      <c r="J3" s="821" t="s">
        <v>783</v>
      </c>
    </row>
    <row r="4" spans="2:94" ht="15" customHeight="1" thickBot="1">
      <c r="B4" s="146" t="s">
        <v>273</v>
      </c>
      <c r="C4" s="562"/>
      <c r="D4" s="562"/>
      <c r="E4" s="562"/>
      <c r="F4" s="562"/>
      <c r="G4" s="562"/>
      <c r="H4" s="562"/>
      <c r="J4">
        <v>0.2</v>
      </c>
      <c r="Z4" s="680" t="s">
        <v>273</v>
      </c>
      <c r="AA4" s="439"/>
      <c r="AB4" s="439"/>
      <c r="AC4" s="439"/>
      <c r="AD4" s="439"/>
      <c r="AE4" s="439"/>
    </row>
    <row r="5" spans="2:94" s="562" customFormat="1" ht="15" customHeight="1" thickTop="1">
      <c r="B5" s="27" t="s">
        <v>255</v>
      </c>
      <c r="C5" s="27" t="s">
        <v>256</v>
      </c>
      <c r="D5" s="28" t="s">
        <v>257</v>
      </c>
      <c r="E5" s="28" t="s">
        <v>259</v>
      </c>
      <c r="F5" s="29" t="s">
        <v>260</v>
      </c>
      <c r="G5" s="30" t="s">
        <v>261</v>
      </c>
      <c r="H5" s="30" t="s">
        <v>262</v>
      </c>
      <c r="I5" s="136" t="s">
        <v>263</v>
      </c>
      <c r="J5" s="30" t="s">
        <v>264</v>
      </c>
      <c r="K5" s="136" t="s">
        <v>265</v>
      </c>
      <c r="L5" s="136" t="s">
        <v>266</v>
      </c>
      <c r="M5" s="136" t="s">
        <v>267</v>
      </c>
      <c r="N5" s="136" t="s">
        <v>268</v>
      </c>
      <c r="O5" s="137" t="s">
        <v>269</v>
      </c>
      <c r="Z5" s="27" t="s">
        <v>255</v>
      </c>
      <c r="AA5" s="27" t="s">
        <v>256</v>
      </c>
      <c r="AB5" s="28" t="s">
        <v>257</v>
      </c>
      <c r="AC5" s="28" t="s">
        <v>259</v>
      </c>
      <c r="AD5" s="29" t="s">
        <v>260</v>
      </c>
      <c r="AE5" s="30" t="s">
        <v>261</v>
      </c>
      <c r="AF5" s="30" t="s">
        <v>262</v>
      </c>
      <c r="AG5" s="136" t="s">
        <v>263</v>
      </c>
      <c r="AH5" s="136" t="s">
        <v>264</v>
      </c>
      <c r="AI5" s="136" t="s">
        <v>265</v>
      </c>
      <c r="AJ5" s="136" t="s">
        <v>266</v>
      </c>
      <c r="AK5" s="136" t="s">
        <v>267</v>
      </c>
      <c r="AL5" s="136" t="s">
        <v>268</v>
      </c>
      <c r="AM5" s="137" t="s">
        <v>269</v>
      </c>
    </row>
    <row r="6" spans="2:94" s="562" customFormat="1" ht="15" customHeight="1" thickBot="1">
      <c r="B6" s="31"/>
      <c r="C6" s="31"/>
      <c r="D6" s="32"/>
      <c r="E6" s="32"/>
      <c r="F6" s="33"/>
      <c r="G6" s="31"/>
      <c r="H6" s="31"/>
      <c r="I6" s="31"/>
      <c r="J6" s="31"/>
      <c r="K6" s="31"/>
      <c r="L6" s="31"/>
      <c r="M6" s="31"/>
      <c r="N6" s="31"/>
      <c r="O6" s="139"/>
      <c r="Z6" s="31"/>
      <c r="AA6" s="31"/>
      <c r="AB6" s="32"/>
      <c r="AC6" s="32"/>
      <c r="AD6" s="33"/>
      <c r="AE6" s="31"/>
      <c r="AF6" s="31"/>
      <c r="AG6" s="31"/>
      <c r="AH6" s="31"/>
      <c r="AI6" s="31"/>
      <c r="AJ6" s="31"/>
      <c r="AK6" s="31"/>
      <c r="AL6" s="31"/>
      <c r="AM6" s="139"/>
    </row>
    <row r="7" spans="2:94" s="562" customFormat="1" ht="15" customHeight="1">
      <c r="B7" s="37"/>
      <c r="C7" s="37"/>
      <c r="D7" s="38"/>
      <c r="E7" s="38" t="s">
        <v>637</v>
      </c>
      <c r="F7" s="38" t="s">
        <v>353</v>
      </c>
      <c r="G7" s="38" t="s">
        <v>354</v>
      </c>
      <c r="H7" s="38" t="s">
        <v>355</v>
      </c>
      <c r="I7" s="37" t="s">
        <v>271</v>
      </c>
      <c r="J7" s="37" t="s">
        <v>271</v>
      </c>
      <c r="K7" s="37" t="s">
        <v>272</v>
      </c>
      <c r="L7" s="37" t="s">
        <v>272</v>
      </c>
      <c r="M7" s="37" t="s">
        <v>272</v>
      </c>
      <c r="N7" s="37" t="s">
        <v>272</v>
      </c>
      <c r="O7" s="141" t="s">
        <v>272</v>
      </c>
      <c r="Z7" s="37"/>
      <c r="AA7" s="37"/>
      <c r="AB7" s="38"/>
      <c r="AC7" s="38"/>
      <c r="AD7" s="37" t="s">
        <v>270</v>
      </c>
      <c r="AE7" s="37" t="s">
        <v>252</v>
      </c>
      <c r="AF7" s="37" t="s">
        <v>253</v>
      </c>
      <c r="AG7" s="37" t="s">
        <v>271</v>
      </c>
      <c r="AH7" s="37" t="s">
        <v>271</v>
      </c>
      <c r="AI7" s="37" t="s">
        <v>272</v>
      </c>
      <c r="AJ7" s="37" t="s">
        <v>272</v>
      </c>
      <c r="AK7" s="37" t="s">
        <v>272</v>
      </c>
      <c r="AL7" s="37" t="s">
        <v>272</v>
      </c>
      <c r="AM7" s="141" t="s">
        <v>272</v>
      </c>
    </row>
    <row r="8" spans="2:94" s="562" customFormat="1" ht="15" customHeight="1">
      <c r="B8" s="39">
        <f>C14</f>
        <v>2015</v>
      </c>
      <c r="C8" s="39">
        <f>B8</f>
        <v>2015</v>
      </c>
      <c r="D8" s="39">
        <f>C21/100</f>
        <v>1.35</v>
      </c>
      <c r="E8" s="39">
        <f>C23</f>
        <v>20</v>
      </c>
      <c r="F8" s="226">
        <f>C43</f>
        <v>11.622</v>
      </c>
      <c r="G8" s="226">
        <f>C46</f>
        <v>0.17507500000000001</v>
      </c>
      <c r="H8" s="226">
        <f>C47</f>
        <v>0</v>
      </c>
      <c r="I8" s="39"/>
      <c r="J8" s="39">
        <f>$J$4*E18/100</f>
        <v>0.2</v>
      </c>
      <c r="K8" s="39"/>
      <c r="L8" s="39"/>
      <c r="M8" s="39"/>
      <c r="N8" s="39"/>
      <c r="O8" s="142"/>
      <c r="Z8" s="39">
        <f>AA14</f>
        <v>2015</v>
      </c>
      <c r="AA8" s="39">
        <f>Z8</f>
        <v>2015</v>
      </c>
      <c r="AB8" s="39">
        <f>AA21/100</f>
        <v>1.35</v>
      </c>
      <c r="AC8" s="39">
        <f>AA23</f>
        <v>20</v>
      </c>
      <c r="AD8" s="226">
        <f>AA43</f>
        <v>5.5875000000000004</v>
      </c>
      <c r="AE8" s="226">
        <f>AA46</f>
        <v>3.9789772727272729E-2</v>
      </c>
      <c r="AF8" s="226">
        <f>AA47</f>
        <v>0</v>
      </c>
      <c r="AG8" s="39"/>
      <c r="AH8" s="39"/>
      <c r="AI8" s="39"/>
      <c r="AJ8" s="39"/>
      <c r="AK8" s="39"/>
      <c r="AL8" s="39"/>
      <c r="AM8" s="142"/>
    </row>
    <row r="9" spans="2:94" s="562" customFormat="1" ht="15" customHeight="1">
      <c r="B9" s="39">
        <f>D14</f>
        <v>2020</v>
      </c>
      <c r="C9" s="39"/>
      <c r="D9" s="39">
        <f>D21/100</f>
        <v>1.45</v>
      </c>
      <c r="E9" s="39">
        <f>D23</f>
        <v>20</v>
      </c>
      <c r="F9" s="226">
        <f>D43</f>
        <v>10.951499999999999</v>
      </c>
      <c r="G9" s="226">
        <f>D46</f>
        <v>0.17507500000000001</v>
      </c>
      <c r="H9" s="226">
        <f>D47</f>
        <v>0</v>
      </c>
      <c r="I9" s="39"/>
      <c r="J9" s="39">
        <f>$J$4*D18/100</f>
        <v>0.2</v>
      </c>
      <c r="K9" s="39"/>
      <c r="L9" s="39"/>
      <c r="M9" s="39"/>
      <c r="N9" s="39"/>
      <c r="O9" s="142"/>
      <c r="Z9" s="39">
        <f>AB14</f>
        <v>2020</v>
      </c>
      <c r="AA9" s="39"/>
      <c r="AB9" s="39">
        <f>AB21/100</f>
        <v>1.45</v>
      </c>
      <c r="AC9" s="39">
        <f>AB23</f>
        <v>20</v>
      </c>
      <c r="AD9" s="226">
        <f>AB43</f>
        <v>2.8887375</v>
      </c>
      <c r="AE9" s="226">
        <f>AB46</f>
        <v>2.1884375000000001E-2</v>
      </c>
      <c r="AF9" s="226">
        <f>AB47</f>
        <v>0</v>
      </c>
      <c r="AG9" s="39"/>
      <c r="AH9" s="39"/>
      <c r="AI9" s="39"/>
      <c r="AJ9" s="39"/>
      <c r="AK9" s="39"/>
      <c r="AL9" s="39"/>
      <c r="AM9" s="142"/>
    </row>
    <row r="10" spans="2:94" s="562" customFormat="1" ht="15" customHeight="1">
      <c r="B10" s="39">
        <f>E14</f>
        <v>2030</v>
      </c>
      <c r="C10" s="39"/>
      <c r="D10" s="39">
        <f>E21/100</f>
        <v>1.7</v>
      </c>
      <c r="E10" s="39">
        <f>E23</f>
        <v>20</v>
      </c>
      <c r="F10" s="226">
        <f>E43</f>
        <v>9.8339999999999996</v>
      </c>
      <c r="G10" s="226">
        <f>E46</f>
        <v>0.17507500000000001</v>
      </c>
      <c r="H10" s="226">
        <f>E47</f>
        <v>0</v>
      </c>
      <c r="I10" s="39"/>
      <c r="J10" s="39">
        <f>$J$4*E18/100</f>
        <v>0.2</v>
      </c>
      <c r="K10" s="39"/>
      <c r="L10" s="39"/>
      <c r="M10" s="39"/>
      <c r="N10" s="39"/>
      <c r="O10" s="142"/>
      <c r="Z10" s="39">
        <f>AC14</f>
        <v>2030</v>
      </c>
      <c r="AA10" s="39"/>
      <c r="AB10" s="39">
        <f>AC21/100</f>
        <v>1.7</v>
      </c>
      <c r="AC10" s="39">
        <f>AC23</f>
        <v>20</v>
      </c>
      <c r="AD10" s="226">
        <f>AC43</f>
        <v>2.5998637499999999</v>
      </c>
      <c r="AE10" s="226">
        <f>AC46</f>
        <v>2.1884375000000001E-2</v>
      </c>
      <c r="AF10" s="226">
        <f>AC47</f>
        <v>0</v>
      </c>
      <c r="AG10" s="39"/>
      <c r="AH10" s="39"/>
      <c r="AI10" s="39"/>
      <c r="AJ10" s="39"/>
      <c r="AK10" s="39"/>
      <c r="AL10" s="39"/>
      <c r="AM10" s="142"/>
    </row>
    <row r="11" spans="2:94" s="562" customFormat="1" ht="15" customHeight="1" thickBot="1">
      <c r="B11" s="39">
        <f>F14</f>
        <v>2050</v>
      </c>
      <c r="C11" s="39"/>
      <c r="D11" s="39">
        <f>F21/100</f>
        <v>1.7</v>
      </c>
      <c r="E11" s="39">
        <f>F23</f>
        <v>20</v>
      </c>
      <c r="F11" s="226">
        <f>F43</f>
        <v>8.865499999999999</v>
      </c>
      <c r="G11" s="226">
        <f>F46</f>
        <v>0.17507500000000001</v>
      </c>
      <c r="H11" s="226">
        <f>F47</f>
        <v>0</v>
      </c>
      <c r="I11" s="143"/>
      <c r="J11" s="39">
        <f>$J$4*F18/100</f>
        <v>0.2</v>
      </c>
      <c r="K11" s="143"/>
      <c r="L11" s="143"/>
      <c r="M11" s="143"/>
      <c r="N11" s="143"/>
      <c r="O11" s="144"/>
      <c r="Z11" s="39">
        <f>AD14</f>
        <v>2050</v>
      </c>
      <c r="AA11" s="39"/>
      <c r="AB11" s="39">
        <f>AD21/100</f>
        <v>1.7</v>
      </c>
      <c r="AC11" s="39">
        <f>AD23</f>
        <v>20</v>
      </c>
      <c r="AD11" s="226">
        <f>AD43</f>
        <v>2.3398773749999999</v>
      </c>
      <c r="AE11" s="226">
        <f>AD46</f>
        <v>2.1884375000000001E-2</v>
      </c>
      <c r="AF11" s="226">
        <f>AD47</f>
        <v>0</v>
      </c>
      <c r="AG11" s="143"/>
      <c r="AH11" s="143"/>
      <c r="AI11" s="143"/>
      <c r="AJ11" s="143"/>
      <c r="AK11" s="143"/>
      <c r="AL11" s="143"/>
      <c r="AM11" s="144"/>
    </row>
    <row r="12" spans="2:94" ht="15" customHeight="1" thickTop="1" thickBot="1"/>
    <row r="13" spans="2:94" ht="15.75" customHeight="1" thickBot="1">
      <c r="B13" s="605" t="s">
        <v>0</v>
      </c>
      <c r="C13" s="1249" t="s">
        <v>624</v>
      </c>
      <c r="D13" s="1250"/>
      <c r="E13" s="1250"/>
      <c r="F13" s="1250"/>
      <c r="G13" s="1250"/>
      <c r="H13" s="1250"/>
      <c r="I13" s="1250"/>
      <c r="J13" s="1250"/>
      <c r="K13" s="1250"/>
      <c r="L13" s="1251"/>
      <c r="M13" s="475"/>
      <c r="N13" s="475"/>
      <c r="O13" s="476"/>
      <c r="Z13" s="605" t="s">
        <v>0</v>
      </c>
      <c r="AA13" s="1249" t="s">
        <v>630</v>
      </c>
      <c r="AB13" s="1250"/>
      <c r="AC13" s="1250"/>
      <c r="AD13" s="1250"/>
      <c r="AE13" s="1250"/>
      <c r="AF13" s="1250"/>
      <c r="AG13" s="1250"/>
      <c r="AH13" s="1250"/>
      <c r="AI13" s="1250"/>
      <c r="AJ13" s="1251"/>
    </row>
    <row r="14" spans="2:94" s="8" customFormat="1" ht="15.75" customHeight="1" thickBot="1">
      <c r="B14" s="608"/>
      <c r="C14" s="1255">
        <v>2015</v>
      </c>
      <c r="D14" s="1256">
        <v>2020</v>
      </c>
      <c r="E14" s="1256">
        <v>2030</v>
      </c>
      <c r="F14" s="1252">
        <v>2050</v>
      </c>
      <c r="G14" s="1255" t="s">
        <v>467</v>
      </c>
      <c r="H14" s="1252"/>
      <c r="I14" s="1255" t="s">
        <v>468</v>
      </c>
      <c r="J14" s="1252"/>
      <c r="K14" s="619" t="s">
        <v>2</v>
      </c>
      <c r="L14" s="619" t="s">
        <v>3</v>
      </c>
      <c r="M14" s="676"/>
      <c r="N14" s="676"/>
      <c r="O14" s="677"/>
      <c r="P14"/>
      <c r="Q14"/>
      <c r="R14"/>
      <c r="S14"/>
      <c r="T14"/>
      <c r="U14"/>
      <c r="V14"/>
      <c r="W14"/>
      <c r="X14"/>
      <c r="Z14" s="564"/>
      <c r="AA14" s="1256">
        <v>2015</v>
      </c>
      <c r="AB14" s="1254">
        <v>2020</v>
      </c>
      <c r="AC14" s="1256">
        <v>2030</v>
      </c>
      <c r="AD14" s="1252">
        <v>2050</v>
      </c>
      <c r="AE14" s="1254" t="s">
        <v>467</v>
      </c>
      <c r="AF14" s="1252"/>
      <c r="AG14" s="1255" t="s">
        <v>468</v>
      </c>
      <c r="AH14" s="1252"/>
      <c r="AI14" s="619" t="s">
        <v>2</v>
      </c>
      <c r="AJ14" s="690" t="s">
        <v>3</v>
      </c>
    </row>
    <row r="15" spans="2:94" ht="16" thickBot="1">
      <c r="B15" s="606" t="s">
        <v>4</v>
      </c>
      <c r="C15" s="1259"/>
      <c r="D15" s="1257"/>
      <c r="E15" s="1257"/>
      <c r="F15" s="1253"/>
      <c r="G15" s="565" t="s">
        <v>469</v>
      </c>
      <c r="H15" s="681" t="s">
        <v>470</v>
      </c>
      <c r="I15" s="566" t="s">
        <v>469</v>
      </c>
      <c r="J15" s="567" t="s">
        <v>470</v>
      </c>
      <c r="K15" s="682"/>
      <c r="L15" s="683"/>
      <c r="M15" s="439"/>
      <c r="N15" s="439"/>
      <c r="O15" s="439"/>
      <c r="Y15" s="8"/>
      <c r="Z15" s="606" t="s">
        <v>4</v>
      </c>
      <c r="AA15" s="1257"/>
      <c r="AB15" s="1258"/>
      <c r="AC15" s="1257"/>
      <c r="AD15" s="1253"/>
      <c r="AE15" s="565" t="s">
        <v>469</v>
      </c>
      <c r="AF15" s="566" t="s">
        <v>470</v>
      </c>
      <c r="AG15" s="681" t="s">
        <v>469</v>
      </c>
      <c r="AH15" s="566" t="s">
        <v>470</v>
      </c>
      <c r="AI15" s="691"/>
      <c r="AJ15" s="683"/>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607" t="s">
        <v>5</v>
      </c>
      <c r="C16" s="580">
        <v>10</v>
      </c>
      <c r="D16" s="580">
        <v>10</v>
      </c>
      <c r="E16" s="580">
        <v>10</v>
      </c>
      <c r="F16" s="580">
        <v>10</v>
      </c>
      <c r="G16" s="621">
        <v>10</v>
      </c>
      <c r="H16" s="621">
        <v>50</v>
      </c>
      <c r="I16" s="621">
        <v>10</v>
      </c>
      <c r="J16" s="621">
        <v>50</v>
      </c>
      <c r="K16" s="621" t="s">
        <v>625</v>
      </c>
      <c r="L16" s="621"/>
      <c r="M16" s="439"/>
      <c r="N16" s="439"/>
      <c r="O16" s="439"/>
      <c r="Y16" s="8"/>
      <c r="Z16" s="607" t="s">
        <v>5</v>
      </c>
      <c r="AA16" s="580">
        <v>44</v>
      </c>
      <c r="AB16" s="580">
        <v>80</v>
      </c>
      <c r="AC16" s="580">
        <v>80</v>
      </c>
      <c r="AD16" s="580">
        <v>80</v>
      </c>
      <c r="AE16" s="621" t="s">
        <v>626</v>
      </c>
      <c r="AF16" s="621" t="s">
        <v>626</v>
      </c>
      <c r="AG16" s="621" t="s">
        <v>626</v>
      </c>
      <c r="AH16" s="621" t="s">
        <v>626</v>
      </c>
      <c r="AI16" s="621" t="s">
        <v>631</v>
      </c>
      <c r="AJ16" s="690"/>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607" t="s">
        <v>77</v>
      </c>
      <c r="C17" s="621">
        <v>0</v>
      </c>
      <c r="D17" s="621">
        <v>0</v>
      </c>
      <c r="E17" s="621">
        <v>0</v>
      </c>
      <c r="F17" s="621">
        <v>0</v>
      </c>
      <c r="G17" s="621">
        <v>0</v>
      </c>
      <c r="H17" s="621">
        <v>0</v>
      </c>
      <c r="I17" s="621">
        <v>0</v>
      </c>
      <c r="J17" s="621">
        <v>0</v>
      </c>
      <c r="K17" s="621"/>
      <c r="L17" s="621"/>
      <c r="M17" s="439"/>
      <c r="N17" s="439"/>
      <c r="O17" s="439"/>
      <c r="Y17" s="8"/>
      <c r="Z17" s="607" t="s">
        <v>77</v>
      </c>
      <c r="AA17" s="621">
        <v>0</v>
      </c>
      <c r="AB17" s="621">
        <v>0</v>
      </c>
      <c r="AC17" s="621">
        <v>0</v>
      </c>
      <c r="AD17" s="621">
        <v>0</v>
      </c>
      <c r="AE17" s="621">
        <v>0</v>
      </c>
      <c r="AF17" s="621">
        <v>0</v>
      </c>
      <c r="AG17" s="621">
        <v>0</v>
      </c>
      <c r="AH17" s="621">
        <v>0</v>
      </c>
      <c r="AI17" s="621"/>
      <c r="AJ17" s="621"/>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607" t="s">
        <v>7</v>
      </c>
      <c r="C18" s="621">
        <v>100</v>
      </c>
      <c r="D18" s="621">
        <v>100</v>
      </c>
      <c r="E18" s="621">
        <v>100</v>
      </c>
      <c r="F18" s="621">
        <v>100</v>
      </c>
      <c r="G18" s="621" t="s">
        <v>626</v>
      </c>
      <c r="H18" s="621" t="s">
        <v>626</v>
      </c>
      <c r="I18" s="621" t="s">
        <v>626</v>
      </c>
      <c r="J18" s="621" t="s">
        <v>626</v>
      </c>
      <c r="K18" s="621"/>
      <c r="L18" s="621"/>
      <c r="M18" s="439"/>
      <c r="N18" s="439"/>
      <c r="O18" s="439"/>
      <c r="Y18" s="8"/>
      <c r="Z18" s="607" t="s">
        <v>7</v>
      </c>
      <c r="AA18" s="621">
        <v>100</v>
      </c>
      <c r="AB18" s="621">
        <v>100</v>
      </c>
      <c r="AC18" s="621">
        <v>100</v>
      </c>
      <c r="AD18" s="621">
        <v>100</v>
      </c>
      <c r="AE18" s="621" t="s">
        <v>626</v>
      </c>
      <c r="AF18" s="621" t="s">
        <v>626</v>
      </c>
      <c r="AG18" s="621" t="s">
        <v>626</v>
      </c>
      <c r="AH18" s="621" t="s">
        <v>626</v>
      </c>
      <c r="AI18" s="621"/>
      <c r="AJ18" s="621"/>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607" t="s">
        <v>8</v>
      </c>
      <c r="C19" s="621">
        <v>100</v>
      </c>
      <c r="D19" s="621">
        <v>100</v>
      </c>
      <c r="E19" s="621">
        <v>100</v>
      </c>
      <c r="F19" s="621">
        <v>100</v>
      </c>
      <c r="G19" s="621" t="s">
        <v>626</v>
      </c>
      <c r="H19" s="621" t="s">
        <v>626</v>
      </c>
      <c r="I19" s="621" t="s">
        <v>626</v>
      </c>
      <c r="J19" s="621" t="s">
        <v>626</v>
      </c>
      <c r="K19" s="621"/>
      <c r="L19" s="621"/>
      <c r="M19" s="439"/>
      <c r="N19" s="439"/>
      <c r="O19" s="439"/>
      <c r="Y19" s="8"/>
      <c r="Z19" s="607" t="s">
        <v>8</v>
      </c>
      <c r="AA19" s="621">
        <v>100</v>
      </c>
      <c r="AB19" s="621">
        <v>100</v>
      </c>
      <c r="AC19" s="621">
        <v>100</v>
      </c>
      <c r="AD19" s="621">
        <v>100</v>
      </c>
      <c r="AE19" s="621" t="s">
        <v>626</v>
      </c>
      <c r="AF19" s="621" t="s">
        <v>626</v>
      </c>
      <c r="AG19" s="621" t="s">
        <v>626</v>
      </c>
      <c r="AH19" s="621" t="s">
        <v>626</v>
      </c>
      <c r="AI19" s="621"/>
      <c r="AJ19" s="621"/>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607" t="s">
        <v>86</v>
      </c>
      <c r="C20" s="621" t="s">
        <v>626</v>
      </c>
      <c r="D20" s="621" t="s">
        <v>626</v>
      </c>
      <c r="E20" s="621" t="s">
        <v>626</v>
      </c>
      <c r="F20" s="621" t="s">
        <v>626</v>
      </c>
      <c r="G20" s="621" t="s">
        <v>626</v>
      </c>
      <c r="H20" s="621" t="s">
        <v>626</v>
      </c>
      <c r="I20" s="621" t="s">
        <v>626</v>
      </c>
      <c r="J20" s="621" t="s">
        <v>626</v>
      </c>
      <c r="K20" s="621"/>
      <c r="L20" s="621"/>
      <c r="M20" s="439"/>
      <c r="N20" s="439"/>
      <c r="O20" s="439"/>
      <c r="Y20" s="8"/>
      <c r="Z20" s="607" t="s">
        <v>86</v>
      </c>
      <c r="AA20" s="621" t="s">
        <v>626</v>
      </c>
      <c r="AB20" s="621" t="s">
        <v>626</v>
      </c>
      <c r="AC20" s="621" t="s">
        <v>626</v>
      </c>
      <c r="AD20" s="621" t="s">
        <v>626</v>
      </c>
      <c r="AE20" s="621" t="s">
        <v>626</v>
      </c>
      <c r="AF20" s="621" t="s">
        <v>626</v>
      </c>
      <c r="AG20" s="621" t="s">
        <v>626</v>
      </c>
      <c r="AH20" s="621" t="s">
        <v>626</v>
      </c>
      <c r="AI20" s="621"/>
      <c r="AJ20" s="621"/>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607" t="s">
        <v>9</v>
      </c>
      <c r="C21" s="621">
        <v>135</v>
      </c>
      <c r="D21" s="621">
        <v>145</v>
      </c>
      <c r="E21" s="621">
        <v>170</v>
      </c>
      <c r="F21" s="621">
        <v>170</v>
      </c>
      <c r="G21" s="621" t="s">
        <v>626</v>
      </c>
      <c r="H21" s="621" t="s">
        <v>626</v>
      </c>
      <c r="I21" s="621" t="s">
        <v>626</v>
      </c>
      <c r="J21" s="621" t="s">
        <v>626</v>
      </c>
      <c r="K21" s="621" t="s">
        <v>42</v>
      </c>
      <c r="L21" s="621">
        <v>2.16</v>
      </c>
      <c r="M21" s="439"/>
      <c r="N21" s="439"/>
      <c r="O21" s="439"/>
      <c r="Y21" s="8"/>
      <c r="Z21" s="607" t="s">
        <v>9</v>
      </c>
      <c r="AA21" s="621">
        <v>135</v>
      </c>
      <c r="AB21" s="621">
        <v>145</v>
      </c>
      <c r="AC21" s="621">
        <v>170</v>
      </c>
      <c r="AD21" s="621">
        <v>170</v>
      </c>
      <c r="AE21" s="621" t="s">
        <v>626</v>
      </c>
      <c r="AF21" s="621" t="s">
        <v>626</v>
      </c>
      <c r="AG21" s="621" t="s">
        <v>626</v>
      </c>
      <c r="AH21" s="621" t="s">
        <v>626</v>
      </c>
      <c r="AI21" s="621" t="s">
        <v>42</v>
      </c>
      <c r="AJ21" s="621">
        <v>2.16</v>
      </c>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c r="B22" s="607" t="s">
        <v>472</v>
      </c>
      <c r="C22" s="621" t="s">
        <v>626</v>
      </c>
      <c r="D22" s="621" t="s">
        <v>626</v>
      </c>
      <c r="E22" s="621" t="s">
        <v>626</v>
      </c>
      <c r="F22" s="621" t="s">
        <v>626</v>
      </c>
      <c r="G22" s="621" t="s">
        <v>626</v>
      </c>
      <c r="H22" s="621" t="s">
        <v>626</v>
      </c>
      <c r="I22" s="621" t="s">
        <v>626</v>
      </c>
      <c r="J22" s="621" t="s">
        <v>626</v>
      </c>
      <c r="K22" s="621"/>
      <c r="L22" s="621"/>
      <c r="M22" s="439"/>
      <c r="N22" s="439"/>
      <c r="O22" s="439"/>
      <c r="Y22" s="8"/>
      <c r="Z22" s="607" t="s">
        <v>472</v>
      </c>
      <c r="AA22" s="621" t="s">
        <v>626</v>
      </c>
      <c r="AB22" s="621" t="s">
        <v>626</v>
      </c>
      <c r="AC22" s="621" t="s">
        <v>626</v>
      </c>
      <c r="AD22" s="621" t="s">
        <v>626</v>
      </c>
      <c r="AE22" s="621" t="s">
        <v>626</v>
      </c>
      <c r="AF22" s="621" t="s">
        <v>626</v>
      </c>
      <c r="AG22" s="621" t="s">
        <v>626</v>
      </c>
      <c r="AH22" s="621" t="s">
        <v>626</v>
      </c>
      <c r="AI22" s="621"/>
      <c r="AJ22" s="621"/>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c r="B23" s="607" t="s">
        <v>10</v>
      </c>
      <c r="C23" s="621">
        <v>20</v>
      </c>
      <c r="D23" s="621">
        <v>20</v>
      </c>
      <c r="E23" s="621">
        <v>20</v>
      </c>
      <c r="F23" s="621">
        <v>20</v>
      </c>
      <c r="G23" s="621" t="s">
        <v>626</v>
      </c>
      <c r="H23" s="621" t="s">
        <v>626</v>
      </c>
      <c r="I23" s="621" t="s">
        <v>626</v>
      </c>
      <c r="J23" s="621" t="s">
        <v>626</v>
      </c>
      <c r="K23" s="621" t="s">
        <v>19</v>
      </c>
      <c r="L23" s="621"/>
      <c r="M23" s="675"/>
      <c r="N23" s="675"/>
      <c r="O23" s="675"/>
      <c r="P23" s="8"/>
      <c r="Q23" s="8"/>
      <c r="R23" s="8"/>
      <c r="S23" s="8"/>
      <c r="T23" s="8"/>
      <c r="U23" s="8"/>
      <c r="V23" s="8"/>
      <c r="W23" s="8"/>
      <c r="X23" s="8"/>
      <c r="Y23" s="8"/>
      <c r="Z23" s="607" t="s">
        <v>10</v>
      </c>
      <c r="AA23" s="621">
        <v>20</v>
      </c>
      <c r="AB23" s="621">
        <v>20</v>
      </c>
      <c r="AC23" s="621">
        <v>20</v>
      </c>
      <c r="AD23" s="621">
        <v>20</v>
      </c>
      <c r="AE23" s="621" t="s">
        <v>626</v>
      </c>
      <c r="AF23" s="621" t="s">
        <v>626</v>
      </c>
      <c r="AG23" s="621" t="s">
        <v>626</v>
      </c>
      <c r="AH23" s="621" t="s">
        <v>626</v>
      </c>
      <c r="AI23" s="621" t="s">
        <v>19</v>
      </c>
      <c r="AJ23" s="621"/>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c r="B24" s="606" t="s">
        <v>488</v>
      </c>
      <c r="C24" s="569"/>
      <c r="D24" s="569"/>
      <c r="E24" s="569"/>
      <c r="F24" s="569"/>
      <c r="G24" s="569"/>
      <c r="H24" s="569"/>
      <c r="I24" s="569"/>
      <c r="J24" s="569"/>
      <c r="K24" s="569"/>
      <c r="L24" s="621"/>
      <c r="M24" s="675"/>
      <c r="N24" s="675"/>
      <c r="O24" s="675"/>
      <c r="P24" s="8"/>
      <c r="Q24" s="8"/>
      <c r="R24" s="8"/>
      <c r="S24" s="8"/>
      <c r="T24" s="8"/>
      <c r="U24" s="8"/>
      <c r="V24" s="8"/>
      <c r="W24" s="8"/>
      <c r="X24" s="8"/>
      <c r="Y24" s="8"/>
      <c r="Z24" s="606" t="s">
        <v>488</v>
      </c>
      <c r="AA24" s="569"/>
      <c r="AB24" s="569"/>
      <c r="AC24" s="569"/>
      <c r="AD24" s="569"/>
      <c r="AE24" s="569"/>
      <c r="AF24" s="569"/>
      <c r="AG24" s="569"/>
      <c r="AH24" s="569"/>
      <c r="AI24" s="569"/>
      <c r="AJ24" s="621"/>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c r="B25" s="607" t="s">
        <v>578</v>
      </c>
      <c r="C25" s="621" t="s">
        <v>626</v>
      </c>
      <c r="D25" s="621" t="s">
        <v>626</v>
      </c>
      <c r="E25" s="621" t="s">
        <v>626</v>
      </c>
      <c r="F25" s="621" t="s">
        <v>626</v>
      </c>
      <c r="G25" s="621" t="s">
        <v>626</v>
      </c>
      <c r="H25" s="621" t="s">
        <v>626</v>
      </c>
      <c r="I25" s="621" t="s">
        <v>626</v>
      </c>
      <c r="J25" s="621" t="s">
        <v>626</v>
      </c>
      <c r="K25" s="570"/>
      <c r="L25" s="621"/>
      <c r="M25" s="675"/>
      <c r="N25" s="675"/>
      <c r="O25" s="675"/>
      <c r="P25" s="8"/>
      <c r="Q25" s="8"/>
      <c r="R25" s="8"/>
      <c r="S25" s="8"/>
      <c r="T25" s="8"/>
      <c r="U25" s="8"/>
      <c r="V25" s="8"/>
      <c r="W25" s="8"/>
      <c r="X25" s="8"/>
      <c r="Y25" s="8"/>
      <c r="Z25" s="607" t="s">
        <v>578</v>
      </c>
      <c r="AA25" s="621" t="s">
        <v>626</v>
      </c>
      <c r="AB25" s="621" t="s">
        <v>626</v>
      </c>
      <c r="AC25" s="621" t="s">
        <v>626</v>
      </c>
      <c r="AD25" s="621" t="s">
        <v>626</v>
      </c>
      <c r="AE25" s="621" t="s">
        <v>626</v>
      </c>
      <c r="AF25" s="621" t="s">
        <v>626</v>
      </c>
      <c r="AG25" s="621" t="s">
        <v>626</v>
      </c>
      <c r="AH25" s="621" t="s">
        <v>626</v>
      </c>
      <c r="AI25" s="570"/>
      <c r="AJ25" s="621"/>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c r="B26" s="607" t="s">
        <v>492</v>
      </c>
      <c r="C26" s="621" t="s">
        <v>626</v>
      </c>
      <c r="D26" s="621" t="s">
        <v>626</v>
      </c>
      <c r="E26" s="621" t="s">
        <v>626</v>
      </c>
      <c r="F26" s="621" t="s">
        <v>626</v>
      </c>
      <c r="G26" s="621" t="s">
        <v>626</v>
      </c>
      <c r="H26" s="621" t="s">
        <v>626</v>
      </c>
      <c r="I26" s="621" t="s">
        <v>626</v>
      </c>
      <c r="J26" s="621" t="s">
        <v>626</v>
      </c>
      <c r="K26" s="570"/>
      <c r="L26" s="621"/>
      <c r="M26" s="675"/>
      <c r="N26" s="675"/>
      <c r="O26" s="675"/>
      <c r="P26" s="8"/>
      <c r="Q26" s="8"/>
      <c r="R26" s="8"/>
      <c r="S26" s="8"/>
      <c r="T26" s="8"/>
      <c r="U26" s="8"/>
      <c r="V26" s="8"/>
      <c r="W26" s="8"/>
      <c r="X26" s="8"/>
      <c r="Y26" s="8"/>
      <c r="Z26" s="607" t="s">
        <v>492</v>
      </c>
      <c r="AA26" s="621" t="s">
        <v>626</v>
      </c>
      <c r="AB26" s="621" t="s">
        <v>626</v>
      </c>
      <c r="AC26" s="621" t="s">
        <v>626</v>
      </c>
      <c r="AD26" s="621" t="s">
        <v>626</v>
      </c>
      <c r="AE26" s="621" t="s">
        <v>626</v>
      </c>
      <c r="AF26" s="621" t="s">
        <v>626</v>
      </c>
      <c r="AG26" s="621" t="s">
        <v>626</v>
      </c>
      <c r="AH26" s="621" t="s">
        <v>626</v>
      </c>
      <c r="AI26" s="570"/>
      <c r="AJ26" s="621"/>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c r="B27" s="607" t="s">
        <v>493</v>
      </c>
      <c r="C27" s="621" t="s">
        <v>626</v>
      </c>
      <c r="D27" s="621" t="s">
        <v>626</v>
      </c>
      <c r="E27" s="621" t="s">
        <v>626</v>
      </c>
      <c r="F27" s="621" t="s">
        <v>626</v>
      </c>
      <c r="G27" s="621" t="s">
        <v>626</v>
      </c>
      <c r="H27" s="621" t="s">
        <v>626</v>
      </c>
      <c r="I27" s="621" t="s">
        <v>626</v>
      </c>
      <c r="J27" s="621" t="s">
        <v>626</v>
      </c>
      <c r="K27" s="570"/>
      <c r="L27" s="621"/>
      <c r="M27" s="675"/>
      <c r="N27" s="675"/>
      <c r="O27" s="675"/>
      <c r="P27" s="8"/>
      <c r="Q27" s="8"/>
      <c r="R27" s="8"/>
      <c r="S27" s="8"/>
      <c r="T27" s="8"/>
      <c r="U27" s="8"/>
      <c r="V27" s="8"/>
      <c r="W27" s="8"/>
      <c r="X27" s="8"/>
      <c r="Y27" s="8"/>
      <c r="Z27" s="607" t="s">
        <v>493</v>
      </c>
      <c r="AA27" s="621" t="s">
        <v>626</v>
      </c>
      <c r="AB27" s="621" t="s">
        <v>626</v>
      </c>
      <c r="AC27" s="621" t="s">
        <v>626</v>
      </c>
      <c r="AD27" s="621" t="s">
        <v>626</v>
      </c>
      <c r="AE27" s="621" t="s">
        <v>626</v>
      </c>
      <c r="AF27" s="621" t="s">
        <v>626</v>
      </c>
      <c r="AG27" s="621" t="s">
        <v>626</v>
      </c>
      <c r="AH27" s="621" t="s">
        <v>626</v>
      </c>
      <c r="AI27" s="570"/>
      <c r="AJ27" s="621"/>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c r="B28" s="606" t="s">
        <v>11</v>
      </c>
      <c r="C28" s="571"/>
      <c r="D28" s="571"/>
      <c r="E28" s="571"/>
      <c r="F28" s="571"/>
      <c r="G28" s="571"/>
      <c r="H28" s="571"/>
      <c r="I28" s="571"/>
      <c r="J28" s="571"/>
      <c r="K28" s="571"/>
      <c r="L28" s="572"/>
      <c r="M28" s="675"/>
      <c r="N28" s="675"/>
      <c r="O28" s="675"/>
      <c r="P28" s="8"/>
      <c r="Q28" s="8"/>
      <c r="R28" s="8"/>
      <c r="S28" s="8"/>
      <c r="T28" s="8"/>
      <c r="U28" s="8"/>
      <c r="V28" s="8"/>
      <c r="W28" s="8"/>
      <c r="X28" s="8"/>
      <c r="Y28" s="8"/>
      <c r="Z28" s="606" t="s">
        <v>11</v>
      </c>
      <c r="AA28" s="571"/>
      <c r="AB28" s="571"/>
      <c r="AC28" s="571"/>
      <c r="AD28" s="571"/>
      <c r="AE28" s="571"/>
      <c r="AF28" s="571"/>
      <c r="AG28" s="571"/>
      <c r="AH28" s="571"/>
      <c r="AI28" s="571"/>
      <c r="AJ28" s="572"/>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ht="16" thickBot="1">
      <c r="B29" s="607" t="s">
        <v>474</v>
      </c>
      <c r="C29" s="621" t="s">
        <v>626</v>
      </c>
      <c r="D29" s="621" t="s">
        <v>626</v>
      </c>
      <c r="E29" s="621" t="s">
        <v>626</v>
      </c>
      <c r="F29" s="621" t="s">
        <v>626</v>
      </c>
      <c r="G29" s="621" t="s">
        <v>626</v>
      </c>
      <c r="H29" s="621" t="s">
        <v>626</v>
      </c>
      <c r="I29" s="621" t="s">
        <v>626</v>
      </c>
      <c r="J29" s="621" t="s">
        <v>626</v>
      </c>
      <c r="K29" s="621"/>
      <c r="L29" s="621"/>
      <c r="M29" s="675"/>
      <c r="N29" s="675"/>
      <c r="O29" s="675"/>
      <c r="P29" s="8"/>
      <c r="Q29" s="8"/>
      <c r="R29" s="8"/>
      <c r="S29" s="8"/>
      <c r="T29" s="8"/>
      <c r="U29" s="8"/>
      <c r="V29" s="8"/>
      <c r="W29" s="8"/>
      <c r="X29" s="8"/>
      <c r="Y29" s="8"/>
      <c r="Z29" s="607" t="s">
        <v>474</v>
      </c>
      <c r="AA29" s="621" t="s">
        <v>626</v>
      </c>
      <c r="AB29" s="621" t="s">
        <v>626</v>
      </c>
      <c r="AC29" s="621" t="s">
        <v>626</v>
      </c>
      <c r="AD29" s="621" t="s">
        <v>626</v>
      </c>
      <c r="AE29" s="621" t="s">
        <v>626</v>
      </c>
      <c r="AF29" s="621" t="s">
        <v>626</v>
      </c>
      <c r="AG29" s="621" t="s">
        <v>626</v>
      </c>
      <c r="AH29" s="621" t="s">
        <v>626</v>
      </c>
      <c r="AI29" s="621"/>
      <c r="AJ29" s="621"/>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ht="16" thickBot="1">
      <c r="B30" s="607" t="s">
        <v>475</v>
      </c>
      <c r="C30" s="570">
        <v>15</v>
      </c>
      <c r="D30" s="570">
        <v>10</v>
      </c>
      <c r="E30" s="570">
        <v>5</v>
      </c>
      <c r="F30" s="570">
        <v>5</v>
      </c>
      <c r="G30" s="621" t="s">
        <v>626</v>
      </c>
      <c r="H30" s="621" t="s">
        <v>626</v>
      </c>
      <c r="I30" s="621" t="s">
        <v>626</v>
      </c>
      <c r="J30" s="621" t="s">
        <v>626</v>
      </c>
      <c r="K30" s="621"/>
      <c r="L30" s="621">
        <v>14</v>
      </c>
      <c r="M30" s="675"/>
      <c r="N30" s="675"/>
      <c r="O30" s="675"/>
      <c r="P30" s="8"/>
      <c r="Q30" s="8"/>
      <c r="R30" s="8"/>
      <c r="S30" s="8"/>
      <c r="T30" s="8"/>
      <c r="U30" s="8"/>
      <c r="V30" s="8"/>
      <c r="W30" s="8"/>
      <c r="X30" s="8"/>
      <c r="Y30" s="8"/>
      <c r="Z30" s="607" t="s">
        <v>475</v>
      </c>
      <c r="AA30" s="570">
        <v>15</v>
      </c>
      <c r="AB30" s="570">
        <v>10</v>
      </c>
      <c r="AC30" s="570">
        <v>5</v>
      </c>
      <c r="AD30" s="570">
        <v>5</v>
      </c>
      <c r="AE30" s="621" t="s">
        <v>626</v>
      </c>
      <c r="AF30" s="621" t="s">
        <v>626</v>
      </c>
      <c r="AG30" s="621" t="s">
        <v>626</v>
      </c>
      <c r="AH30" s="621" t="s">
        <v>626</v>
      </c>
      <c r="AI30" s="621"/>
      <c r="AJ30" s="621">
        <v>14</v>
      </c>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s="8" customFormat="1" ht="16" thickBot="1">
      <c r="B31" s="607" t="s">
        <v>476</v>
      </c>
      <c r="C31" s="570">
        <v>2</v>
      </c>
      <c r="D31" s="570">
        <v>1</v>
      </c>
      <c r="E31" s="684">
        <v>0.5</v>
      </c>
      <c r="F31" s="684">
        <v>0.5</v>
      </c>
      <c r="G31" s="621" t="s">
        <v>626</v>
      </c>
      <c r="H31" s="621" t="s">
        <v>626</v>
      </c>
      <c r="I31" s="621" t="s">
        <v>626</v>
      </c>
      <c r="J31" s="621" t="s">
        <v>626</v>
      </c>
      <c r="K31" s="621" t="s">
        <v>279</v>
      </c>
      <c r="L31" s="621"/>
      <c r="M31" s="675"/>
      <c r="N31" s="675"/>
      <c r="O31" s="675"/>
      <c r="Z31" s="607" t="s">
        <v>476</v>
      </c>
      <c r="AA31" s="570">
        <v>2</v>
      </c>
      <c r="AB31" s="570">
        <v>1</v>
      </c>
      <c r="AC31" s="684">
        <v>0.5</v>
      </c>
      <c r="AD31" s="684">
        <v>0.5</v>
      </c>
      <c r="AE31" s="621" t="s">
        <v>626</v>
      </c>
      <c r="AF31" s="621" t="s">
        <v>626</v>
      </c>
      <c r="AG31" s="621" t="s">
        <v>626</v>
      </c>
      <c r="AH31" s="621" t="s">
        <v>626</v>
      </c>
      <c r="AI31" s="621" t="s">
        <v>37</v>
      </c>
      <c r="AJ31" s="621"/>
    </row>
    <row r="32" spans="2:94" ht="16" thickBot="1">
      <c r="B32" s="607" t="s">
        <v>477</v>
      </c>
      <c r="C32" s="570">
        <v>0</v>
      </c>
      <c r="D32" s="570">
        <v>0</v>
      </c>
      <c r="E32" s="570">
        <v>0</v>
      </c>
      <c r="F32" s="570">
        <v>0</v>
      </c>
      <c r="G32" s="621" t="s">
        <v>626</v>
      </c>
      <c r="H32" s="621" t="s">
        <v>626</v>
      </c>
      <c r="I32" s="621" t="s">
        <v>626</v>
      </c>
      <c r="J32" s="621" t="s">
        <v>626</v>
      </c>
      <c r="K32" s="621" t="s">
        <v>279</v>
      </c>
      <c r="L32" s="621"/>
      <c r="M32" s="678"/>
      <c r="N32" s="675"/>
      <c r="O32" s="675"/>
      <c r="P32" s="8"/>
      <c r="Q32" s="8"/>
      <c r="R32" s="8"/>
      <c r="S32" s="8"/>
      <c r="T32" s="8"/>
      <c r="U32" s="8"/>
      <c r="V32" s="8"/>
      <c r="W32" s="8"/>
      <c r="X32" s="8"/>
      <c r="Y32" s="8"/>
      <c r="Z32" s="607" t="s">
        <v>477</v>
      </c>
      <c r="AA32" s="570">
        <v>0</v>
      </c>
      <c r="AB32" s="570">
        <v>0</v>
      </c>
      <c r="AC32" s="570">
        <v>0</v>
      </c>
      <c r="AD32" s="570">
        <v>0</v>
      </c>
      <c r="AE32" s="621" t="s">
        <v>626</v>
      </c>
      <c r="AF32" s="621" t="s">
        <v>626</v>
      </c>
      <c r="AG32" s="621" t="s">
        <v>626</v>
      </c>
      <c r="AH32" s="621" t="s">
        <v>626</v>
      </c>
      <c r="AI32" s="621" t="s">
        <v>37</v>
      </c>
      <c r="AJ32" s="621"/>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6" thickBot="1">
      <c r="B33" s="607" t="s">
        <v>18</v>
      </c>
      <c r="C33" s="570">
        <v>0</v>
      </c>
      <c r="D33" s="570">
        <v>0</v>
      </c>
      <c r="E33" s="570">
        <v>0</v>
      </c>
      <c r="F33" s="570">
        <v>0</v>
      </c>
      <c r="G33" s="621" t="s">
        <v>626</v>
      </c>
      <c r="H33" s="621" t="s">
        <v>626</v>
      </c>
      <c r="I33" s="621" t="s">
        <v>626</v>
      </c>
      <c r="J33" s="621" t="s">
        <v>626</v>
      </c>
      <c r="K33" s="621" t="s">
        <v>279</v>
      </c>
      <c r="L33" s="621"/>
      <c r="M33" s="679"/>
      <c r="N33" s="675"/>
      <c r="O33" s="675"/>
      <c r="P33" s="8"/>
      <c r="Q33" s="8"/>
      <c r="R33" s="8"/>
      <c r="S33" s="8"/>
      <c r="T33" s="8"/>
      <c r="U33" s="8"/>
      <c r="V33" s="8"/>
      <c r="W33" s="8"/>
      <c r="X33" s="8"/>
      <c r="Y33" s="8"/>
      <c r="Z33" s="607" t="s">
        <v>18</v>
      </c>
      <c r="AA33" s="570">
        <v>0</v>
      </c>
      <c r="AB33" s="570">
        <v>0</v>
      </c>
      <c r="AC33" s="570">
        <v>0</v>
      </c>
      <c r="AD33" s="570">
        <v>0</v>
      </c>
      <c r="AE33" s="621" t="s">
        <v>626</v>
      </c>
      <c r="AF33" s="621" t="s">
        <v>626</v>
      </c>
      <c r="AG33" s="621" t="s">
        <v>626</v>
      </c>
      <c r="AH33" s="621" t="s">
        <v>626</v>
      </c>
      <c r="AI33" s="621" t="s">
        <v>37</v>
      </c>
      <c r="AJ33" s="621"/>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ht="25" thickBot="1">
      <c r="B34" s="606" t="s">
        <v>614</v>
      </c>
      <c r="C34" s="685"/>
      <c r="D34" s="685"/>
      <c r="E34" s="685"/>
      <c r="F34" s="685"/>
      <c r="G34" s="685"/>
      <c r="H34" s="685"/>
      <c r="I34" s="685"/>
      <c r="J34" s="685"/>
      <c r="K34" s="571"/>
      <c r="L34" s="572"/>
      <c r="M34" s="675"/>
      <c r="N34" s="675"/>
      <c r="O34" s="675"/>
      <c r="P34" s="8"/>
      <c r="Q34" s="8"/>
      <c r="R34" s="8"/>
      <c r="S34" s="8"/>
      <c r="T34" s="8"/>
      <c r="U34" s="8"/>
      <c r="V34" s="8"/>
      <c r="W34" s="8"/>
      <c r="X34" s="8"/>
      <c r="Y34" s="8"/>
      <c r="Z34" s="606" t="s">
        <v>614</v>
      </c>
      <c r="AA34" s="685"/>
      <c r="AB34" s="685"/>
      <c r="AC34" s="685"/>
      <c r="AD34" s="685"/>
      <c r="AE34" s="685"/>
      <c r="AF34" s="685"/>
      <c r="AG34" s="685"/>
      <c r="AH34" s="685"/>
      <c r="AI34" s="571"/>
      <c r="AJ34" s="572"/>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row>
    <row r="35" spans="2:94">
      <c r="B35" s="609" t="s">
        <v>22</v>
      </c>
      <c r="C35" s="687">
        <v>15.6</v>
      </c>
      <c r="D35" s="688">
        <v>14.7</v>
      </c>
      <c r="E35" s="688">
        <v>13.2</v>
      </c>
      <c r="F35" s="688">
        <v>11.9</v>
      </c>
      <c r="G35" s="619" t="s">
        <v>626</v>
      </c>
      <c r="H35" s="619" t="s">
        <v>626</v>
      </c>
      <c r="I35" s="619" t="s">
        <v>626</v>
      </c>
      <c r="J35" s="619" t="s">
        <v>626</v>
      </c>
      <c r="K35" s="575" t="s">
        <v>628</v>
      </c>
      <c r="L35" s="575"/>
      <c r="M35" s="439"/>
      <c r="N35" s="439"/>
      <c r="O35" s="439"/>
      <c r="Q35" s="8"/>
      <c r="R35" s="8"/>
      <c r="S35" s="8"/>
      <c r="T35" s="8"/>
      <c r="U35" s="8"/>
      <c r="V35" s="8"/>
      <c r="W35" s="8"/>
      <c r="X35" s="8"/>
      <c r="Y35" s="8"/>
      <c r="Z35" s="609" t="s">
        <v>22</v>
      </c>
      <c r="AA35" s="619">
        <v>33</v>
      </c>
      <c r="AB35" s="583">
        <v>31.02</v>
      </c>
      <c r="AC35" s="583">
        <v>27.917999999999999</v>
      </c>
      <c r="AD35" s="583">
        <v>25.126200000000001</v>
      </c>
      <c r="AE35" s="619" t="s">
        <v>626</v>
      </c>
      <c r="AF35" s="619" t="s">
        <v>626</v>
      </c>
      <c r="AG35" s="619" t="s">
        <v>626</v>
      </c>
      <c r="AH35" s="619" t="s">
        <v>626</v>
      </c>
      <c r="AI35" s="575" t="s">
        <v>632</v>
      </c>
      <c r="AJ35" s="575"/>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c r="B36" s="609" t="s">
        <v>24</v>
      </c>
      <c r="C36" s="588">
        <v>64</v>
      </c>
      <c r="D36" s="588">
        <v>61</v>
      </c>
      <c r="E36" s="588">
        <v>55</v>
      </c>
      <c r="F36" s="588">
        <v>55</v>
      </c>
      <c r="G36" s="588" t="s">
        <v>626</v>
      </c>
      <c r="H36" s="588" t="s">
        <v>626</v>
      </c>
      <c r="I36" s="588" t="s">
        <v>626</v>
      </c>
      <c r="J36" s="588" t="s">
        <v>626</v>
      </c>
      <c r="K36" s="575" t="s">
        <v>509</v>
      </c>
      <c r="L36" s="575"/>
      <c r="M36" s="675"/>
      <c r="N36" s="675"/>
      <c r="O36" s="675"/>
      <c r="P36" s="8"/>
      <c r="Q36" s="8"/>
      <c r="R36" s="8"/>
      <c r="S36" s="8"/>
      <c r="T36" s="8"/>
      <c r="U36" s="8"/>
      <c r="V36" s="8"/>
      <c r="W36" s="8"/>
      <c r="X36" s="8"/>
      <c r="Y36" s="8"/>
      <c r="Z36" s="609" t="s">
        <v>24</v>
      </c>
      <c r="AA36" s="588">
        <v>42</v>
      </c>
      <c r="AB36" s="588">
        <v>42</v>
      </c>
      <c r="AC36" s="588">
        <v>42</v>
      </c>
      <c r="AD36" s="588">
        <v>42</v>
      </c>
      <c r="AE36" s="588" t="s">
        <v>626</v>
      </c>
      <c r="AF36" s="588" t="s">
        <v>626</v>
      </c>
      <c r="AG36" s="588" t="s">
        <v>626</v>
      </c>
      <c r="AH36" s="588" t="s">
        <v>626</v>
      </c>
      <c r="AI36" s="575" t="s">
        <v>279</v>
      </c>
      <c r="AJ36" s="575"/>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6" thickBot="1">
      <c r="B37" s="610" t="s">
        <v>26</v>
      </c>
      <c r="C37" s="620">
        <v>36</v>
      </c>
      <c r="D37" s="620">
        <v>39</v>
      </c>
      <c r="E37" s="620">
        <v>45</v>
      </c>
      <c r="F37" s="620">
        <v>45</v>
      </c>
      <c r="G37" s="620" t="s">
        <v>626</v>
      </c>
      <c r="H37" s="620" t="s">
        <v>626</v>
      </c>
      <c r="I37" s="620" t="s">
        <v>626</v>
      </c>
      <c r="J37" s="620" t="s">
        <v>626</v>
      </c>
      <c r="K37" s="621" t="s">
        <v>509</v>
      </c>
      <c r="L37" s="621"/>
      <c r="M37" s="675"/>
      <c r="N37" s="675"/>
      <c r="O37" s="675"/>
      <c r="P37" s="8"/>
      <c r="Q37" s="8"/>
      <c r="R37" s="8"/>
      <c r="S37" s="8"/>
      <c r="T37" s="8"/>
      <c r="U37" s="8"/>
      <c r="V37" s="8"/>
      <c r="W37" s="8"/>
      <c r="X37" s="8"/>
      <c r="Y37" s="8"/>
      <c r="Z37" s="610" t="s">
        <v>26</v>
      </c>
      <c r="AA37" s="620">
        <v>58</v>
      </c>
      <c r="AB37" s="620">
        <v>58</v>
      </c>
      <c r="AC37" s="620">
        <v>58</v>
      </c>
      <c r="AD37" s="620">
        <v>58</v>
      </c>
      <c r="AE37" s="620" t="s">
        <v>626</v>
      </c>
      <c r="AF37" s="620" t="s">
        <v>626</v>
      </c>
      <c r="AG37" s="620" t="s">
        <v>626</v>
      </c>
      <c r="AH37" s="620" t="s">
        <v>626</v>
      </c>
      <c r="AI37" s="621" t="s">
        <v>279</v>
      </c>
      <c r="AJ37" s="621"/>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25" thickBot="1">
      <c r="B38" s="610" t="s">
        <v>28</v>
      </c>
      <c r="C38" s="689">
        <v>6.4</v>
      </c>
      <c r="D38" s="580">
        <v>6.4</v>
      </c>
      <c r="E38" s="580">
        <v>6.4</v>
      </c>
      <c r="F38" s="580">
        <v>6.4</v>
      </c>
      <c r="G38" s="621" t="s">
        <v>626</v>
      </c>
      <c r="H38" s="621" t="s">
        <v>626</v>
      </c>
      <c r="I38" s="621" t="s">
        <v>626</v>
      </c>
      <c r="J38" s="621" t="s">
        <v>626</v>
      </c>
      <c r="K38" s="621" t="s">
        <v>629</v>
      </c>
      <c r="L38" s="621"/>
      <c r="M38" s="675"/>
      <c r="N38" s="675"/>
      <c r="O38" s="675"/>
      <c r="P38" s="8"/>
      <c r="Q38" s="8"/>
      <c r="R38" s="8"/>
      <c r="S38" s="8"/>
      <c r="T38" s="8"/>
      <c r="U38" s="8"/>
      <c r="V38" s="8"/>
      <c r="W38" s="8"/>
      <c r="X38" s="8"/>
      <c r="Y38" s="8"/>
      <c r="Z38" s="610" t="s">
        <v>28</v>
      </c>
      <c r="AA38" s="689">
        <v>24.6</v>
      </c>
      <c r="AB38" s="580">
        <v>24.6</v>
      </c>
      <c r="AC38" s="580">
        <v>24.6</v>
      </c>
      <c r="AD38" s="580">
        <v>24.6</v>
      </c>
      <c r="AE38" s="621" t="s">
        <v>626</v>
      </c>
      <c r="AF38" s="621" t="s">
        <v>626</v>
      </c>
      <c r="AG38" s="621" t="s">
        <v>626</v>
      </c>
      <c r="AH38" s="621" t="s">
        <v>626</v>
      </c>
      <c r="AI38" s="621" t="s">
        <v>633</v>
      </c>
      <c r="AJ38" s="621"/>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6" thickBot="1">
      <c r="B39" s="610" t="s">
        <v>44</v>
      </c>
      <c r="C39" s="620">
        <v>235</v>
      </c>
      <c r="D39" s="620">
        <v>235</v>
      </c>
      <c r="E39" s="620">
        <v>235</v>
      </c>
      <c r="F39" s="620">
        <v>235</v>
      </c>
      <c r="G39" s="621" t="s">
        <v>626</v>
      </c>
      <c r="H39" s="621" t="s">
        <v>626</v>
      </c>
      <c r="I39" s="621" t="s">
        <v>626</v>
      </c>
      <c r="J39" s="621" t="s">
        <v>626</v>
      </c>
      <c r="K39" s="621" t="s">
        <v>15</v>
      </c>
      <c r="L39" s="621"/>
      <c r="M39" s="675"/>
      <c r="N39" s="675"/>
      <c r="O39" s="675"/>
      <c r="P39" s="8"/>
      <c r="Q39" s="8"/>
      <c r="R39" s="8"/>
      <c r="S39" s="8"/>
      <c r="T39" s="8"/>
      <c r="U39" s="8"/>
      <c r="V39" s="8"/>
      <c r="W39" s="8"/>
      <c r="X39" s="8"/>
      <c r="Y39" s="8"/>
      <c r="Z39" s="610" t="s">
        <v>44</v>
      </c>
      <c r="AA39" s="620">
        <v>235</v>
      </c>
      <c r="AB39" s="620">
        <v>235</v>
      </c>
      <c r="AC39" s="620">
        <v>235</v>
      </c>
      <c r="AD39" s="620">
        <v>235</v>
      </c>
      <c r="AE39" s="621" t="s">
        <v>626</v>
      </c>
      <c r="AF39" s="621" t="s">
        <v>626</v>
      </c>
      <c r="AG39" s="621" t="s">
        <v>626</v>
      </c>
      <c r="AH39" s="621" t="s">
        <v>626</v>
      </c>
      <c r="AI39" s="621" t="s">
        <v>15</v>
      </c>
      <c r="AJ39" s="621"/>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6" thickBot="1">
      <c r="B40" s="610" t="s">
        <v>482</v>
      </c>
      <c r="C40" s="620">
        <v>0</v>
      </c>
      <c r="D40" s="621">
        <v>0</v>
      </c>
      <c r="E40" s="621">
        <v>0</v>
      </c>
      <c r="F40" s="621">
        <v>0</v>
      </c>
      <c r="G40" s="621" t="s">
        <v>626</v>
      </c>
      <c r="H40" s="621" t="s">
        <v>626</v>
      </c>
      <c r="I40" s="621" t="s">
        <v>626</v>
      </c>
      <c r="J40" s="621" t="s">
        <v>626</v>
      </c>
      <c r="K40" s="621" t="s">
        <v>19</v>
      </c>
      <c r="L40" s="621"/>
      <c r="M40" s="475"/>
      <c r="N40" s="475"/>
      <c r="O40" s="476"/>
      <c r="Z40" s="610" t="s">
        <v>482</v>
      </c>
      <c r="AA40" s="620">
        <v>0</v>
      </c>
      <c r="AB40" s="621">
        <v>0</v>
      </c>
      <c r="AC40" s="621">
        <v>0</v>
      </c>
      <c r="AD40" s="621">
        <v>0</v>
      </c>
      <c r="AE40" s="621" t="s">
        <v>626</v>
      </c>
      <c r="AF40" s="621" t="s">
        <v>626</v>
      </c>
      <c r="AG40" s="621" t="s">
        <v>626</v>
      </c>
      <c r="AH40" s="621" t="s">
        <v>626</v>
      </c>
      <c r="AI40" s="621" t="s">
        <v>19</v>
      </c>
      <c r="AJ40" s="621"/>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s="8" customFormat="1" ht="16" thickBot="1">
      <c r="M41" s="676"/>
      <c r="N41" s="676"/>
      <c r="O41" s="677"/>
      <c r="P41"/>
      <c r="Q41"/>
      <c r="R41"/>
      <c r="S41"/>
      <c r="T41"/>
      <c r="U41"/>
      <c r="V41"/>
      <c r="W41"/>
      <c r="X41"/>
    </row>
    <row r="42" spans="2:94" ht="16" thickBot="1">
      <c r="B42" s="429" t="s">
        <v>499</v>
      </c>
      <c r="C42" s="430"/>
      <c r="D42" s="430"/>
      <c r="E42" s="430"/>
      <c r="F42" s="430"/>
      <c r="Y42" s="8"/>
      <c r="Z42" s="429" t="s">
        <v>499</v>
      </c>
      <c r="AA42" s="430"/>
      <c r="AB42" s="430"/>
      <c r="AC42" s="430"/>
      <c r="AD42" s="430"/>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6" thickBot="1">
      <c r="B43" s="617" t="s">
        <v>503</v>
      </c>
      <c r="C43" s="540">
        <f>C35/C$16*Euro</f>
        <v>11.622</v>
      </c>
      <c r="D43" s="540">
        <f>D35/D$16*Euro</f>
        <v>10.951499999999999</v>
      </c>
      <c r="E43" s="540">
        <f>E35/E$16*Euro</f>
        <v>9.8339999999999996</v>
      </c>
      <c r="F43" s="540">
        <f>F35/F$16*Euro</f>
        <v>8.865499999999999</v>
      </c>
      <c r="G43" s="430"/>
      <c r="H43" s="430"/>
      <c r="I43" s="430"/>
      <c r="J43" s="430"/>
      <c r="K43" s="430"/>
      <c r="L43" s="432"/>
      <c r="M43" s="439"/>
      <c r="N43" s="439"/>
      <c r="O43" s="439"/>
      <c r="P43" s="439"/>
      <c r="Q43" s="439"/>
      <c r="R43" s="439"/>
      <c r="S43" s="439"/>
      <c r="T43" s="439"/>
      <c r="U43" s="439"/>
      <c r="V43" s="562"/>
      <c r="W43" s="562"/>
      <c r="X43" s="562"/>
      <c r="Y43" s="562"/>
      <c r="Z43" s="617" t="s">
        <v>503</v>
      </c>
      <c r="AA43" s="540">
        <f>AA35/AA$16*Euro</f>
        <v>5.5875000000000004</v>
      </c>
      <c r="AB43" s="540">
        <f>AB35/AB$16*Euro</f>
        <v>2.8887375</v>
      </c>
      <c r="AC43" s="540">
        <f>AC35/AC$16*Euro</f>
        <v>2.5998637499999999</v>
      </c>
      <c r="AD43" s="540">
        <f>AD35/AD$16*Euro</f>
        <v>2.3398773749999999</v>
      </c>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25" thickBot="1">
      <c r="B44" s="617" t="s">
        <v>504</v>
      </c>
      <c r="C44" s="540">
        <f>C38/C$16*Euro</f>
        <v>4.7679999999999998</v>
      </c>
      <c r="D44" s="540">
        <f>D38/D$16*Euro</f>
        <v>4.7679999999999998</v>
      </c>
      <c r="E44" s="540">
        <f>E38/E$16*Euro</f>
        <v>4.7679999999999998</v>
      </c>
      <c r="F44" s="540">
        <f>F38/F$16*Euro</f>
        <v>4.7679999999999998</v>
      </c>
      <c r="G44" s="540"/>
      <c r="H44" s="540"/>
      <c r="I44" s="540"/>
      <c r="J44" s="540"/>
      <c r="K44" s="540"/>
      <c r="L44" s="540"/>
      <c r="M44" s="439"/>
      <c r="N44" s="439"/>
      <c r="O44" s="439"/>
      <c r="P44" s="439"/>
      <c r="Q44" s="439"/>
      <c r="R44" s="439"/>
      <c r="S44" s="439"/>
      <c r="T44" s="439"/>
      <c r="U44" s="439"/>
      <c r="V44" s="562"/>
      <c r="W44" s="562"/>
      <c r="X44" s="562"/>
      <c r="Y44" s="562"/>
      <c r="Z44" s="617" t="s">
        <v>504</v>
      </c>
      <c r="AA44" s="540">
        <f>AA38/AA$16*Euro</f>
        <v>4.1652272727272726</v>
      </c>
      <c r="AB44" s="540">
        <f>AB38/AB$16*Euro</f>
        <v>2.2908750000000002</v>
      </c>
      <c r="AC44" s="540">
        <f>AC38/AC$16*Euro</f>
        <v>2.2908750000000002</v>
      </c>
      <c r="AD44" s="540">
        <f>AD38/AD$16*Euro</f>
        <v>2.2908750000000002</v>
      </c>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6" thickBot="1">
      <c r="B45" s="617"/>
      <c r="C45" s="616"/>
      <c r="D45" s="616"/>
      <c r="E45" s="616"/>
      <c r="F45" s="616"/>
      <c r="G45" s="540"/>
      <c r="H45" s="540"/>
      <c r="I45" s="540"/>
      <c r="J45" s="540"/>
      <c r="K45" s="540"/>
      <c r="L45" s="540"/>
      <c r="M45" s="439"/>
      <c r="N45" s="439"/>
      <c r="O45" s="439"/>
      <c r="P45" s="439"/>
      <c r="Q45" s="439"/>
      <c r="R45" s="439"/>
      <c r="S45" s="439"/>
      <c r="T45" s="439"/>
      <c r="U45" s="439"/>
      <c r="V45" s="562"/>
      <c r="W45" s="562"/>
      <c r="X45" s="562"/>
      <c r="Y45" s="562"/>
      <c r="Z45" s="617"/>
      <c r="AA45" s="616"/>
      <c r="AB45" s="616"/>
      <c r="AC45" s="616"/>
      <c r="AD45" s="616"/>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6" thickBot="1">
      <c r="B46" s="615" t="s">
        <v>502</v>
      </c>
      <c r="C46" s="540">
        <f>C39/C16/1000*Euro</f>
        <v>0.17507500000000001</v>
      </c>
      <c r="D46" s="540">
        <f>D39/D16/1000*Euro</f>
        <v>0.17507500000000001</v>
      </c>
      <c r="E46" s="540">
        <f>E39/E16/1000*Euro</f>
        <v>0.17507500000000001</v>
      </c>
      <c r="F46" s="540">
        <f>F39/F16/1000*Euro</f>
        <v>0.17507500000000001</v>
      </c>
      <c r="G46" s="616"/>
      <c r="H46" s="616"/>
      <c r="I46" s="616"/>
      <c r="J46" s="616"/>
      <c r="K46" s="616"/>
      <c r="L46" s="616"/>
      <c r="M46" s="439"/>
      <c r="N46" s="439"/>
      <c r="O46" s="439"/>
      <c r="P46" s="439"/>
      <c r="Q46" s="439"/>
      <c r="R46" s="439"/>
      <c r="S46" s="439"/>
      <c r="T46" s="439"/>
      <c r="U46" s="439"/>
      <c r="V46" s="562"/>
      <c r="W46" s="562"/>
      <c r="X46" s="562"/>
      <c r="Y46" s="562"/>
      <c r="Z46" s="615" t="s">
        <v>502</v>
      </c>
      <c r="AA46" s="540">
        <f>AA39/AA16/1000*Euro</f>
        <v>3.9789772727272729E-2</v>
      </c>
      <c r="AB46" s="540">
        <f>AB39/AB16/1000*Euro</f>
        <v>2.1884375000000001E-2</v>
      </c>
      <c r="AC46" s="540">
        <f>AC39/AC16/1000*Euro</f>
        <v>2.1884375000000001E-2</v>
      </c>
      <c r="AD46" s="540">
        <f>AD39/AD16/1000*Euro</f>
        <v>2.1884375000000001E-2</v>
      </c>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6" thickBot="1">
      <c r="B47" s="526" t="s">
        <v>505</v>
      </c>
      <c r="C47" s="592">
        <f>C40/3.6*Euro</f>
        <v>0</v>
      </c>
      <c r="D47" s="775">
        <f>D40/3.6*Euro</f>
        <v>0</v>
      </c>
      <c r="E47" s="775">
        <f>E40/3.6*Euro</f>
        <v>0</v>
      </c>
      <c r="F47" s="775">
        <f>F40/3.6*Euro</f>
        <v>0</v>
      </c>
      <c r="G47" s="540"/>
      <c r="H47" s="540"/>
      <c r="I47" s="540"/>
      <c r="J47" s="540"/>
      <c r="K47" s="540"/>
      <c r="L47" s="540"/>
      <c r="M47" s="439"/>
      <c r="N47" s="439"/>
      <c r="O47" s="439"/>
      <c r="P47" s="439"/>
      <c r="Q47" s="439"/>
      <c r="R47" s="439"/>
      <c r="S47" s="439"/>
      <c r="T47" s="439"/>
      <c r="U47" s="439"/>
      <c r="V47" s="562"/>
      <c r="W47" s="562"/>
      <c r="X47" s="562"/>
      <c r="Y47" s="562"/>
      <c r="Z47" s="526" t="s">
        <v>505</v>
      </c>
      <c r="AA47" s="775">
        <f>AA40/3.6*Euro</f>
        <v>0</v>
      </c>
      <c r="AB47" s="775">
        <f>AB40/3.6*Euro</f>
        <v>0</v>
      </c>
      <c r="AC47" s="775">
        <f>AC40/3.6*Euro</f>
        <v>0</v>
      </c>
      <c r="AD47" s="775">
        <f>AD40/3.6*Euro</f>
        <v>0</v>
      </c>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6" thickBot="1">
      <c r="B48" s="526"/>
      <c r="C48" s="592"/>
      <c r="D48" s="592"/>
      <c r="E48" s="592"/>
      <c r="F48" s="592"/>
      <c r="G48" s="592"/>
      <c r="H48" s="592"/>
      <c r="I48" s="592"/>
      <c r="J48" s="592"/>
      <c r="K48" s="592"/>
      <c r="L48" s="592"/>
      <c r="M48" s="439"/>
      <c r="N48" s="439"/>
      <c r="O48" s="439"/>
      <c r="P48" s="439"/>
      <c r="Q48" s="439"/>
      <c r="R48" s="439"/>
      <c r="S48" s="439"/>
      <c r="T48" s="439"/>
      <c r="U48" s="439"/>
      <c r="V48" s="562"/>
      <c r="W48" s="562"/>
      <c r="X48" s="562"/>
      <c r="Y48" s="562"/>
      <c r="Z48" s="526"/>
      <c r="AA48" s="592"/>
      <c r="AB48" s="592"/>
      <c r="AC48" s="592"/>
      <c r="AD48" s="592"/>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3:94">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3:94">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3:94">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3:94">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3:94">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3:9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3:9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3:9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3:9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3:9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3:9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3:9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3:9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3:9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3:9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3:9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sheetData>
  <mergeCells count="14">
    <mergeCell ref="AA13:AJ13"/>
    <mergeCell ref="AA14:AA15"/>
    <mergeCell ref="AB14:AB15"/>
    <mergeCell ref="AC14:AC15"/>
    <mergeCell ref="AD14:AD15"/>
    <mergeCell ref="AE14:AF14"/>
    <mergeCell ref="AG14:AH14"/>
    <mergeCell ref="C13:L13"/>
    <mergeCell ref="C14:C15"/>
    <mergeCell ref="D14:D15"/>
    <mergeCell ref="E14:E15"/>
    <mergeCell ref="F14:F15"/>
    <mergeCell ref="G14:H14"/>
    <mergeCell ref="I14:J14"/>
  </mergeCells>
  <pageMargins left="0.7" right="0.7" top="0.75" bottom="0.75" header="0.3" footer="0.3"/>
  <pageSetup paperSize="9" orientation="portrait"/>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sheetPr>
  <dimension ref="B1:CZ142"/>
  <sheetViews>
    <sheetView zoomScaleNormal="100" workbookViewId="0">
      <selection activeCell="F43" sqref="F43"/>
    </sheetView>
  </sheetViews>
  <sheetFormatPr baseColWidth="10" defaultColWidth="8.83203125" defaultRowHeight="15"/>
  <cols>
    <col min="2" max="2" width="51.5" customWidth="1"/>
    <col min="3" max="4" width="10.5" style="52" bestFit="1" customWidth="1"/>
    <col min="5" max="5" width="9.1640625" style="52"/>
    <col min="6" max="6" width="10.5" style="52" bestFit="1" customWidth="1"/>
    <col min="7" max="7" width="10.6640625" style="52" customWidth="1"/>
    <col min="8" max="8" width="11.83203125" style="52" customWidth="1"/>
    <col min="11" max="12" width="8.6640625" customWidth="1"/>
    <col min="13" max="13" width="9.5" bestFit="1" customWidth="1"/>
  </cols>
  <sheetData>
    <row r="1" spans="2:17" s="111" customFormat="1" ht="17" thickBot="1">
      <c r="B1" s="695" t="s">
        <v>281</v>
      </c>
      <c r="C1" s="52"/>
      <c r="D1" s="52"/>
      <c r="E1" s="52"/>
      <c r="F1" s="52"/>
      <c r="G1" s="52"/>
      <c r="H1" s="52"/>
    </row>
    <row r="2" spans="2:17" s="111" customFormat="1">
      <c r="B2" s="1260"/>
      <c r="C2" s="1261"/>
      <c r="D2" s="1261"/>
      <c r="E2" s="1261"/>
      <c r="F2" s="1261"/>
      <c r="G2" s="1262"/>
      <c r="H2" s="52"/>
    </row>
    <row r="3" spans="2:17" s="111" customFormat="1" ht="16" thickBot="1">
      <c r="I3"/>
      <c r="J3" s="821" t="s">
        <v>783</v>
      </c>
      <c r="K3"/>
      <c r="L3"/>
      <c r="M3"/>
      <c r="N3"/>
      <c r="O3"/>
      <c r="P3"/>
    </row>
    <row r="4" spans="2:17" ht="31" thickTop="1">
      <c r="B4" s="146" t="s">
        <v>273</v>
      </c>
      <c r="C4"/>
      <c r="D4"/>
      <c r="E4"/>
      <c r="F4"/>
      <c r="G4"/>
      <c r="H4"/>
      <c r="J4" s="821">
        <v>0.2</v>
      </c>
      <c r="K4" s="136" t="s">
        <v>264</v>
      </c>
      <c r="L4" s="136" t="s">
        <v>265</v>
      </c>
      <c r="M4" s="136" t="s">
        <v>266</v>
      </c>
      <c r="N4" s="136" t="s">
        <v>267</v>
      </c>
      <c r="O4" s="136" t="s">
        <v>268</v>
      </c>
      <c r="P4" s="137" t="s">
        <v>269</v>
      </c>
    </row>
    <row r="5" spans="2:17">
      <c r="B5" s="27" t="s">
        <v>255</v>
      </c>
      <c r="C5" s="27" t="s">
        <v>256</v>
      </c>
      <c r="D5" s="28" t="s">
        <v>257</v>
      </c>
      <c r="E5" s="28" t="s">
        <v>259</v>
      </c>
      <c r="F5" s="29" t="s">
        <v>260</v>
      </c>
      <c r="G5" s="30" t="s">
        <v>261</v>
      </c>
      <c r="H5" s="30" t="s">
        <v>262</v>
      </c>
      <c r="J5" s="30" t="s">
        <v>264</v>
      </c>
      <c r="K5" s="724"/>
      <c r="L5" s="724"/>
      <c r="M5" s="724"/>
      <c r="N5" s="724"/>
      <c r="O5" s="724"/>
      <c r="P5" s="725"/>
    </row>
    <row r="6" spans="2:17" ht="16" thickBot="1">
      <c r="B6" s="31"/>
      <c r="C6" s="31"/>
      <c r="D6" s="32"/>
      <c r="E6" s="32"/>
      <c r="F6" s="33"/>
      <c r="G6" s="31"/>
      <c r="H6" s="31"/>
      <c r="J6" s="31"/>
      <c r="K6" s="149"/>
      <c r="L6" s="149"/>
      <c r="M6" s="149"/>
      <c r="N6" s="149"/>
      <c r="O6" s="149"/>
      <c r="P6" s="149"/>
      <c r="Q6" s="113"/>
    </row>
    <row r="7" spans="2:17" s="562" customFormat="1">
      <c r="B7" s="37"/>
      <c r="C7" s="37"/>
      <c r="D7" s="38"/>
      <c r="E7" s="38" t="s">
        <v>637</v>
      </c>
      <c r="F7" s="38" t="s">
        <v>353</v>
      </c>
      <c r="G7" s="38" t="s">
        <v>354</v>
      </c>
      <c r="H7" s="38" t="s">
        <v>355</v>
      </c>
      <c r="J7" s="37" t="s">
        <v>271</v>
      </c>
      <c r="K7" s="151"/>
      <c r="L7" s="151"/>
      <c r="M7" s="151"/>
      <c r="N7" s="151"/>
      <c r="O7" s="151"/>
      <c r="P7" s="151"/>
      <c r="Q7" s="113"/>
    </row>
    <row r="8" spans="2:17" s="562" customFormat="1">
      <c r="B8" s="39">
        <f>C14</f>
        <v>2015</v>
      </c>
      <c r="C8" s="39">
        <f>B8</f>
        <v>2015</v>
      </c>
      <c r="D8" s="39">
        <f>C21/100</f>
        <v>1.35</v>
      </c>
      <c r="E8" s="39">
        <f>C23</f>
        <v>20</v>
      </c>
      <c r="F8" s="226">
        <f>C43</f>
        <v>10.43</v>
      </c>
      <c r="G8" s="226">
        <f>C46</f>
        <v>0.17507500000000001</v>
      </c>
      <c r="H8" s="226">
        <f>C47</f>
        <v>0</v>
      </c>
      <c r="J8" s="39">
        <f>$J$4*E18/100</f>
        <v>0.2</v>
      </c>
      <c r="K8" s="151"/>
      <c r="L8" s="151"/>
      <c r="M8" s="151"/>
      <c r="N8" s="151"/>
      <c r="O8" s="151"/>
      <c r="P8" s="151"/>
      <c r="Q8" s="113"/>
    </row>
    <row r="9" spans="2:17" s="562" customFormat="1">
      <c r="B9" s="39">
        <f>D14</f>
        <v>2020</v>
      </c>
      <c r="C9" s="39"/>
      <c r="D9" s="39">
        <f>D21/100</f>
        <v>1.35</v>
      </c>
      <c r="E9" s="39">
        <f>D23</f>
        <v>20</v>
      </c>
      <c r="F9" s="226">
        <f>D43</f>
        <v>9.8041999999999998</v>
      </c>
      <c r="G9" s="226">
        <f>D46</f>
        <v>0.17507500000000001</v>
      </c>
      <c r="H9" s="226">
        <f>D47</f>
        <v>0</v>
      </c>
      <c r="J9" s="39">
        <f>$J$4*D18/100</f>
        <v>0.2</v>
      </c>
      <c r="K9" s="151"/>
      <c r="L9" s="151"/>
      <c r="M9" s="151"/>
      <c r="N9" s="151"/>
      <c r="O9" s="151"/>
      <c r="P9" s="151"/>
      <c r="Q9" s="113"/>
    </row>
    <row r="10" spans="2:17" s="562" customFormat="1">
      <c r="B10" s="39">
        <f>E14</f>
        <v>2030</v>
      </c>
      <c r="C10" s="39"/>
      <c r="D10" s="39">
        <f>E21/100</f>
        <v>1.35</v>
      </c>
      <c r="E10" s="39">
        <f>E23</f>
        <v>20</v>
      </c>
      <c r="F10" s="226">
        <f>E43</f>
        <v>8.8237800000000011</v>
      </c>
      <c r="G10" s="226">
        <f>E46</f>
        <v>0.17507500000000001</v>
      </c>
      <c r="H10" s="226">
        <f>E47</f>
        <v>0</v>
      </c>
      <c r="J10" s="39">
        <f>$J$4*E18/100</f>
        <v>0.2</v>
      </c>
      <c r="K10" s="151"/>
      <c r="L10" s="151"/>
      <c r="M10" s="151"/>
      <c r="N10" s="151"/>
      <c r="O10" s="151"/>
      <c r="P10" s="151"/>
      <c r="Q10" s="113"/>
    </row>
    <row r="11" spans="2:17" s="562" customFormat="1">
      <c r="B11" s="39">
        <f>F14</f>
        <v>2050</v>
      </c>
      <c r="C11" s="39"/>
      <c r="D11" s="39">
        <f>F21/100</f>
        <v>1.35</v>
      </c>
      <c r="E11" s="39">
        <f>F23</f>
        <v>20</v>
      </c>
      <c r="F11" s="226">
        <f>F43</f>
        <v>7.9414020000000001</v>
      </c>
      <c r="G11" s="226">
        <f>F46</f>
        <v>0.17507500000000001</v>
      </c>
      <c r="H11" s="226">
        <f>F47</f>
        <v>0</v>
      </c>
      <c r="J11" s="39">
        <f>$J$4*F18/100</f>
        <v>0.2</v>
      </c>
      <c r="K11" s="113"/>
      <c r="L11" s="113"/>
      <c r="M11" s="113"/>
      <c r="N11" s="113"/>
      <c r="O11" s="113"/>
      <c r="P11" s="113"/>
      <c r="Q11" s="113"/>
    </row>
    <row r="12" spans="2:17" s="562" customFormat="1" ht="16" thickBot="1"/>
    <row r="13" spans="2:17" s="562" customFormat="1" ht="15.75" customHeight="1" thickBot="1">
      <c r="B13" s="698" t="s">
        <v>0</v>
      </c>
      <c r="C13" s="674" t="s">
        <v>634</v>
      </c>
      <c r="D13" s="721"/>
      <c r="E13" s="721"/>
      <c r="F13" s="721"/>
      <c r="G13" s="721"/>
      <c r="H13" s="721"/>
      <c r="I13" s="721"/>
      <c r="J13" s="721"/>
      <c r="K13" s="721"/>
      <c r="L13" s="719"/>
    </row>
    <row r="14" spans="2:17" ht="15" customHeight="1">
      <c r="B14" s="708"/>
      <c r="C14" s="710">
        <v>2015</v>
      </c>
      <c r="D14" s="710">
        <v>2020</v>
      </c>
      <c r="E14" s="710">
        <v>2030</v>
      </c>
      <c r="F14" s="710">
        <v>2050</v>
      </c>
      <c r="G14" s="723" t="s">
        <v>467</v>
      </c>
      <c r="H14" s="722"/>
      <c r="I14" s="723" t="s">
        <v>468</v>
      </c>
      <c r="J14" s="723"/>
      <c r="K14" s="710" t="s">
        <v>2</v>
      </c>
      <c r="L14" s="710" t="s">
        <v>3</v>
      </c>
    </row>
    <row r="15" spans="2:17" ht="15" customHeight="1" thickBot="1">
      <c r="B15" s="699" t="s">
        <v>4</v>
      </c>
      <c r="C15" s="703"/>
      <c r="D15" s="703"/>
      <c r="E15" s="703"/>
      <c r="F15" s="703"/>
      <c r="G15" s="718" t="s">
        <v>469</v>
      </c>
      <c r="H15" s="718" t="s">
        <v>470</v>
      </c>
      <c r="I15" s="718" t="s">
        <v>469</v>
      </c>
      <c r="J15" s="718" t="s">
        <v>470</v>
      </c>
      <c r="K15" s="703"/>
      <c r="L15" s="704"/>
    </row>
    <row r="16" spans="2:17" ht="15.75" customHeight="1" thickBot="1">
      <c r="B16" s="700" t="s">
        <v>5</v>
      </c>
      <c r="C16" s="707">
        <v>10</v>
      </c>
      <c r="D16" s="707">
        <v>10</v>
      </c>
      <c r="E16" s="707">
        <v>10</v>
      </c>
      <c r="F16" s="707">
        <v>10</v>
      </c>
      <c r="G16" s="697">
        <v>1.5</v>
      </c>
      <c r="H16" s="697">
        <v>15</v>
      </c>
      <c r="I16" s="697">
        <v>1.5</v>
      </c>
      <c r="J16" s="697">
        <v>15</v>
      </c>
      <c r="K16" s="697" t="s">
        <v>635</v>
      </c>
      <c r="L16" s="697"/>
    </row>
    <row r="17" spans="2:104" s="8" customFormat="1" ht="15.75" customHeight="1" thickBot="1">
      <c r="B17" s="700" t="s">
        <v>77</v>
      </c>
      <c r="C17" s="697" t="s">
        <v>626</v>
      </c>
      <c r="D17" s="697" t="s">
        <v>626</v>
      </c>
      <c r="E17" s="697" t="s">
        <v>626</v>
      </c>
      <c r="F17" s="697" t="s">
        <v>626</v>
      </c>
      <c r="G17" s="697" t="s">
        <v>626</v>
      </c>
      <c r="H17" s="697" t="s">
        <v>626</v>
      </c>
      <c r="I17" s="697" t="s">
        <v>626</v>
      </c>
      <c r="J17" s="697" t="s">
        <v>626</v>
      </c>
      <c r="K17" s="697"/>
      <c r="L17" s="697"/>
      <c r="P17"/>
      <c r="Q17"/>
      <c r="R17"/>
      <c r="S17"/>
      <c r="T17"/>
      <c r="U17"/>
      <c r="V17"/>
      <c r="W17"/>
      <c r="X17"/>
    </row>
    <row r="18" spans="2:104" ht="16" thickBot="1">
      <c r="B18" s="700" t="s">
        <v>7</v>
      </c>
      <c r="C18" s="697">
        <v>100</v>
      </c>
      <c r="D18" s="697">
        <v>100</v>
      </c>
      <c r="E18" s="697">
        <v>100</v>
      </c>
      <c r="F18" s="697">
        <v>100</v>
      </c>
      <c r="G18" s="697" t="s">
        <v>626</v>
      </c>
      <c r="H18" s="697" t="s">
        <v>626</v>
      </c>
      <c r="I18" s="697" t="s">
        <v>626</v>
      </c>
      <c r="J18" s="697" t="s">
        <v>626</v>
      </c>
      <c r="K18" s="697"/>
      <c r="L18" s="697"/>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c r="B19" s="700" t="s">
        <v>8</v>
      </c>
      <c r="C19" s="697">
        <v>100</v>
      </c>
      <c r="D19" s="697">
        <v>100</v>
      </c>
      <c r="E19" s="697">
        <v>100</v>
      </c>
      <c r="F19" s="697">
        <v>100</v>
      </c>
      <c r="G19" s="697" t="s">
        <v>626</v>
      </c>
      <c r="H19" s="697" t="s">
        <v>626</v>
      </c>
      <c r="I19" s="697" t="s">
        <v>626</v>
      </c>
      <c r="J19" s="697" t="s">
        <v>626</v>
      </c>
      <c r="K19" s="697"/>
      <c r="L19" s="697"/>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c r="B20" s="700" t="s">
        <v>86</v>
      </c>
      <c r="C20" s="697" t="s">
        <v>626</v>
      </c>
      <c r="D20" s="697" t="s">
        <v>626</v>
      </c>
      <c r="E20" s="697" t="s">
        <v>626</v>
      </c>
      <c r="F20" s="697" t="s">
        <v>626</v>
      </c>
      <c r="G20" s="697" t="s">
        <v>626</v>
      </c>
      <c r="H20" s="697" t="s">
        <v>626</v>
      </c>
      <c r="I20" s="697" t="s">
        <v>626</v>
      </c>
      <c r="J20" s="697" t="s">
        <v>626</v>
      </c>
      <c r="K20" s="697"/>
      <c r="L20" s="697"/>
      <c r="Y20" s="8"/>
      <c r="Z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c r="B21" s="700" t="s">
        <v>9</v>
      </c>
      <c r="C21" s="697">
        <v>135</v>
      </c>
      <c r="D21" s="697">
        <v>135</v>
      </c>
      <c r="E21" s="697">
        <v>135</v>
      </c>
      <c r="F21" s="697">
        <v>135</v>
      </c>
      <c r="G21" s="697" t="s">
        <v>626</v>
      </c>
      <c r="H21" s="697" t="s">
        <v>626</v>
      </c>
      <c r="I21" s="697" t="s">
        <v>626</v>
      </c>
      <c r="J21" s="697" t="s">
        <v>626</v>
      </c>
      <c r="K21" s="697" t="s">
        <v>42</v>
      </c>
      <c r="L21" s="697">
        <v>5.17</v>
      </c>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c r="B22" s="700" t="s">
        <v>472</v>
      </c>
      <c r="C22" s="697" t="s">
        <v>626</v>
      </c>
      <c r="D22" s="697" t="s">
        <v>626</v>
      </c>
      <c r="E22" s="697" t="s">
        <v>626</v>
      </c>
      <c r="F22" s="697" t="s">
        <v>626</v>
      </c>
      <c r="G22" s="697" t="s">
        <v>626</v>
      </c>
      <c r="H22" s="697" t="s">
        <v>626</v>
      </c>
      <c r="I22" s="697" t="s">
        <v>626</v>
      </c>
      <c r="J22" s="697" t="s">
        <v>626</v>
      </c>
      <c r="K22" s="697"/>
      <c r="L22" s="697"/>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c r="B23" s="700" t="s">
        <v>10</v>
      </c>
      <c r="C23" s="707">
        <v>20</v>
      </c>
      <c r="D23" s="697">
        <v>20</v>
      </c>
      <c r="E23" s="697">
        <v>20</v>
      </c>
      <c r="F23" s="697">
        <v>20</v>
      </c>
      <c r="G23" s="697" t="s">
        <v>626</v>
      </c>
      <c r="H23" s="697" t="s">
        <v>626</v>
      </c>
      <c r="I23" s="697" t="s">
        <v>626</v>
      </c>
      <c r="J23" s="697" t="s">
        <v>626</v>
      </c>
      <c r="K23" s="697" t="s">
        <v>31</v>
      </c>
      <c r="L23" s="697"/>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c r="B24" s="699" t="s">
        <v>488</v>
      </c>
      <c r="C24" s="701"/>
      <c r="D24" s="701"/>
      <c r="E24" s="701"/>
      <c r="F24" s="701"/>
      <c r="G24" s="701"/>
      <c r="H24" s="701"/>
      <c r="I24" s="701"/>
      <c r="J24" s="701"/>
      <c r="K24" s="701"/>
      <c r="L24" s="697"/>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c r="B25" s="700" t="s">
        <v>578</v>
      </c>
      <c r="C25" s="697" t="s">
        <v>626</v>
      </c>
      <c r="D25" s="697" t="s">
        <v>626</v>
      </c>
      <c r="E25" s="697" t="s">
        <v>626</v>
      </c>
      <c r="F25" s="697" t="s">
        <v>626</v>
      </c>
      <c r="G25" s="697" t="s">
        <v>626</v>
      </c>
      <c r="H25" s="697" t="s">
        <v>626</v>
      </c>
      <c r="I25" s="697" t="s">
        <v>626</v>
      </c>
      <c r="J25" s="697" t="s">
        <v>626</v>
      </c>
      <c r="K25" s="702"/>
      <c r="L25" s="697"/>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c r="B26" s="700" t="s">
        <v>492</v>
      </c>
      <c r="C26" s="697" t="s">
        <v>626</v>
      </c>
      <c r="D26" s="697" t="s">
        <v>626</v>
      </c>
      <c r="E26" s="697" t="s">
        <v>626</v>
      </c>
      <c r="F26" s="697" t="s">
        <v>626</v>
      </c>
      <c r="G26" s="697" t="s">
        <v>626</v>
      </c>
      <c r="H26" s="697" t="s">
        <v>626</v>
      </c>
      <c r="I26" s="697" t="s">
        <v>626</v>
      </c>
      <c r="J26" s="697" t="s">
        <v>626</v>
      </c>
      <c r="K26" s="702"/>
      <c r="L26" s="697"/>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c r="B27" s="700" t="s">
        <v>493</v>
      </c>
      <c r="C27" s="697" t="s">
        <v>626</v>
      </c>
      <c r="D27" s="697" t="s">
        <v>626</v>
      </c>
      <c r="E27" s="697" t="s">
        <v>626</v>
      </c>
      <c r="F27" s="697" t="s">
        <v>626</v>
      </c>
      <c r="G27" s="697" t="s">
        <v>626</v>
      </c>
      <c r="H27" s="697" t="s">
        <v>626</v>
      </c>
      <c r="I27" s="697" t="s">
        <v>626</v>
      </c>
      <c r="J27" s="697" t="s">
        <v>626</v>
      </c>
      <c r="K27" s="702"/>
      <c r="L27" s="697"/>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c r="B28" s="699" t="s">
        <v>11</v>
      </c>
      <c r="C28" s="703"/>
      <c r="D28" s="703"/>
      <c r="E28" s="703"/>
      <c r="F28" s="703"/>
      <c r="G28" s="703"/>
      <c r="H28" s="703"/>
      <c r="I28" s="703"/>
      <c r="J28" s="703"/>
      <c r="K28" s="703"/>
      <c r="L28" s="704"/>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ht="15.75" customHeight="1" thickBot="1">
      <c r="B29" s="700" t="s">
        <v>474</v>
      </c>
      <c r="C29" s="697">
        <v>0</v>
      </c>
      <c r="D29" s="697">
        <v>0</v>
      </c>
      <c r="E29" s="697">
        <v>0</v>
      </c>
      <c r="F29" s="697">
        <v>0</v>
      </c>
      <c r="G29" s="697" t="s">
        <v>626</v>
      </c>
      <c r="H29" s="697" t="s">
        <v>626</v>
      </c>
      <c r="I29" s="697" t="s">
        <v>626</v>
      </c>
      <c r="J29" s="697" t="s">
        <v>626</v>
      </c>
      <c r="K29" s="697" t="s">
        <v>52</v>
      </c>
      <c r="L29" s="697"/>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ht="15.75" customHeight="1" thickBot="1">
      <c r="B30" s="700" t="s">
        <v>475</v>
      </c>
      <c r="C30" s="702">
        <v>20</v>
      </c>
      <c r="D30" s="702">
        <v>10</v>
      </c>
      <c r="E30" s="702">
        <v>5</v>
      </c>
      <c r="F30" s="702">
        <v>5</v>
      </c>
      <c r="G30" s="697" t="s">
        <v>626</v>
      </c>
      <c r="H30" s="697" t="s">
        <v>626</v>
      </c>
      <c r="I30" s="697" t="s">
        <v>626</v>
      </c>
      <c r="J30" s="697" t="s">
        <v>626</v>
      </c>
      <c r="K30" s="697" t="s">
        <v>52</v>
      </c>
      <c r="L30" s="697"/>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ht="15.75" customHeight="1" thickBot="1">
      <c r="B31" s="700" t="s">
        <v>476</v>
      </c>
      <c r="C31" s="702">
        <v>2</v>
      </c>
      <c r="D31" s="702">
        <v>1</v>
      </c>
      <c r="E31" s="714">
        <v>0.5</v>
      </c>
      <c r="F31" s="714">
        <v>0.5</v>
      </c>
      <c r="G31" s="697" t="s">
        <v>626</v>
      </c>
      <c r="H31" s="697" t="s">
        <v>626</v>
      </c>
      <c r="I31" s="697" t="s">
        <v>626</v>
      </c>
      <c r="J31" s="697" t="s">
        <v>626</v>
      </c>
      <c r="K31" s="697" t="s">
        <v>52</v>
      </c>
      <c r="L31" s="697"/>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5.75" customHeight="1" thickBot="1">
      <c r="B32" s="700" t="s">
        <v>477</v>
      </c>
      <c r="C32" s="697">
        <v>0</v>
      </c>
      <c r="D32" s="697">
        <v>0</v>
      </c>
      <c r="E32" s="697">
        <v>0</v>
      </c>
      <c r="F32" s="697">
        <v>0</v>
      </c>
      <c r="G32" s="697" t="s">
        <v>626</v>
      </c>
      <c r="H32" s="697" t="s">
        <v>626</v>
      </c>
      <c r="I32" s="697" t="s">
        <v>626</v>
      </c>
      <c r="J32" s="697" t="s">
        <v>626</v>
      </c>
      <c r="K32" s="697" t="s">
        <v>52</v>
      </c>
      <c r="L32" s="697"/>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2:104" ht="15.75" customHeight="1" thickBot="1">
      <c r="B33" s="700" t="s">
        <v>18</v>
      </c>
      <c r="C33" s="697">
        <v>0</v>
      </c>
      <c r="D33" s="697">
        <v>0</v>
      </c>
      <c r="E33" s="697">
        <v>0</v>
      </c>
      <c r="F33" s="697">
        <v>0</v>
      </c>
      <c r="G33" s="697" t="s">
        <v>626</v>
      </c>
      <c r="H33" s="697" t="s">
        <v>626</v>
      </c>
      <c r="I33" s="697" t="s">
        <v>626</v>
      </c>
      <c r="J33" s="697" t="s">
        <v>626</v>
      </c>
      <c r="K33" s="697" t="s">
        <v>52</v>
      </c>
      <c r="L33" s="697"/>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2:104" ht="15.75" customHeight="1" thickBot="1">
      <c r="B34" s="699" t="s">
        <v>20</v>
      </c>
      <c r="C34" s="706"/>
      <c r="D34" s="706"/>
      <c r="E34" s="706"/>
      <c r="F34" s="706"/>
      <c r="G34" s="706"/>
      <c r="H34" s="706"/>
      <c r="I34" s="706"/>
      <c r="J34" s="706"/>
      <c r="K34" s="703"/>
      <c r="L34" s="704"/>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2:104" ht="15.75" customHeight="1">
      <c r="B35" s="715" t="s">
        <v>22</v>
      </c>
      <c r="C35" s="710">
        <v>14</v>
      </c>
      <c r="D35" s="709">
        <v>13.16</v>
      </c>
      <c r="E35" s="709">
        <v>11.844000000000001</v>
      </c>
      <c r="F35" s="709">
        <v>10.659600000000001</v>
      </c>
      <c r="G35" s="710" t="s">
        <v>626</v>
      </c>
      <c r="H35" s="710" t="s">
        <v>626</v>
      </c>
      <c r="I35" s="710" t="s">
        <v>626</v>
      </c>
      <c r="J35" s="710" t="s">
        <v>626</v>
      </c>
      <c r="K35" s="705" t="s">
        <v>636</v>
      </c>
      <c r="L35" s="705"/>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2:104" ht="15.75" customHeight="1">
      <c r="B36" s="715" t="s">
        <v>24</v>
      </c>
      <c r="C36" s="711">
        <v>71</v>
      </c>
      <c r="D36" s="711">
        <v>71</v>
      </c>
      <c r="E36" s="711">
        <v>71</v>
      </c>
      <c r="F36" s="711">
        <v>71</v>
      </c>
      <c r="G36" s="711" t="s">
        <v>626</v>
      </c>
      <c r="H36" s="711" t="s">
        <v>626</v>
      </c>
      <c r="I36" s="711" t="s">
        <v>626</v>
      </c>
      <c r="J36" s="711" t="s">
        <v>626</v>
      </c>
      <c r="K36" s="705"/>
      <c r="L36" s="705"/>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2:104" ht="15.75" customHeight="1" thickBot="1">
      <c r="B37" s="716" t="s">
        <v>26</v>
      </c>
      <c r="C37" s="713">
        <v>29</v>
      </c>
      <c r="D37" s="713">
        <v>29</v>
      </c>
      <c r="E37" s="713">
        <v>29</v>
      </c>
      <c r="F37" s="713">
        <v>29</v>
      </c>
      <c r="G37" s="713" t="s">
        <v>626</v>
      </c>
      <c r="H37" s="713" t="s">
        <v>626</v>
      </c>
      <c r="I37" s="713" t="s">
        <v>626</v>
      </c>
      <c r="J37" s="713" t="s">
        <v>626</v>
      </c>
      <c r="K37" s="697"/>
      <c r="L37" s="697"/>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2:104" ht="15.75" customHeight="1" thickBot="1">
      <c r="B38" s="716" t="s">
        <v>28</v>
      </c>
      <c r="C38" s="717">
        <v>1.6</v>
      </c>
      <c r="D38" s="707">
        <v>1.6</v>
      </c>
      <c r="E38" s="707">
        <v>1.6</v>
      </c>
      <c r="F38" s="707">
        <v>1.6</v>
      </c>
      <c r="G38" s="697" t="s">
        <v>626</v>
      </c>
      <c r="H38" s="697" t="s">
        <v>626</v>
      </c>
      <c r="I38" s="697" t="s">
        <v>626</v>
      </c>
      <c r="J38" s="697" t="s">
        <v>626</v>
      </c>
      <c r="K38" s="697" t="s">
        <v>39</v>
      </c>
      <c r="L38" s="697"/>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2:104" ht="16" thickBot="1">
      <c r="B39" s="716" t="s">
        <v>44</v>
      </c>
      <c r="C39" s="713">
        <v>235</v>
      </c>
      <c r="D39" s="713">
        <v>235</v>
      </c>
      <c r="E39" s="713">
        <v>235</v>
      </c>
      <c r="F39" s="713">
        <v>235</v>
      </c>
      <c r="G39" s="697" t="s">
        <v>626</v>
      </c>
      <c r="H39" s="697" t="s">
        <v>626</v>
      </c>
      <c r="I39" s="697" t="s">
        <v>626</v>
      </c>
      <c r="J39" s="697" t="s">
        <v>626</v>
      </c>
      <c r="K39" s="697" t="s">
        <v>15</v>
      </c>
      <c r="L39" s="697"/>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2:104" ht="16" thickBot="1">
      <c r="B40" s="716" t="s">
        <v>482</v>
      </c>
      <c r="C40" s="713">
        <v>0</v>
      </c>
      <c r="D40" s="697">
        <v>0</v>
      </c>
      <c r="E40" s="697">
        <v>0</v>
      </c>
      <c r="F40" s="697">
        <v>0</v>
      </c>
      <c r="G40" s="697" t="s">
        <v>626</v>
      </c>
      <c r="H40" s="697" t="s">
        <v>626</v>
      </c>
      <c r="I40" s="697" t="s">
        <v>626</v>
      </c>
      <c r="J40" s="697" t="s">
        <v>626</v>
      </c>
      <c r="K40" s="697" t="s">
        <v>19</v>
      </c>
      <c r="L40" s="697"/>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2:104">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2:104" ht="16" thickBot="1">
      <c r="B42" s="429" t="s">
        <v>499</v>
      </c>
      <c r="C42" s="430"/>
      <c r="D42" s="430"/>
      <c r="E42" s="430"/>
      <c r="F42" s="430"/>
      <c r="I42" s="696"/>
      <c r="J42" s="696"/>
      <c r="K42" s="696"/>
      <c r="L42" s="696"/>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2:104" ht="16" thickBot="1">
      <c r="B43" s="694" t="s">
        <v>503</v>
      </c>
      <c r="C43" s="540">
        <f>C35/C$16*Euro</f>
        <v>10.43</v>
      </c>
      <c r="D43" s="540">
        <f>D35/D$16*Euro</f>
        <v>9.8041999999999998</v>
      </c>
      <c r="E43" s="540">
        <f>E35/E$16*Euro</f>
        <v>8.8237800000000011</v>
      </c>
      <c r="F43" s="540">
        <f>F35/F$16*Euro</f>
        <v>7.9414020000000001</v>
      </c>
      <c r="G43" s="430"/>
      <c r="H43" s="430"/>
      <c r="I43" s="430"/>
      <c r="J43" s="430"/>
      <c r="K43" s="430"/>
      <c r="L43" s="432"/>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2:104" ht="16" thickBot="1">
      <c r="B44" s="694" t="s">
        <v>504</v>
      </c>
      <c r="C44" s="540">
        <f>C38/C$16*Euro</f>
        <v>1.1919999999999999</v>
      </c>
      <c r="D44" s="540">
        <f>D38/D$16*Euro</f>
        <v>1.1919999999999999</v>
      </c>
      <c r="E44" s="540">
        <f>E38/E$16*Euro</f>
        <v>1.1919999999999999</v>
      </c>
      <c r="F44" s="540">
        <f>F38/F$16*Euro</f>
        <v>1.1919999999999999</v>
      </c>
      <c r="G44" s="540"/>
      <c r="H44" s="540"/>
      <c r="I44" s="540"/>
      <c r="J44" s="540"/>
      <c r="K44" s="540"/>
      <c r="L44" s="540"/>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2:104" ht="16" thickBot="1">
      <c r="B45" s="694"/>
      <c r="C45" s="693"/>
      <c r="D45" s="693"/>
      <c r="E45" s="693"/>
      <c r="F45" s="693"/>
      <c r="G45" s="540"/>
      <c r="H45" s="540"/>
      <c r="I45" s="540"/>
      <c r="J45" s="540"/>
      <c r="K45" s="540"/>
      <c r="L45" s="540"/>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2:104" ht="16" thickBot="1">
      <c r="B46" s="692" t="s">
        <v>502</v>
      </c>
      <c r="C46" s="540">
        <f>C39/C16/1000*Euro</f>
        <v>0.17507500000000001</v>
      </c>
      <c r="D46" s="540">
        <f>D39/D16/1000*Euro</f>
        <v>0.17507500000000001</v>
      </c>
      <c r="E46" s="540">
        <f>E39/E16/1000*Euro</f>
        <v>0.17507500000000001</v>
      </c>
      <c r="F46" s="540">
        <f>F39/F16/1000*Euro</f>
        <v>0.17507500000000001</v>
      </c>
      <c r="G46" s="693"/>
      <c r="H46" s="693"/>
      <c r="I46" s="693"/>
      <c r="J46" s="693"/>
      <c r="K46" s="693"/>
      <c r="L46" s="693"/>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2:104" ht="16" thickBot="1">
      <c r="B47" s="526" t="s">
        <v>505</v>
      </c>
      <c r="C47" s="712">
        <f>C40/3.6*Euro</f>
        <v>0</v>
      </c>
      <c r="D47" s="775">
        <f>D40/3.6*Euro</f>
        <v>0</v>
      </c>
      <c r="E47" s="775">
        <f>E40/3.6*Euro</f>
        <v>0</v>
      </c>
      <c r="F47" s="775">
        <f>F40/3.6*Euro</f>
        <v>0</v>
      </c>
      <c r="G47" s="540"/>
      <c r="H47" s="540"/>
      <c r="I47" s="540"/>
      <c r="J47" s="540"/>
      <c r="K47" s="540"/>
      <c r="L47" s="540"/>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2:104" ht="16" thickBot="1">
      <c r="B48" s="526"/>
      <c r="C48" s="712"/>
      <c r="D48" s="712"/>
      <c r="E48" s="712"/>
      <c r="F48" s="712"/>
      <c r="G48" s="712"/>
      <c r="H48" s="712"/>
      <c r="I48" s="712"/>
      <c r="J48" s="712"/>
      <c r="K48" s="712"/>
      <c r="L48" s="712"/>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row r="135" spans="3:104">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row>
    <row r="136" spans="3:104">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row>
    <row r="137" spans="3:104">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row>
    <row r="138" spans="3:104">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row>
    <row r="139" spans="3:104">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row>
    <row r="140" spans="3:104">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row>
    <row r="141" spans="3:104">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row>
    <row r="142" spans="3:104">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row>
  </sheetData>
  <mergeCells count="1">
    <mergeCell ref="B2:G2"/>
  </mergeCell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sheetPr>
  <dimension ref="A1:U292"/>
  <sheetViews>
    <sheetView zoomScaleNormal="100" workbookViewId="0">
      <selection activeCell="H22" sqref="H22"/>
    </sheetView>
  </sheetViews>
  <sheetFormatPr baseColWidth="10" defaultColWidth="8.83203125" defaultRowHeight="15"/>
  <cols>
    <col min="2" max="2" width="36.6640625" customWidth="1"/>
    <col min="3" max="3" width="9.5" bestFit="1" customWidth="1"/>
    <col min="17" max="17" width="0" hidden="1" customWidth="1"/>
  </cols>
  <sheetData>
    <row r="1" spans="1:16">
      <c r="B1" s="8" t="s">
        <v>240</v>
      </c>
    </row>
    <row r="2" spans="1:16" ht="16" thickBot="1">
      <c r="A2" s="1263" t="s">
        <v>34</v>
      </c>
      <c r="B2" s="1264"/>
      <c r="C2" s="1264"/>
      <c r="D2" s="1264"/>
      <c r="E2" s="1264"/>
      <c r="F2" s="1265"/>
    </row>
    <row r="3" spans="1:16">
      <c r="G3" t="s">
        <v>254</v>
      </c>
      <c r="H3" s="25">
        <v>7.45</v>
      </c>
      <c r="J3" t="s">
        <v>783</v>
      </c>
    </row>
    <row r="4" spans="1:16" s="427" customFormat="1">
      <c r="B4" s="34" t="s">
        <v>273</v>
      </c>
      <c r="C4"/>
      <c r="D4"/>
      <c r="E4"/>
      <c r="F4"/>
      <c r="G4"/>
      <c r="H4"/>
      <c r="I4"/>
      <c r="J4">
        <v>0.2</v>
      </c>
      <c r="K4"/>
      <c r="L4"/>
      <c r="M4"/>
      <c r="N4"/>
      <c r="O4"/>
      <c r="P4"/>
    </row>
    <row r="5" spans="1:16" s="427"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row>
    <row r="6" spans="1:16" s="427" customFormat="1" ht="16" thickBot="1">
      <c r="B6" s="31"/>
      <c r="C6" s="31"/>
      <c r="D6" s="32"/>
      <c r="E6" s="33"/>
      <c r="F6" s="33"/>
      <c r="G6" s="31"/>
      <c r="H6" s="31"/>
      <c r="I6" s="31"/>
      <c r="J6" s="31"/>
      <c r="K6" s="31"/>
      <c r="L6" s="31"/>
      <c r="M6" s="31"/>
      <c r="N6" s="31"/>
      <c r="O6" s="31"/>
    </row>
    <row r="7" spans="1:16" s="427" customFormat="1">
      <c r="B7" s="37"/>
      <c r="C7" s="37"/>
      <c r="D7" s="38"/>
      <c r="E7" s="38" t="s">
        <v>637</v>
      </c>
      <c r="F7" s="38" t="s">
        <v>353</v>
      </c>
      <c r="G7" s="38" t="s">
        <v>354</v>
      </c>
      <c r="H7" s="38" t="s">
        <v>355</v>
      </c>
      <c r="I7" s="37" t="s">
        <v>271</v>
      </c>
      <c r="J7" s="37" t="s">
        <v>271</v>
      </c>
      <c r="K7" s="37" t="s">
        <v>272</v>
      </c>
      <c r="L7" s="37" t="s">
        <v>272</v>
      </c>
      <c r="M7" s="37" t="s">
        <v>272</v>
      </c>
      <c r="N7" s="37" t="s">
        <v>272</v>
      </c>
      <c r="O7" s="37" t="s">
        <v>272</v>
      </c>
    </row>
    <row r="8" spans="1:16" s="821" customFormat="1">
      <c r="B8" s="1266" t="s">
        <v>801</v>
      </c>
      <c r="C8" s="1267"/>
      <c r="D8" s="1267"/>
      <c r="E8" s="1267"/>
      <c r="F8" s="1267"/>
      <c r="G8" s="1267"/>
      <c r="H8" s="1267"/>
      <c r="I8" s="1267"/>
      <c r="J8" s="1267"/>
      <c r="K8" s="1267"/>
      <c r="L8" s="1267"/>
      <c r="M8" s="1267"/>
      <c r="N8" s="1267"/>
      <c r="O8" s="1268"/>
    </row>
    <row r="9" spans="1:16" s="427" customFormat="1">
      <c r="B9" s="39">
        <f>C21</f>
        <v>2015</v>
      </c>
      <c r="C9" s="39">
        <f>B9</f>
        <v>2015</v>
      </c>
      <c r="D9" s="39">
        <f>C28/100</f>
        <v>5</v>
      </c>
      <c r="E9" s="39">
        <f>C30</f>
        <v>12</v>
      </c>
      <c r="F9" s="226">
        <f>C50</f>
        <v>3.3525</v>
      </c>
      <c r="G9" s="226">
        <f>C53</f>
        <v>0.31662500000000005</v>
      </c>
      <c r="H9" s="226">
        <f>C54</f>
        <v>0</v>
      </c>
      <c r="I9" s="39"/>
      <c r="J9" s="39">
        <f>($J$4*C25*0.7+C26*$J$4*0.3)/100</f>
        <v>8.3999999999999991E-2</v>
      </c>
      <c r="K9" s="39"/>
      <c r="L9" s="39"/>
      <c r="M9" s="39"/>
      <c r="N9" s="39"/>
      <c r="O9" s="39"/>
    </row>
    <row r="10" spans="1:16" s="427" customFormat="1">
      <c r="B10" s="39">
        <f>D21</f>
        <v>2020</v>
      </c>
      <c r="C10" s="39"/>
      <c r="D10" s="39">
        <f>D28/100</f>
        <v>5.0999999999999996</v>
      </c>
      <c r="E10" s="39">
        <f>D30</f>
        <v>12</v>
      </c>
      <c r="F10" s="226">
        <f>D50</f>
        <v>3.1662499999999998</v>
      </c>
      <c r="G10" s="226">
        <f>D53</f>
        <v>0.30110722454958749</v>
      </c>
      <c r="H10" s="226">
        <f>D54</f>
        <v>0</v>
      </c>
      <c r="I10" s="39"/>
      <c r="J10" s="39">
        <f>($J$4*D25*0.7+D26*$J$4*0.3)/100</f>
        <v>8.3999999999999991E-2</v>
      </c>
      <c r="K10" s="39"/>
      <c r="L10" s="39"/>
      <c r="M10" s="39"/>
      <c r="N10" s="39"/>
      <c r="O10" s="39"/>
    </row>
    <row r="11" spans="1:16">
      <c r="B11" s="39">
        <f>E21</f>
        <v>2030</v>
      </c>
      <c r="C11" s="39"/>
      <c r="D11" s="39">
        <f>E28/100</f>
        <v>4.0999999999999996</v>
      </c>
      <c r="E11" s="39">
        <f>E30</f>
        <v>12</v>
      </c>
      <c r="F11" s="226">
        <f>E50</f>
        <v>2.3591666666666664</v>
      </c>
      <c r="G11" s="226">
        <f>E53</f>
        <v>0.18154398435886526</v>
      </c>
      <c r="H11" s="226">
        <f>E54</f>
        <v>0</v>
      </c>
      <c r="I11" s="39"/>
      <c r="J11" s="39">
        <f>($J$4*E25*0.7+E26*$J$4*0.3)/100</f>
        <v>0.14399999999999999</v>
      </c>
      <c r="K11" s="39"/>
      <c r="L11" s="39"/>
      <c r="M11" s="39"/>
      <c r="N11" s="39"/>
      <c r="O11" s="39"/>
    </row>
    <row r="12" spans="1:16">
      <c r="B12" s="39">
        <f>F21</f>
        <v>2050</v>
      </c>
      <c r="C12" s="39"/>
      <c r="D12" s="39">
        <f>F28/100</f>
        <v>4.2</v>
      </c>
      <c r="E12" s="39">
        <f>F30</f>
        <v>12</v>
      </c>
      <c r="F12" s="226">
        <f>F50</f>
        <v>2.2349999999999999</v>
      </c>
      <c r="G12" s="226">
        <f>F53</f>
        <v>0.16422659088184083</v>
      </c>
      <c r="H12" s="226">
        <f>F54</f>
        <v>0</v>
      </c>
      <c r="I12" s="39"/>
      <c r="J12" s="39">
        <f>($J$4*F25*0.7+F26*$J$4*0.3)/100</f>
        <v>0.14399999999999999</v>
      </c>
      <c r="K12" s="39"/>
      <c r="L12" s="39"/>
      <c r="M12" s="39"/>
      <c r="N12" s="39"/>
      <c r="O12" s="39"/>
    </row>
    <row r="13" spans="1:16" s="821" customFormat="1">
      <c r="B13" s="1266" t="s">
        <v>800</v>
      </c>
      <c r="C13" s="1267"/>
      <c r="D13" s="1267"/>
      <c r="E13" s="1267"/>
      <c r="F13" s="1267"/>
      <c r="G13" s="1267"/>
      <c r="H13" s="1267"/>
      <c r="I13" s="1267"/>
      <c r="J13" s="1267"/>
      <c r="K13" s="1267"/>
      <c r="L13" s="1267"/>
      <c r="M13" s="1267"/>
      <c r="N13" s="1267"/>
      <c r="O13" s="1268"/>
    </row>
    <row r="14" spans="1:16" s="821" customFormat="1">
      <c r="B14" s="39">
        <f>C59</f>
        <v>2015</v>
      </c>
      <c r="C14" s="39">
        <f>B14</f>
        <v>2015</v>
      </c>
      <c r="D14" s="39">
        <f>C66/100</f>
        <v>4.8</v>
      </c>
      <c r="E14" s="39">
        <f>C68</f>
        <v>12</v>
      </c>
      <c r="F14" s="226">
        <f>C88</f>
        <v>3.5760000000000001</v>
      </c>
      <c r="G14" s="226">
        <f>C91</f>
        <v>0.50660000000000005</v>
      </c>
      <c r="H14" s="226">
        <f>C92</f>
        <v>0</v>
      </c>
      <c r="I14" s="39"/>
      <c r="J14" s="39">
        <f>($J$4*C63*0.7+C64*$J$4*0.3)/100</f>
        <v>8.3999999999999991E-2</v>
      </c>
      <c r="K14" s="39"/>
      <c r="L14" s="39"/>
      <c r="M14" s="39"/>
      <c r="N14" s="39"/>
      <c r="O14" s="39"/>
    </row>
    <row r="15" spans="1:16" s="821" customFormat="1">
      <c r="B15" s="39">
        <f>D59</f>
        <v>2020</v>
      </c>
      <c r="C15" s="39"/>
      <c r="D15" s="39">
        <f>D66/100</f>
        <v>4.9000000000000004</v>
      </c>
      <c r="E15" s="39">
        <f>D68</f>
        <v>12</v>
      </c>
      <c r="F15" s="226">
        <f>D88</f>
        <v>3.2780000000000005</v>
      </c>
      <c r="G15" s="226">
        <f>D91</f>
        <v>0.48177155927934001</v>
      </c>
      <c r="H15" s="226">
        <f>D92</f>
        <v>0</v>
      </c>
      <c r="I15" s="39"/>
      <c r="J15" s="39">
        <f>($J$4*D63*0.7+D64*$J$4*0.3)/100</f>
        <v>8.3999999999999991E-2</v>
      </c>
      <c r="K15" s="39"/>
      <c r="L15" s="39"/>
      <c r="M15" s="39"/>
      <c r="N15" s="39"/>
      <c r="O15" s="39"/>
    </row>
    <row r="16" spans="1:16" s="821" customFormat="1">
      <c r="B16" s="39">
        <f>E59</f>
        <v>2030</v>
      </c>
      <c r="C16" s="39"/>
      <c r="D16" s="39">
        <f>E66/100</f>
        <v>3.4</v>
      </c>
      <c r="E16" s="39">
        <f>E68</f>
        <v>12</v>
      </c>
      <c r="F16" s="226">
        <f>E88</f>
        <v>3.8314285714285718</v>
      </c>
      <c r="G16" s="226">
        <f>E91</f>
        <v>0.31121825890091193</v>
      </c>
      <c r="H16" s="226">
        <f>E92</f>
        <v>0</v>
      </c>
      <c r="I16" s="39"/>
      <c r="J16" s="39">
        <f>($J$4*E63*0.7+E64*$J$4*0.3)/100</f>
        <v>0.14399999999999999</v>
      </c>
      <c r="K16" s="39"/>
      <c r="L16" s="39"/>
      <c r="M16" s="39"/>
      <c r="N16" s="39"/>
      <c r="O16" s="39"/>
    </row>
    <row r="17" spans="2:21" s="821" customFormat="1">
      <c r="B17" s="39">
        <f>F59</f>
        <v>2050</v>
      </c>
      <c r="C17" s="39"/>
      <c r="D17" s="39">
        <f>F66/100</f>
        <v>3.6</v>
      </c>
      <c r="E17" s="39">
        <f>F68</f>
        <v>12</v>
      </c>
      <c r="F17" s="226">
        <f>F88</f>
        <v>3.6185714285714288</v>
      </c>
      <c r="G17" s="226">
        <f>F91</f>
        <v>0.28153129865458426</v>
      </c>
      <c r="H17" s="226">
        <f>F92</f>
        <v>0</v>
      </c>
      <c r="I17" s="39"/>
      <c r="J17" s="39">
        <f>($J$4*F63*0.7+F64*$J$4*0.3)/100</f>
        <v>0.14399999999999999</v>
      </c>
      <c r="K17" s="39"/>
      <c r="L17" s="39"/>
      <c r="M17" s="39"/>
      <c r="N17" s="39"/>
      <c r="O17" s="39"/>
    </row>
    <row r="18" spans="2:21" s="821" customFormat="1">
      <c r="B18" s="603"/>
      <c r="C18" s="603"/>
      <c r="D18" s="603"/>
      <c r="E18" s="603"/>
      <c r="F18" s="847"/>
      <c r="G18" s="847"/>
      <c r="H18" s="847"/>
      <c r="I18" s="603"/>
      <c r="J18" s="603"/>
      <c r="K18" s="603"/>
      <c r="L18" s="603"/>
      <c r="M18" s="603"/>
      <c r="N18" s="603"/>
      <c r="O18" s="603"/>
    </row>
    <row r="19" spans="2:21" s="562" customFormat="1" ht="16" thickBot="1">
      <c r="B19" s="603"/>
      <c r="C19" s="603"/>
      <c r="D19" s="603"/>
      <c r="E19" s="603"/>
      <c r="F19" s="604"/>
      <c r="G19" s="604"/>
      <c r="H19" s="671"/>
      <c r="I19" s="603"/>
      <c r="J19" s="603"/>
      <c r="K19" s="603"/>
      <c r="L19" s="603"/>
      <c r="M19" s="603"/>
      <c r="N19" s="603"/>
      <c r="O19" s="603"/>
    </row>
    <row r="20" spans="2:21" ht="15.75" customHeight="1" thickBot="1">
      <c r="B20" s="1018" t="s">
        <v>0</v>
      </c>
      <c r="C20" s="1249" t="s">
        <v>618</v>
      </c>
      <c r="D20" s="1250"/>
      <c r="E20" s="1250"/>
      <c r="F20" s="1250"/>
      <c r="G20" s="1250"/>
      <c r="H20" s="1250"/>
      <c r="I20" s="1250"/>
      <c r="J20" s="1250"/>
      <c r="K20" s="1250"/>
      <c r="L20" s="1251"/>
      <c r="M20" s="611"/>
      <c r="N20" s="611"/>
      <c r="O20" s="612"/>
      <c r="P20" s="439"/>
      <c r="Q20" s="439"/>
      <c r="R20" s="439"/>
      <c r="S20" s="439"/>
      <c r="T20" s="439"/>
      <c r="U20" s="439"/>
    </row>
    <row r="21" spans="2:21" ht="15.75" customHeight="1" thickBot="1">
      <c r="B21" s="1019"/>
      <c r="C21" s="1255">
        <v>2015</v>
      </c>
      <c r="D21" s="1256">
        <v>2020</v>
      </c>
      <c r="E21" s="1256">
        <v>2030</v>
      </c>
      <c r="F21" s="1252">
        <v>2050</v>
      </c>
      <c r="G21" s="1254" t="s">
        <v>467</v>
      </c>
      <c r="H21" s="1252"/>
      <c r="I21" s="1255" t="s">
        <v>468</v>
      </c>
      <c r="J21" s="1252"/>
      <c r="K21" s="1256" t="s">
        <v>2</v>
      </c>
      <c r="L21" s="1256" t="s">
        <v>3</v>
      </c>
      <c r="M21" s="613"/>
      <c r="N21" s="613"/>
      <c r="O21" s="614"/>
      <c r="P21" s="439"/>
      <c r="Q21" s="439"/>
      <c r="R21" s="439"/>
      <c r="S21" s="439"/>
      <c r="T21" s="439"/>
      <c r="U21" s="439"/>
    </row>
    <row r="22" spans="2:21" ht="16" thickBot="1">
      <c r="B22" s="1020" t="s">
        <v>4</v>
      </c>
      <c r="C22" s="1259"/>
      <c r="D22" s="1257"/>
      <c r="E22" s="1257"/>
      <c r="F22" s="1253"/>
      <c r="G22" s="1021" t="s">
        <v>469</v>
      </c>
      <c r="H22" s="1022" t="s">
        <v>470</v>
      </c>
      <c r="I22" s="1022" t="s">
        <v>469</v>
      </c>
      <c r="J22" s="1023" t="s">
        <v>470</v>
      </c>
      <c r="K22" s="1257"/>
      <c r="L22" s="1257"/>
      <c r="M22" s="439"/>
      <c r="N22" s="439"/>
      <c r="O22" s="439"/>
      <c r="P22" s="439"/>
      <c r="Q22" s="439"/>
      <c r="R22" s="439"/>
      <c r="S22" s="439"/>
      <c r="T22" s="439"/>
      <c r="U22" s="439"/>
    </row>
    <row r="23" spans="2:21" ht="16" thickBot="1">
      <c r="B23" s="1024" t="s">
        <v>5</v>
      </c>
      <c r="C23" s="1025">
        <v>4</v>
      </c>
      <c r="D23" s="1025">
        <v>4</v>
      </c>
      <c r="E23" s="1025">
        <v>6</v>
      </c>
      <c r="F23" s="1025">
        <v>6</v>
      </c>
      <c r="G23" s="1026">
        <v>2</v>
      </c>
      <c r="H23" s="1026">
        <v>10</v>
      </c>
      <c r="I23" s="1017">
        <v>2</v>
      </c>
      <c r="J23" s="1017">
        <v>10</v>
      </c>
      <c r="K23" s="1017"/>
      <c r="L23" s="1017" t="s">
        <v>571</v>
      </c>
      <c r="M23" s="439"/>
      <c r="N23" s="439"/>
      <c r="O23" s="439"/>
      <c r="P23" s="439"/>
      <c r="Q23" s="439"/>
      <c r="R23" s="439"/>
      <c r="S23" s="439"/>
      <c r="T23" s="439"/>
      <c r="U23" s="439"/>
    </row>
    <row r="24" spans="2:21" ht="16" thickBot="1">
      <c r="B24" s="1024" t="s">
        <v>77</v>
      </c>
      <c r="C24" s="1026">
        <v>0</v>
      </c>
      <c r="D24" s="1026">
        <v>0</v>
      </c>
      <c r="E24" s="1026">
        <v>0</v>
      </c>
      <c r="F24" s="1026">
        <v>0</v>
      </c>
      <c r="G24" s="1026">
        <v>0</v>
      </c>
      <c r="H24" s="1026">
        <v>0</v>
      </c>
      <c r="I24" s="1026">
        <v>0</v>
      </c>
      <c r="J24" s="1026">
        <v>0</v>
      </c>
      <c r="K24" s="1017"/>
      <c r="L24" s="1017"/>
      <c r="M24" s="439"/>
      <c r="N24" s="439"/>
      <c r="O24" s="439"/>
      <c r="P24" s="439"/>
      <c r="Q24" s="439"/>
      <c r="R24" s="439"/>
      <c r="S24" s="439"/>
      <c r="T24" s="439"/>
      <c r="U24" s="439"/>
    </row>
    <row r="25" spans="2:21" ht="16" thickBot="1">
      <c r="B25" s="1024" t="s">
        <v>7</v>
      </c>
      <c r="C25" s="1026">
        <v>60</v>
      </c>
      <c r="D25" s="1026">
        <v>60</v>
      </c>
      <c r="E25" s="1026">
        <v>60</v>
      </c>
      <c r="F25" s="1026">
        <v>60</v>
      </c>
      <c r="G25" s="1026">
        <v>50</v>
      </c>
      <c r="H25" s="1026">
        <v>70</v>
      </c>
      <c r="I25" s="1017">
        <v>40</v>
      </c>
      <c r="J25" s="1017">
        <v>80</v>
      </c>
      <c r="K25" s="1017" t="s">
        <v>23</v>
      </c>
      <c r="L25" s="1017" t="s">
        <v>572</v>
      </c>
      <c r="M25" s="439"/>
      <c r="N25" s="439"/>
      <c r="O25" s="439"/>
      <c r="P25" s="439"/>
      <c r="Q25" s="439"/>
      <c r="R25" s="439"/>
      <c r="S25" s="439"/>
      <c r="T25" s="439"/>
      <c r="U25" s="439"/>
    </row>
    <row r="26" spans="2:21" ht="16" thickBot="1">
      <c r="B26" s="1024" t="s">
        <v>8</v>
      </c>
      <c r="C26" s="1026">
        <v>0</v>
      </c>
      <c r="D26" s="1026">
        <v>0</v>
      </c>
      <c r="E26" s="1026">
        <v>100</v>
      </c>
      <c r="F26" s="1026">
        <v>100</v>
      </c>
      <c r="G26" s="1026">
        <v>0</v>
      </c>
      <c r="H26" s="1026">
        <v>100</v>
      </c>
      <c r="I26" s="1017">
        <v>0</v>
      </c>
      <c r="J26" s="1017">
        <v>100</v>
      </c>
      <c r="K26" s="1017" t="s">
        <v>23</v>
      </c>
      <c r="L26" s="1017">
        <v>1.2</v>
      </c>
      <c r="M26" s="439"/>
      <c r="N26" s="439"/>
      <c r="O26" s="439"/>
      <c r="P26" s="439"/>
      <c r="Q26" s="439"/>
      <c r="R26" s="439"/>
      <c r="S26" s="439"/>
      <c r="T26" s="439"/>
      <c r="U26" s="439"/>
    </row>
    <row r="27" spans="2:21" ht="16" thickBot="1">
      <c r="B27" s="1024" t="s">
        <v>86</v>
      </c>
      <c r="C27" s="1026">
        <v>500</v>
      </c>
      <c r="D27" s="1026">
        <v>510</v>
      </c>
      <c r="E27" s="1026">
        <v>410</v>
      </c>
      <c r="F27" s="1026">
        <v>420</v>
      </c>
      <c r="G27" s="1026">
        <v>400</v>
      </c>
      <c r="H27" s="1026">
        <v>550</v>
      </c>
      <c r="I27" s="1017">
        <v>350</v>
      </c>
      <c r="J27" s="1017">
        <v>600</v>
      </c>
      <c r="K27" s="1017" t="s">
        <v>619</v>
      </c>
      <c r="L27" s="1017" t="s">
        <v>574</v>
      </c>
      <c r="M27" s="439"/>
      <c r="N27" s="439"/>
      <c r="O27" s="439"/>
      <c r="P27" s="439"/>
      <c r="Q27" s="439"/>
      <c r="R27" s="439"/>
      <c r="S27" s="439"/>
      <c r="T27" s="439"/>
      <c r="U27" s="439"/>
    </row>
    <row r="28" spans="2:21" ht="16" thickBot="1">
      <c r="B28" s="1024" t="s">
        <v>9</v>
      </c>
      <c r="C28" s="1026">
        <v>500</v>
      </c>
      <c r="D28" s="1026">
        <v>510</v>
      </c>
      <c r="E28" s="1026">
        <v>410</v>
      </c>
      <c r="F28" s="1026">
        <v>420</v>
      </c>
      <c r="G28" s="1026">
        <v>400</v>
      </c>
      <c r="H28" s="1026">
        <v>550</v>
      </c>
      <c r="I28" s="1017">
        <v>350</v>
      </c>
      <c r="J28" s="1017">
        <v>600</v>
      </c>
      <c r="K28" s="1017" t="s">
        <v>620</v>
      </c>
      <c r="L28" s="1017" t="s">
        <v>574</v>
      </c>
      <c r="M28" s="439"/>
      <c r="N28" s="439"/>
      <c r="O28" s="439"/>
      <c r="P28" s="439"/>
      <c r="Q28" s="439"/>
      <c r="R28" s="439"/>
      <c r="S28" s="439"/>
      <c r="T28" s="439"/>
      <c r="U28" s="439"/>
    </row>
    <row r="29" spans="2:21" ht="16" thickBot="1">
      <c r="B29" s="1024" t="s">
        <v>472</v>
      </c>
      <c r="C29" s="1026">
        <v>0</v>
      </c>
      <c r="D29" s="1026">
        <v>0</v>
      </c>
      <c r="E29" s="1026">
        <v>0</v>
      </c>
      <c r="F29" s="1026">
        <v>0</v>
      </c>
      <c r="G29" s="1026">
        <v>0</v>
      </c>
      <c r="H29" s="1026">
        <v>0</v>
      </c>
      <c r="I29" s="1017">
        <v>0</v>
      </c>
      <c r="J29" s="1017">
        <v>0</v>
      </c>
      <c r="K29" s="1017"/>
      <c r="L29" s="1017"/>
      <c r="M29" s="439"/>
      <c r="N29" s="439"/>
      <c r="O29" s="439"/>
      <c r="P29" s="439"/>
      <c r="Q29" s="439"/>
      <c r="R29" s="439"/>
      <c r="S29" s="439"/>
      <c r="T29" s="439"/>
      <c r="U29" s="439"/>
    </row>
    <row r="30" spans="2:21" ht="27" customHeight="1" thickBot="1">
      <c r="B30" s="1024" t="s">
        <v>10</v>
      </c>
      <c r="C30" s="1017">
        <v>12</v>
      </c>
      <c r="D30" s="1017">
        <v>12</v>
      </c>
      <c r="E30" s="1017">
        <v>12</v>
      </c>
      <c r="F30" s="1017">
        <v>12</v>
      </c>
      <c r="G30" s="1017">
        <v>10</v>
      </c>
      <c r="H30" s="1017">
        <v>15</v>
      </c>
      <c r="I30" s="1017">
        <v>10</v>
      </c>
      <c r="J30" s="1017">
        <v>15</v>
      </c>
      <c r="K30" s="1017"/>
      <c r="L30" s="1017"/>
      <c r="M30" s="35"/>
      <c r="N30" s="439"/>
      <c r="O30" s="439"/>
      <c r="P30" s="439"/>
      <c r="Q30" s="439"/>
      <c r="R30" s="439"/>
      <c r="S30" s="439"/>
      <c r="T30" s="439"/>
      <c r="U30" s="439"/>
    </row>
    <row r="31" spans="2:21" ht="16" thickBot="1">
      <c r="B31" s="1020" t="s">
        <v>488</v>
      </c>
      <c r="C31" s="1027"/>
      <c r="D31" s="1027"/>
      <c r="E31" s="1027"/>
      <c r="F31" s="1027"/>
      <c r="G31" s="1027"/>
      <c r="H31" s="1027"/>
      <c r="I31" s="1028"/>
      <c r="J31" s="1028"/>
      <c r="K31" s="1028"/>
      <c r="L31" s="1017"/>
      <c r="M31" s="561"/>
      <c r="N31" s="439"/>
      <c r="O31" s="439"/>
      <c r="P31" s="439"/>
      <c r="Q31" s="439"/>
      <c r="R31" s="439"/>
      <c r="S31" s="439"/>
      <c r="T31" s="439"/>
      <c r="U31" s="439"/>
    </row>
    <row r="32" spans="2:21" ht="16" thickBot="1">
      <c r="B32" s="1024" t="s">
        <v>578</v>
      </c>
      <c r="C32" s="1026">
        <v>100</v>
      </c>
      <c r="D32" s="1026">
        <v>100</v>
      </c>
      <c r="E32" s="1026">
        <v>100</v>
      </c>
      <c r="F32" s="1026">
        <v>100</v>
      </c>
      <c r="G32" s="1026">
        <v>50</v>
      </c>
      <c r="H32" s="1026">
        <v>100</v>
      </c>
      <c r="I32" s="1029">
        <v>50</v>
      </c>
      <c r="J32" s="1029">
        <v>100</v>
      </c>
      <c r="K32" s="1029"/>
      <c r="L32" s="1017" t="s">
        <v>572</v>
      </c>
      <c r="M32" s="439"/>
      <c r="N32" s="439"/>
      <c r="O32" s="439"/>
      <c r="P32" s="439"/>
      <c r="Q32" s="439"/>
      <c r="R32" s="439"/>
      <c r="S32" s="439"/>
      <c r="T32" s="439"/>
      <c r="U32" s="439"/>
    </row>
    <row r="33" spans="2:21" ht="16" thickBot="1">
      <c r="B33" s="1024" t="s">
        <v>492</v>
      </c>
      <c r="C33" s="1026">
        <v>0</v>
      </c>
      <c r="D33" s="1026">
        <v>0</v>
      </c>
      <c r="E33" s="1026">
        <v>0</v>
      </c>
      <c r="F33" s="1026">
        <v>0</v>
      </c>
      <c r="G33" s="1026">
        <v>0</v>
      </c>
      <c r="H33" s="1026">
        <v>0</v>
      </c>
      <c r="I33" s="1029">
        <v>0</v>
      </c>
      <c r="J33" s="1029">
        <v>0</v>
      </c>
      <c r="K33" s="1029"/>
      <c r="L33" s="1017" t="s">
        <v>572</v>
      </c>
      <c r="M33" s="439"/>
      <c r="N33" s="439"/>
      <c r="O33" s="439"/>
      <c r="P33" s="439"/>
      <c r="Q33" s="439"/>
      <c r="R33" s="439"/>
      <c r="S33" s="439"/>
      <c r="T33" s="439"/>
      <c r="U33" s="439"/>
    </row>
    <row r="34" spans="2:21" ht="16" thickBot="1">
      <c r="B34" s="1024" t="s">
        <v>493</v>
      </c>
      <c r="C34" s="1026">
        <v>0</v>
      </c>
      <c r="D34" s="1026">
        <v>0</v>
      </c>
      <c r="E34" s="1026">
        <v>0</v>
      </c>
      <c r="F34" s="1026">
        <v>0</v>
      </c>
      <c r="G34" s="1026">
        <v>0</v>
      </c>
      <c r="H34" s="1026">
        <v>0</v>
      </c>
      <c r="I34" s="1029">
        <v>0</v>
      </c>
      <c r="J34" s="1029">
        <v>0</v>
      </c>
      <c r="K34" s="1029"/>
      <c r="L34" s="1017" t="s">
        <v>572</v>
      </c>
      <c r="M34" s="439"/>
      <c r="N34" s="439"/>
      <c r="O34" s="439"/>
      <c r="P34" s="439"/>
      <c r="Q34" s="439"/>
      <c r="R34" s="439"/>
      <c r="S34" s="439"/>
      <c r="T34" s="439"/>
      <c r="U34" s="439"/>
    </row>
    <row r="35" spans="2:21" ht="16" thickBot="1">
      <c r="B35" s="1020" t="s">
        <v>11</v>
      </c>
      <c r="C35" s="1030"/>
      <c r="D35" s="1030"/>
      <c r="E35" s="1030"/>
      <c r="F35" s="1030"/>
      <c r="G35" s="1030"/>
      <c r="H35" s="1030"/>
      <c r="I35" s="1031"/>
      <c r="J35" s="1031"/>
      <c r="K35" s="1031"/>
      <c r="L35" s="1032"/>
      <c r="M35" s="439"/>
      <c r="N35" s="439"/>
      <c r="O35" s="439"/>
      <c r="P35" s="439"/>
      <c r="Q35" s="439"/>
      <c r="R35" s="439"/>
      <c r="S35" s="439"/>
      <c r="T35" s="439"/>
      <c r="U35" s="439"/>
    </row>
    <row r="36" spans="2:21" ht="16" thickBot="1">
      <c r="B36" s="1024" t="s">
        <v>474</v>
      </c>
      <c r="C36" s="1026" t="s">
        <v>487</v>
      </c>
      <c r="D36" s="1026" t="s">
        <v>487</v>
      </c>
      <c r="E36" s="1026" t="s">
        <v>487</v>
      </c>
      <c r="F36" s="1026" t="s">
        <v>487</v>
      </c>
      <c r="G36" s="1026" t="s">
        <v>487</v>
      </c>
      <c r="H36" s="1026" t="s">
        <v>487</v>
      </c>
      <c r="I36" s="1029" t="s">
        <v>487</v>
      </c>
      <c r="J36" s="1029" t="s">
        <v>487</v>
      </c>
      <c r="K36" s="1017"/>
      <c r="L36" s="1017"/>
      <c r="M36" s="439"/>
      <c r="N36" s="439"/>
      <c r="O36" s="439"/>
      <c r="P36" s="439"/>
      <c r="Q36" s="439"/>
      <c r="R36" s="439"/>
      <c r="S36" s="439"/>
      <c r="T36" s="439"/>
      <c r="U36" s="439"/>
    </row>
    <row r="37" spans="2:21" ht="16" thickBot="1">
      <c r="B37" s="1024" t="s">
        <v>475</v>
      </c>
      <c r="C37" s="1026" t="s">
        <v>487</v>
      </c>
      <c r="D37" s="1026" t="s">
        <v>487</v>
      </c>
      <c r="E37" s="1026" t="s">
        <v>487</v>
      </c>
      <c r="F37" s="1026" t="s">
        <v>487</v>
      </c>
      <c r="G37" s="1026" t="s">
        <v>487</v>
      </c>
      <c r="H37" s="1026" t="s">
        <v>487</v>
      </c>
      <c r="I37" s="1029" t="s">
        <v>487</v>
      </c>
      <c r="J37" s="1029" t="s">
        <v>487</v>
      </c>
      <c r="K37" s="1017"/>
      <c r="L37" s="1017"/>
      <c r="M37" s="439"/>
      <c r="N37" s="439"/>
      <c r="O37" s="439"/>
      <c r="P37" s="439"/>
      <c r="Q37" s="439"/>
      <c r="R37" s="439"/>
      <c r="S37" s="439"/>
      <c r="T37" s="439"/>
      <c r="U37" s="439"/>
    </row>
    <row r="38" spans="2:21" ht="16" thickBot="1">
      <c r="B38" s="1024" t="s">
        <v>476</v>
      </c>
      <c r="C38" s="1026" t="s">
        <v>487</v>
      </c>
      <c r="D38" s="1026" t="s">
        <v>487</v>
      </c>
      <c r="E38" s="1026" t="s">
        <v>487</v>
      </c>
      <c r="F38" s="1026" t="s">
        <v>487</v>
      </c>
      <c r="G38" s="1026" t="s">
        <v>487</v>
      </c>
      <c r="H38" s="1026" t="s">
        <v>487</v>
      </c>
      <c r="I38" s="1029" t="s">
        <v>487</v>
      </c>
      <c r="J38" s="1029" t="s">
        <v>487</v>
      </c>
      <c r="K38" s="1017"/>
      <c r="L38" s="1017"/>
      <c r="M38" s="439"/>
      <c r="N38" s="439"/>
      <c r="O38" s="439"/>
      <c r="P38" s="439"/>
      <c r="Q38" s="439"/>
      <c r="R38" s="439"/>
      <c r="S38" s="439"/>
      <c r="T38" s="439"/>
      <c r="U38" s="439"/>
    </row>
    <row r="39" spans="2:21" ht="16" thickBot="1">
      <c r="B39" s="1024" t="s">
        <v>477</v>
      </c>
      <c r="C39" s="1026" t="s">
        <v>487</v>
      </c>
      <c r="D39" s="1026" t="s">
        <v>487</v>
      </c>
      <c r="E39" s="1026" t="s">
        <v>487</v>
      </c>
      <c r="F39" s="1026" t="s">
        <v>487</v>
      </c>
      <c r="G39" s="1026" t="s">
        <v>487</v>
      </c>
      <c r="H39" s="1026" t="s">
        <v>487</v>
      </c>
      <c r="I39" s="1029" t="s">
        <v>487</v>
      </c>
      <c r="J39" s="1029" t="s">
        <v>487</v>
      </c>
      <c r="K39" s="1017"/>
      <c r="L39" s="1017"/>
      <c r="M39" s="439"/>
      <c r="N39" s="439"/>
      <c r="O39" s="439"/>
      <c r="P39" s="439"/>
      <c r="Q39" s="439"/>
      <c r="R39" s="439"/>
      <c r="S39" s="439"/>
      <c r="T39" s="439"/>
      <c r="U39" s="439"/>
    </row>
    <row r="40" spans="2:21" ht="16" thickBot="1">
      <c r="B40" s="1024" t="s">
        <v>18</v>
      </c>
      <c r="C40" s="1026" t="s">
        <v>487</v>
      </c>
      <c r="D40" s="1026" t="s">
        <v>487</v>
      </c>
      <c r="E40" s="1026" t="s">
        <v>487</v>
      </c>
      <c r="F40" s="1026" t="s">
        <v>487</v>
      </c>
      <c r="G40" s="1026" t="s">
        <v>487</v>
      </c>
      <c r="H40" s="1026" t="s">
        <v>487</v>
      </c>
      <c r="I40" s="1029" t="s">
        <v>487</v>
      </c>
      <c r="J40" s="1029" t="s">
        <v>487</v>
      </c>
      <c r="K40" s="1017"/>
      <c r="L40" s="1017"/>
      <c r="M40" s="439"/>
      <c r="N40" s="439"/>
      <c r="O40" s="439"/>
      <c r="P40" s="439"/>
      <c r="Q40" s="439"/>
      <c r="R40" s="439"/>
      <c r="S40" s="439"/>
      <c r="T40" s="439"/>
      <c r="U40" s="439"/>
    </row>
    <row r="41" spans="2:21" ht="16" thickBot="1">
      <c r="B41" s="1020" t="s">
        <v>20</v>
      </c>
      <c r="C41" s="1030"/>
      <c r="D41" s="1030"/>
      <c r="E41" s="1030"/>
      <c r="F41" s="1030"/>
      <c r="G41" s="1030"/>
      <c r="H41" s="1030"/>
      <c r="I41" s="1031"/>
      <c r="J41" s="1031"/>
      <c r="K41" s="1031"/>
      <c r="L41" s="1032"/>
      <c r="M41" s="439"/>
      <c r="N41" s="439"/>
      <c r="O41" s="439"/>
      <c r="P41" s="439"/>
      <c r="Q41" s="439"/>
      <c r="R41" s="439"/>
      <c r="S41" s="439"/>
      <c r="T41" s="439"/>
      <c r="U41" s="439"/>
    </row>
    <row r="42" spans="2:21">
      <c r="B42" s="1033" t="s">
        <v>22</v>
      </c>
      <c r="C42" s="1034">
        <v>1.8</v>
      </c>
      <c r="D42" s="1035">
        <v>1.7</v>
      </c>
      <c r="E42" s="1035">
        <v>1.9</v>
      </c>
      <c r="F42" s="1035">
        <v>1.8</v>
      </c>
      <c r="G42" s="1034">
        <v>1.4</v>
      </c>
      <c r="H42" s="1036">
        <v>2</v>
      </c>
      <c r="I42" s="1037">
        <v>1.2</v>
      </c>
      <c r="J42" s="1038">
        <v>2</v>
      </c>
      <c r="K42" s="1038" t="s">
        <v>37</v>
      </c>
      <c r="L42" s="1038" t="s">
        <v>579</v>
      </c>
      <c r="M42" s="439"/>
      <c r="N42" s="439"/>
      <c r="O42" s="439"/>
      <c r="P42" s="439"/>
      <c r="Q42" s="439"/>
      <c r="R42" s="439"/>
      <c r="S42" s="439"/>
      <c r="T42" s="439"/>
      <c r="U42" s="439"/>
    </row>
    <row r="43" spans="2:21">
      <c r="B43" s="1033" t="s">
        <v>24</v>
      </c>
      <c r="C43" s="1036">
        <v>85</v>
      </c>
      <c r="D43" s="1036">
        <v>85</v>
      </c>
      <c r="E43" s="1036">
        <v>75</v>
      </c>
      <c r="F43" s="1036">
        <v>75</v>
      </c>
      <c r="G43" s="1036">
        <v>60</v>
      </c>
      <c r="H43" s="1036">
        <v>90</v>
      </c>
      <c r="I43" s="1038">
        <v>60</v>
      </c>
      <c r="J43" s="1038">
        <v>90</v>
      </c>
      <c r="K43" s="1038"/>
      <c r="L43" s="1038" t="s">
        <v>572</v>
      </c>
      <c r="M43" s="439"/>
      <c r="N43" s="439"/>
      <c r="O43" s="439"/>
      <c r="P43" s="439"/>
      <c r="Q43" s="439"/>
      <c r="R43" s="439"/>
      <c r="S43" s="439"/>
      <c r="T43" s="439"/>
      <c r="U43" s="439"/>
    </row>
    <row r="44" spans="2:21" ht="16" thickBot="1">
      <c r="B44" s="1024" t="s">
        <v>26</v>
      </c>
      <c r="C44" s="1026">
        <v>15</v>
      </c>
      <c r="D44" s="1026">
        <v>15</v>
      </c>
      <c r="E44" s="1026">
        <v>25</v>
      </c>
      <c r="F44" s="1026">
        <v>25</v>
      </c>
      <c r="G44" s="1026">
        <v>10</v>
      </c>
      <c r="H44" s="1026">
        <v>40</v>
      </c>
      <c r="I44" s="1017">
        <v>10</v>
      </c>
      <c r="J44" s="1017">
        <v>40</v>
      </c>
      <c r="K44" s="1017"/>
      <c r="L44" s="1017" t="s">
        <v>572</v>
      </c>
      <c r="M44" s="439"/>
      <c r="N44" s="439"/>
      <c r="O44" s="439"/>
      <c r="P44" s="439"/>
      <c r="Q44" s="439"/>
      <c r="R44" s="439"/>
      <c r="S44" s="439"/>
      <c r="T44" s="439"/>
      <c r="U44" s="439"/>
    </row>
    <row r="45" spans="2:21" ht="16" thickBot="1">
      <c r="B45" s="1024" t="s">
        <v>28</v>
      </c>
      <c r="C45" s="1026"/>
      <c r="D45" s="1026"/>
      <c r="E45" s="1026"/>
      <c r="F45" s="1026"/>
      <c r="G45" s="1026"/>
      <c r="H45" s="1026"/>
      <c r="I45" s="1017"/>
      <c r="J45" s="1017"/>
      <c r="K45" s="1017"/>
      <c r="L45" s="1017"/>
      <c r="M45" s="439"/>
      <c r="N45" s="439"/>
      <c r="O45" s="439"/>
      <c r="P45" s="439"/>
      <c r="Q45" s="439"/>
      <c r="R45" s="439"/>
      <c r="S45" s="439"/>
      <c r="T45" s="439"/>
      <c r="U45" s="439"/>
    </row>
    <row r="46" spans="2:21" ht="16" thickBot="1">
      <c r="B46" s="1024" t="s">
        <v>44</v>
      </c>
      <c r="C46" s="1026">
        <v>170</v>
      </c>
      <c r="D46" s="1039">
        <v>161.66830848299998</v>
      </c>
      <c r="E46" s="1039">
        <v>146.20992028901901</v>
      </c>
      <c r="F46" s="1039">
        <v>132.26302621356308</v>
      </c>
      <c r="G46" s="1017">
        <v>150</v>
      </c>
      <c r="H46" s="1017">
        <v>250</v>
      </c>
      <c r="I46" s="1017">
        <v>100</v>
      </c>
      <c r="J46" s="1017">
        <v>150</v>
      </c>
      <c r="K46" s="1017"/>
      <c r="L46" s="1017"/>
      <c r="M46" s="439"/>
      <c r="N46" s="439"/>
      <c r="O46" s="439"/>
      <c r="P46" s="439"/>
      <c r="Q46" s="439"/>
      <c r="R46" s="439"/>
      <c r="S46" s="439"/>
      <c r="T46" s="439"/>
      <c r="U46" s="439"/>
    </row>
    <row r="47" spans="2:21" ht="16" thickBot="1">
      <c r="B47" s="1024" t="s">
        <v>482</v>
      </c>
      <c r="C47" s="1017">
        <v>0</v>
      </c>
      <c r="D47" s="1017">
        <v>0</v>
      </c>
      <c r="E47" s="1017">
        <v>0</v>
      </c>
      <c r="F47" s="1017">
        <v>0</v>
      </c>
      <c r="G47" s="1017">
        <v>0</v>
      </c>
      <c r="H47" s="1017">
        <v>0</v>
      </c>
      <c r="I47" s="1017">
        <v>0</v>
      </c>
      <c r="J47" s="1017">
        <v>0</v>
      </c>
      <c r="K47" s="1017"/>
      <c r="L47" s="1017" t="s">
        <v>572</v>
      </c>
      <c r="M47" s="439"/>
      <c r="N47" s="439"/>
      <c r="O47" s="439"/>
      <c r="P47" s="439"/>
      <c r="Q47" s="439"/>
      <c r="R47" s="439"/>
      <c r="S47" s="439"/>
      <c r="T47" s="439"/>
      <c r="U47" s="439"/>
    </row>
    <row r="48" spans="2:21" ht="16" thickBot="1">
      <c r="B48" s="429"/>
      <c r="C48" s="430"/>
      <c r="D48" s="430"/>
      <c r="E48" s="430"/>
      <c r="F48" s="430"/>
      <c r="G48" s="430"/>
      <c r="H48" s="430"/>
      <c r="I48" s="430"/>
      <c r="J48" s="430"/>
      <c r="K48" s="430"/>
      <c r="L48" s="432"/>
      <c r="M48" s="439"/>
      <c r="N48" s="439"/>
      <c r="O48" s="439"/>
      <c r="P48" s="439"/>
      <c r="Q48" s="439"/>
      <c r="R48" s="439"/>
      <c r="S48" s="439"/>
      <c r="T48" s="439"/>
      <c r="U48" s="439"/>
    </row>
    <row r="49" spans="2:21" ht="16" thickBot="1">
      <c r="B49" s="429" t="s">
        <v>499</v>
      </c>
      <c r="C49" s="430"/>
      <c r="D49" s="430"/>
      <c r="E49" s="430"/>
      <c r="F49" s="430"/>
      <c r="G49" s="430"/>
      <c r="H49" s="430"/>
      <c r="I49" s="430"/>
      <c r="J49" s="430"/>
      <c r="K49" s="430"/>
      <c r="L49" s="432"/>
      <c r="M49" s="439"/>
      <c r="N49" s="439"/>
      <c r="O49" s="439"/>
      <c r="P49" s="439"/>
      <c r="Q49" s="439"/>
      <c r="R49" s="439"/>
      <c r="S49" s="439"/>
      <c r="T49" s="439"/>
      <c r="U49" s="439"/>
    </row>
    <row r="50" spans="2:21" ht="16" thickBot="1">
      <c r="B50" s="617" t="s">
        <v>503</v>
      </c>
      <c r="C50" s="540">
        <f>C42/C$23*Euro</f>
        <v>3.3525</v>
      </c>
      <c r="D50" s="540">
        <f>D42/D$23*Euro</f>
        <v>3.1662499999999998</v>
      </c>
      <c r="E50" s="540">
        <f>E42/E$23*Euro</f>
        <v>2.3591666666666664</v>
      </c>
      <c r="F50" s="540">
        <f>F42/F$23*Euro</f>
        <v>2.2349999999999999</v>
      </c>
      <c r="G50" s="616"/>
      <c r="H50" s="616"/>
      <c r="I50" s="616"/>
      <c r="J50" s="616"/>
      <c r="K50" s="616"/>
      <c r="L50" s="616"/>
      <c r="M50" s="439"/>
      <c r="N50" s="439"/>
      <c r="O50" s="439"/>
      <c r="P50" s="439"/>
      <c r="Q50" s="439"/>
      <c r="R50" s="439"/>
      <c r="S50" s="439"/>
      <c r="T50" s="439"/>
      <c r="U50" s="439"/>
    </row>
    <row r="51" spans="2:21" ht="16" thickBot="1">
      <c r="B51" s="617" t="s">
        <v>504</v>
      </c>
      <c r="C51" s="540">
        <f>C45/C$23*Euro</f>
        <v>0</v>
      </c>
      <c r="D51" s="540">
        <f>D45/D$23*Euro</f>
        <v>0</v>
      </c>
      <c r="E51" s="540">
        <f>E45/E$23*Euro</f>
        <v>0</v>
      </c>
      <c r="F51" s="540">
        <f>F45/F$23*Euro</f>
        <v>0</v>
      </c>
      <c r="G51" s="616"/>
      <c r="H51" s="616"/>
      <c r="I51" s="616"/>
      <c r="J51" s="616"/>
      <c r="K51" s="616"/>
      <c r="L51" s="616"/>
      <c r="M51" s="439"/>
      <c r="N51" s="439"/>
      <c r="O51" s="439"/>
      <c r="P51" s="439"/>
      <c r="Q51" s="439"/>
      <c r="R51" s="439"/>
      <c r="S51" s="439"/>
      <c r="T51" s="439"/>
      <c r="U51" s="439"/>
    </row>
    <row r="52" spans="2:21" ht="16" thickBot="1">
      <c r="B52" s="617"/>
      <c r="C52" s="616"/>
      <c r="D52" s="616"/>
      <c r="E52" s="616"/>
      <c r="F52" s="616"/>
      <c r="G52" s="616"/>
      <c r="H52" s="616"/>
      <c r="I52" s="616"/>
      <c r="J52" s="616"/>
      <c r="K52" s="616"/>
      <c r="L52" s="616"/>
      <c r="M52" s="439"/>
      <c r="N52" s="439"/>
      <c r="O52" s="439"/>
      <c r="P52" s="439"/>
      <c r="Q52" s="439"/>
      <c r="R52" s="439"/>
      <c r="S52" s="439"/>
      <c r="T52" s="439"/>
      <c r="U52" s="439"/>
    </row>
    <row r="53" spans="2:21" ht="16" thickBot="1">
      <c r="B53" s="615" t="s">
        <v>502</v>
      </c>
      <c r="C53" s="540">
        <f>C46/C23/1000*Euro</f>
        <v>0.31662500000000005</v>
      </c>
      <c r="D53" s="540">
        <f>D46/D23/1000*Euro</f>
        <v>0.30110722454958749</v>
      </c>
      <c r="E53" s="540">
        <f>E46/E23/1000*Euro</f>
        <v>0.18154398435886526</v>
      </c>
      <c r="F53" s="540">
        <f>F46/F23/1000*Euro</f>
        <v>0.16422659088184083</v>
      </c>
      <c r="G53" s="616"/>
      <c r="H53" s="616"/>
      <c r="I53" s="616"/>
      <c r="J53" s="616"/>
      <c r="K53" s="616"/>
      <c r="L53" s="616"/>
      <c r="M53" s="439"/>
      <c r="N53" s="439"/>
      <c r="O53" s="439"/>
      <c r="P53" s="439"/>
      <c r="Q53" s="439"/>
      <c r="R53" s="439"/>
      <c r="S53" s="439"/>
      <c r="T53" s="439"/>
      <c r="U53" s="439"/>
    </row>
    <row r="54" spans="2:21">
      <c r="B54" s="526" t="s">
        <v>505</v>
      </c>
      <c r="C54" s="514">
        <f>C47/3.6*Euro</f>
        <v>0</v>
      </c>
      <c r="D54" s="514">
        <f>D47/3.6*Euro</f>
        <v>0</v>
      </c>
      <c r="E54" s="514">
        <f>E47/3.6*Euro</f>
        <v>0</v>
      </c>
      <c r="F54" s="514">
        <f>F47/3.6*Euro</f>
        <v>0</v>
      </c>
      <c r="G54" s="514"/>
      <c r="H54" s="514"/>
      <c r="I54" s="514"/>
      <c r="J54" s="514"/>
      <c r="K54" s="514"/>
      <c r="L54" s="514"/>
      <c r="M54" s="439"/>
      <c r="N54" s="439"/>
      <c r="O54" s="439"/>
      <c r="P54" s="439"/>
      <c r="Q54" s="439"/>
      <c r="R54" s="439"/>
      <c r="S54" s="439"/>
      <c r="T54" s="439"/>
      <c r="U54" s="439"/>
    </row>
    <row r="55" spans="2:21">
      <c r="M55" s="439"/>
      <c r="N55" s="439"/>
      <c r="O55" s="439"/>
      <c r="P55" s="439"/>
      <c r="Q55" s="439"/>
      <c r="R55" s="439"/>
      <c r="S55" s="439"/>
      <c r="T55" s="439"/>
      <c r="U55" s="439"/>
    </row>
    <row r="56" spans="2:21">
      <c r="B56" s="439"/>
      <c r="C56" s="439"/>
      <c r="D56" s="439"/>
      <c r="E56" s="439"/>
      <c r="F56" s="439"/>
      <c r="G56" s="439"/>
      <c r="H56" s="439"/>
      <c r="I56" s="439"/>
      <c r="J56" s="439"/>
      <c r="K56" s="439"/>
      <c r="L56" s="439"/>
      <c r="M56" s="439"/>
      <c r="N56" s="439"/>
      <c r="O56" s="439"/>
      <c r="P56" s="439"/>
      <c r="Q56" s="439"/>
      <c r="R56" s="439"/>
      <c r="S56" s="439"/>
      <c r="T56" s="439"/>
      <c r="U56" s="439"/>
    </row>
    <row r="57" spans="2:21" ht="16" thickBot="1">
      <c r="B57" s="439"/>
      <c r="C57" s="439"/>
      <c r="D57" s="439"/>
      <c r="E57" s="439"/>
      <c r="F57" s="439"/>
      <c r="G57" s="439"/>
      <c r="H57" s="439"/>
      <c r="I57" s="439"/>
      <c r="J57" s="439"/>
      <c r="K57" s="439"/>
      <c r="L57" s="439"/>
      <c r="M57" s="439"/>
      <c r="N57" s="439"/>
      <c r="O57" s="439"/>
      <c r="P57" s="439"/>
      <c r="Q57" s="439"/>
      <c r="R57" s="439"/>
      <c r="S57" s="439"/>
      <c r="T57" s="439"/>
      <c r="U57" s="439"/>
    </row>
    <row r="58" spans="2:21" ht="15.75" customHeight="1" thickBot="1">
      <c r="B58" s="1041" t="s">
        <v>0</v>
      </c>
      <c r="C58" s="1249" t="s">
        <v>802</v>
      </c>
      <c r="D58" s="1250"/>
      <c r="E58" s="1250"/>
      <c r="F58" s="1250"/>
      <c r="G58" s="1250"/>
      <c r="H58" s="1250"/>
      <c r="I58" s="1250"/>
      <c r="J58" s="1250"/>
      <c r="K58" s="1250"/>
      <c r="L58" s="1251"/>
      <c r="M58" s="439"/>
      <c r="N58" s="439"/>
      <c r="O58" s="439"/>
      <c r="P58" s="439"/>
      <c r="Q58" s="439"/>
      <c r="R58" s="439"/>
      <c r="S58" s="439"/>
      <c r="T58" s="439"/>
      <c r="U58" s="439"/>
    </row>
    <row r="59" spans="2:21" ht="15.75" customHeight="1" thickBot="1">
      <c r="B59" s="1042"/>
      <c r="C59" s="1255">
        <v>2015</v>
      </c>
      <c r="D59" s="1256">
        <v>2020</v>
      </c>
      <c r="E59" s="1256">
        <v>2030</v>
      </c>
      <c r="F59" s="1252">
        <v>2050</v>
      </c>
      <c r="G59" s="1254" t="s">
        <v>467</v>
      </c>
      <c r="H59" s="1252"/>
      <c r="I59" s="1255" t="s">
        <v>468</v>
      </c>
      <c r="J59" s="1252"/>
      <c r="K59" s="1256" t="s">
        <v>2</v>
      </c>
      <c r="L59" s="1256" t="s">
        <v>3</v>
      </c>
      <c r="M59" s="439"/>
      <c r="N59" s="439"/>
      <c r="O59" s="439"/>
      <c r="P59" s="439"/>
      <c r="Q59" s="439"/>
      <c r="R59" s="439"/>
      <c r="S59" s="439"/>
      <c r="T59" s="439"/>
      <c r="U59" s="439"/>
    </row>
    <row r="60" spans="2:21" ht="16" thickBot="1">
      <c r="B60" s="1043" t="s">
        <v>4</v>
      </c>
      <c r="C60" s="1259"/>
      <c r="D60" s="1257"/>
      <c r="E60" s="1257"/>
      <c r="F60" s="1253"/>
      <c r="G60" s="1044" t="s">
        <v>469</v>
      </c>
      <c r="H60" s="1045" t="s">
        <v>470</v>
      </c>
      <c r="I60" s="1045" t="s">
        <v>469</v>
      </c>
      <c r="J60" s="1046" t="s">
        <v>470</v>
      </c>
      <c r="K60" s="1257"/>
      <c r="L60" s="1257"/>
      <c r="M60" s="439"/>
      <c r="N60" s="439"/>
      <c r="O60" s="439"/>
      <c r="P60" s="439"/>
      <c r="Q60" s="439"/>
      <c r="R60" s="439"/>
      <c r="S60" s="439"/>
      <c r="T60" s="439"/>
      <c r="U60" s="439"/>
    </row>
    <row r="61" spans="2:21" ht="16" thickBot="1">
      <c r="B61" s="1047" t="s">
        <v>5</v>
      </c>
      <c r="C61" s="1058">
        <v>2.5</v>
      </c>
      <c r="D61" s="1058">
        <v>2.5</v>
      </c>
      <c r="E61" s="1058">
        <v>3.5</v>
      </c>
      <c r="F61" s="1058">
        <v>3.5</v>
      </c>
      <c r="G61" s="1040">
        <v>2</v>
      </c>
      <c r="H61" s="1040">
        <v>5</v>
      </c>
      <c r="I61" s="1040">
        <v>2</v>
      </c>
      <c r="J61" s="1040">
        <v>5</v>
      </c>
      <c r="K61" s="1040"/>
      <c r="L61" s="1040" t="s">
        <v>571</v>
      </c>
      <c r="M61" s="439"/>
      <c r="N61" s="439"/>
      <c r="O61" s="439"/>
      <c r="P61" s="439"/>
      <c r="Q61" s="439"/>
      <c r="R61" s="439"/>
      <c r="S61" s="439"/>
      <c r="T61" s="439"/>
      <c r="U61" s="439"/>
    </row>
    <row r="62" spans="2:21" ht="16" thickBot="1">
      <c r="B62" s="1047" t="s">
        <v>77</v>
      </c>
      <c r="C62" s="1040">
        <v>0</v>
      </c>
      <c r="D62" s="1040">
        <v>0</v>
      </c>
      <c r="E62" s="1040">
        <v>0</v>
      </c>
      <c r="F62" s="1040">
        <v>0</v>
      </c>
      <c r="G62" s="1040">
        <v>0</v>
      </c>
      <c r="H62" s="1040">
        <v>0</v>
      </c>
      <c r="I62" s="1040">
        <v>0</v>
      </c>
      <c r="J62" s="1040">
        <v>0</v>
      </c>
      <c r="K62" s="1040"/>
      <c r="L62" s="1040"/>
      <c r="M62" s="439"/>
      <c r="N62" s="439"/>
      <c r="O62" s="439"/>
      <c r="P62" s="439"/>
      <c r="Q62" s="439"/>
      <c r="R62" s="439"/>
      <c r="S62" s="439"/>
      <c r="T62" s="439"/>
      <c r="U62" s="439"/>
    </row>
    <row r="63" spans="2:21" ht="16" thickBot="1">
      <c r="B63" s="1047" t="s">
        <v>7</v>
      </c>
      <c r="C63" s="1040">
        <v>60</v>
      </c>
      <c r="D63" s="1040">
        <v>60</v>
      </c>
      <c r="E63" s="1040">
        <v>60</v>
      </c>
      <c r="F63" s="1040">
        <v>60</v>
      </c>
      <c r="G63" s="1040">
        <v>50</v>
      </c>
      <c r="H63" s="1040">
        <v>70</v>
      </c>
      <c r="I63" s="1040">
        <v>40</v>
      </c>
      <c r="J63" s="1040">
        <v>80</v>
      </c>
      <c r="K63" s="1040" t="s">
        <v>23</v>
      </c>
      <c r="L63" s="1040" t="s">
        <v>572</v>
      </c>
      <c r="M63" s="439"/>
      <c r="N63" s="439"/>
      <c r="O63" s="439"/>
      <c r="P63" s="439"/>
      <c r="Q63" s="439"/>
      <c r="R63" s="439"/>
      <c r="S63" s="439"/>
      <c r="T63" s="439"/>
      <c r="U63" s="439"/>
    </row>
    <row r="64" spans="2:21" ht="16" thickBot="1">
      <c r="B64" s="1047" t="s">
        <v>8</v>
      </c>
      <c r="C64" s="1040">
        <v>0</v>
      </c>
      <c r="D64" s="1040">
        <v>0</v>
      </c>
      <c r="E64" s="1040">
        <v>100</v>
      </c>
      <c r="F64" s="1040">
        <v>100</v>
      </c>
      <c r="G64" s="1040">
        <v>0</v>
      </c>
      <c r="H64" s="1040">
        <v>100</v>
      </c>
      <c r="I64" s="1040">
        <v>0</v>
      </c>
      <c r="J64" s="1040">
        <v>100</v>
      </c>
      <c r="K64" s="1040" t="s">
        <v>23</v>
      </c>
      <c r="L64" s="1040">
        <v>1.2</v>
      </c>
      <c r="M64" s="439"/>
      <c r="N64" s="439"/>
      <c r="O64" s="439"/>
      <c r="P64" s="439"/>
      <c r="Q64" s="439"/>
      <c r="R64" s="439"/>
      <c r="S64" s="439"/>
      <c r="T64" s="439"/>
      <c r="U64" s="439"/>
    </row>
    <row r="65" spans="2:21" ht="16" thickBot="1">
      <c r="B65" s="1047" t="s">
        <v>86</v>
      </c>
      <c r="C65" s="1040">
        <v>480</v>
      </c>
      <c r="D65" s="1040">
        <v>490</v>
      </c>
      <c r="E65" s="1040">
        <v>340</v>
      </c>
      <c r="F65" s="1040">
        <v>360</v>
      </c>
      <c r="G65" s="1040">
        <v>330</v>
      </c>
      <c r="H65" s="1040">
        <v>510</v>
      </c>
      <c r="I65" s="1040">
        <v>330</v>
      </c>
      <c r="J65" s="1040">
        <v>520</v>
      </c>
      <c r="K65" s="1040" t="s">
        <v>478</v>
      </c>
      <c r="L65" s="1040" t="s">
        <v>574</v>
      </c>
      <c r="M65" s="439"/>
      <c r="N65" s="439"/>
      <c r="O65" s="439"/>
      <c r="P65" s="439"/>
      <c r="Q65" s="439"/>
      <c r="R65" s="439"/>
      <c r="S65" s="439"/>
      <c r="T65" s="439"/>
      <c r="U65" s="439"/>
    </row>
    <row r="66" spans="2:21" ht="16" thickBot="1">
      <c r="B66" s="1047" t="s">
        <v>9</v>
      </c>
      <c r="C66" s="1040">
        <v>480</v>
      </c>
      <c r="D66" s="1040">
        <v>490</v>
      </c>
      <c r="E66" s="1040">
        <v>340</v>
      </c>
      <c r="F66" s="1040">
        <v>360</v>
      </c>
      <c r="G66" s="1040">
        <v>330</v>
      </c>
      <c r="H66" s="1040">
        <v>510</v>
      </c>
      <c r="I66" s="1040">
        <v>330</v>
      </c>
      <c r="J66" s="1040">
        <v>520</v>
      </c>
      <c r="K66" s="1040" t="s">
        <v>803</v>
      </c>
      <c r="L66" s="1040" t="s">
        <v>574</v>
      </c>
      <c r="M66" s="439"/>
      <c r="N66" s="439"/>
      <c r="O66" s="439"/>
      <c r="P66" s="439"/>
      <c r="Q66" s="439"/>
      <c r="R66" s="439"/>
      <c r="S66" s="439"/>
      <c r="T66" s="439"/>
      <c r="U66" s="439"/>
    </row>
    <row r="67" spans="2:21" ht="16" thickBot="1">
      <c r="B67" s="1047" t="s">
        <v>472</v>
      </c>
      <c r="C67" s="1040">
        <v>0</v>
      </c>
      <c r="D67" s="1040">
        <v>0</v>
      </c>
      <c r="E67" s="1040">
        <v>0</v>
      </c>
      <c r="F67" s="1040">
        <v>0</v>
      </c>
      <c r="G67" s="1040">
        <v>0</v>
      </c>
      <c r="H67" s="1040">
        <v>0</v>
      </c>
      <c r="I67" s="1040">
        <v>0</v>
      </c>
      <c r="J67" s="1040">
        <v>0</v>
      </c>
      <c r="K67" s="1040"/>
      <c r="L67" s="1040"/>
      <c r="M67" s="439"/>
      <c r="N67" s="439"/>
      <c r="O67" s="439"/>
      <c r="P67" s="439"/>
      <c r="Q67" s="439"/>
      <c r="R67" s="439"/>
      <c r="S67" s="439"/>
      <c r="T67" s="439"/>
      <c r="U67" s="439"/>
    </row>
    <row r="68" spans="2:21" ht="16" thickBot="1">
      <c r="B68" s="1047" t="s">
        <v>10</v>
      </c>
      <c r="C68" s="1040">
        <v>12</v>
      </c>
      <c r="D68" s="1040">
        <v>12</v>
      </c>
      <c r="E68" s="1040">
        <v>12</v>
      </c>
      <c r="F68" s="1040">
        <v>12</v>
      </c>
      <c r="G68" s="1040">
        <v>10</v>
      </c>
      <c r="H68" s="1040">
        <v>15</v>
      </c>
      <c r="I68" s="1040">
        <v>10</v>
      </c>
      <c r="J68" s="1040">
        <v>15</v>
      </c>
      <c r="K68" s="1040"/>
      <c r="L68" s="1040"/>
      <c r="M68" s="439"/>
      <c r="N68" s="439"/>
      <c r="O68" s="439"/>
      <c r="P68" s="439"/>
      <c r="Q68" s="439"/>
      <c r="R68" s="439"/>
      <c r="S68" s="439"/>
      <c r="T68" s="439"/>
      <c r="U68" s="439"/>
    </row>
    <row r="69" spans="2:21" ht="16" thickBot="1">
      <c r="B69" s="1043" t="s">
        <v>488</v>
      </c>
      <c r="C69" s="1049"/>
      <c r="D69" s="1049"/>
      <c r="E69" s="1049"/>
      <c r="F69" s="1049"/>
      <c r="G69" s="1049"/>
      <c r="H69" s="1049"/>
      <c r="I69" s="1049"/>
      <c r="J69" s="1049"/>
      <c r="K69" s="1049"/>
      <c r="L69" s="1040"/>
      <c r="M69" s="439"/>
      <c r="N69" s="439"/>
      <c r="O69" s="439"/>
      <c r="P69" s="439"/>
      <c r="Q69" s="439"/>
      <c r="R69" s="439"/>
      <c r="S69" s="439"/>
      <c r="T69" s="439"/>
      <c r="U69" s="439"/>
    </row>
    <row r="70" spans="2:21" ht="16" thickBot="1">
      <c r="B70" s="1047" t="s">
        <v>578</v>
      </c>
      <c r="C70" s="1050">
        <v>100</v>
      </c>
      <c r="D70" s="1050">
        <v>100</v>
      </c>
      <c r="E70" s="1050">
        <v>100</v>
      </c>
      <c r="F70" s="1050">
        <v>100</v>
      </c>
      <c r="G70" s="1050">
        <v>50</v>
      </c>
      <c r="H70" s="1050">
        <v>100</v>
      </c>
      <c r="I70" s="1050">
        <v>50</v>
      </c>
      <c r="J70" s="1050">
        <v>100</v>
      </c>
      <c r="K70" s="1050"/>
      <c r="L70" s="1050" t="s">
        <v>572</v>
      </c>
      <c r="M70" s="439"/>
      <c r="N70" s="439"/>
      <c r="O70" s="439"/>
      <c r="P70" s="439"/>
      <c r="Q70" s="439"/>
      <c r="R70" s="439"/>
      <c r="S70" s="439"/>
      <c r="T70" s="439"/>
      <c r="U70" s="439"/>
    </row>
    <row r="71" spans="2:21" ht="16" thickBot="1">
      <c r="B71" s="1047" t="s">
        <v>492</v>
      </c>
      <c r="C71" s="1050">
        <v>0</v>
      </c>
      <c r="D71" s="1050">
        <v>0</v>
      </c>
      <c r="E71" s="1050">
        <v>0</v>
      </c>
      <c r="F71" s="1050">
        <v>0</v>
      </c>
      <c r="G71" s="1050">
        <v>0</v>
      </c>
      <c r="H71" s="1050">
        <v>0</v>
      </c>
      <c r="I71" s="1050">
        <v>0</v>
      </c>
      <c r="J71" s="1050">
        <v>0</v>
      </c>
      <c r="K71" s="1050"/>
      <c r="L71" s="1050" t="s">
        <v>572</v>
      </c>
      <c r="M71" s="439"/>
      <c r="N71" s="439"/>
      <c r="O71" s="439"/>
      <c r="P71" s="439"/>
      <c r="Q71" s="439"/>
      <c r="R71" s="439"/>
      <c r="S71" s="439"/>
      <c r="T71" s="439"/>
      <c r="U71" s="439"/>
    </row>
    <row r="72" spans="2:21" ht="16" thickBot="1">
      <c r="B72" s="1047" t="s">
        <v>493</v>
      </c>
      <c r="C72" s="1050">
        <v>0</v>
      </c>
      <c r="D72" s="1050">
        <v>0</v>
      </c>
      <c r="E72" s="1050">
        <v>0</v>
      </c>
      <c r="F72" s="1050">
        <v>0</v>
      </c>
      <c r="G72" s="1050">
        <v>0</v>
      </c>
      <c r="H72" s="1050">
        <v>0</v>
      </c>
      <c r="I72" s="1050">
        <v>0</v>
      </c>
      <c r="J72" s="1050">
        <v>0</v>
      </c>
      <c r="K72" s="1050"/>
      <c r="L72" s="1050" t="s">
        <v>572</v>
      </c>
      <c r="M72" s="439"/>
      <c r="N72" s="439"/>
      <c r="O72" s="439"/>
      <c r="P72" s="439"/>
      <c r="Q72" s="439"/>
      <c r="R72" s="439"/>
      <c r="S72" s="439"/>
      <c r="T72" s="439"/>
      <c r="U72" s="439"/>
    </row>
    <row r="73" spans="2:21" ht="16" thickBot="1">
      <c r="B73" s="1043" t="s">
        <v>11</v>
      </c>
      <c r="C73" s="1051"/>
      <c r="D73" s="1051"/>
      <c r="E73" s="1051"/>
      <c r="F73" s="1051"/>
      <c r="G73" s="1051"/>
      <c r="H73" s="1051"/>
      <c r="I73" s="1051"/>
      <c r="J73" s="1051"/>
      <c r="K73" s="1051"/>
      <c r="L73" s="1052"/>
      <c r="M73" s="439"/>
      <c r="N73" s="439"/>
      <c r="O73" s="439"/>
      <c r="P73" s="439"/>
      <c r="Q73" s="439"/>
      <c r="R73" s="439"/>
      <c r="S73" s="439"/>
      <c r="T73" s="439"/>
      <c r="U73" s="439"/>
    </row>
    <row r="74" spans="2:21" ht="16" thickBot="1">
      <c r="B74" s="1047" t="s">
        <v>474</v>
      </c>
      <c r="C74" s="1050" t="s">
        <v>487</v>
      </c>
      <c r="D74" s="1050" t="s">
        <v>487</v>
      </c>
      <c r="E74" s="1050" t="s">
        <v>487</v>
      </c>
      <c r="F74" s="1050" t="s">
        <v>487</v>
      </c>
      <c r="G74" s="1050" t="s">
        <v>487</v>
      </c>
      <c r="H74" s="1050" t="s">
        <v>487</v>
      </c>
      <c r="I74" s="1050" t="s">
        <v>487</v>
      </c>
      <c r="J74" s="1050" t="s">
        <v>487</v>
      </c>
      <c r="K74" s="1040"/>
      <c r="L74" s="1040"/>
      <c r="M74" s="439"/>
      <c r="N74" s="439"/>
      <c r="O74" s="439"/>
      <c r="P74" s="439"/>
      <c r="Q74" s="439"/>
      <c r="R74" s="439"/>
      <c r="S74" s="439"/>
      <c r="T74" s="439"/>
      <c r="U74" s="439"/>
    </row>
    <row r="75" spans="2:21" ht="16" thickBot="1">
      <c r="B75" s="1047" t="s">
        <v>475</v>
      </c>
      <c r="C75" s="1050" t="s">
        <v>487</v>
      </c>
      <c r="D75" s="1050" t="s">
        <v>487</v>
      </c>
      <c r="E75" s="1050" t="s">
        <v>487</v>
      </c>
      <c r="F75" s="1050" t="s">
        <v>487</v>
      </c>
      <c r="G75" s="1050" t="s">
        <v>487</v>
      </c>
      <c r="H75" s="1050" t="s">
        <v>487</v>
      </c>
      <c r="I75" s="1050" t="s">
        <v>487</v>
      </c>
      <c r="J75" s="1050" t="s">
        <v>487</v>
      </c>
      <c r="K75" s="1040"/>
      <c r="L75" s="1040"/>
      <c r="M75" s="439"/>
      <c r="N75" s="439"/>
      <c r="O75" s="439"/>
      <c r="P75" s="439"/>
      <c r="Q75" s="439"/>
      <c r="R75" s="439"/>
      <c r="S75" s="439"/>
      <c r="T75" s="439"/>
      <c r="U75" s="439"/>
    </row>
    <row r="76" spans="2:21" ht="16" thickBot="1">
      <c r="B76" s="1047" t="s">
        <v>476</v>
      </c>
      <c r="C76" s="1050" t="s">
        <v>487</v>
      </c>
      <c r="D76" s="1050" t="s">
        <v>487</v>
      </c>
      <c r="E76" s="1050" t="s">
        <v>487</v>
      </c>
      <c r="F76" s="1050" t="s">
        <v>487</v>
      </c>
      <c r="G76" s="1050" t="s">
        <v>487</v>
      </c>
      <c r="H76" s="1050" t="s">
        <v>487</v>
      </c>
      <c r="I76" s="1050" t="s">
        <v>487</v>
      </c>
      <c r="J76" s="1050" t="s">
        <v>487</v>
      </c>
      <c r="K76" s="1040"/>
      <c r="L76" s="1040"/>
      <c r="M76" s="439"/>
      <c r="N76" s="439"/>
      <c r="O76" s="439"/>
      <c r="P76" s="439"/>
      <c r="Q76" s="439"/>
      <c r="R76" s="439"/>
      <c r="S76" s="439"/>
      <c r="T76" s="439"/>
      <c r="U76" s="439"/>
    </row>
    <row r="77" spans="2:21" ht="16" thickBot="1">
      <c r="B77" s="1047" t="s">
        <v>477</v>
      </c>
      <c r="C77" s="1050" t="s">
        <v>487</v>
      </c>
      <c r="D77" s="1050" t="s">
        <v>487</v>
      </c>
      <c r="E77" s="1050" t="s">
        <v>487</v>
      </c>
      <c r="F77" s="1050" t="s">
        <v>487</v>
      </c>
      <c r="G77" s="1050" t="s">
        <v>487</v>
      </c>
      <c r="H77" s="1050" t="s">
        <v>487</v>
      </c>
      <c r="I77" s="1050" t="s">
        <v>487</v>
      </c>
      <c r="J77" s="1050" t="s">
        <v>487</v>
      </c>
      <c r="K77" s="1040"/>
      <c r="L77" s="1040"/>
      <c r="M77" s="439"/>
      <c r="N77" s="439"/>
      <c r="O77" s="439"/>
      <c r="P77" s="439"/>
      <c r="Q77" s="439"/>
      <c r="R77" s="439"/>
      <c r="S77" s="439"/>
      <c r="T77" s="439"/>
      <c r="U77" s="439"/>
    </row>
    <row r="78" spans="2:21" ht="16" thickBot="1">
      <c r="B78" s="1047" t="s">
        <v>18</v>
      </c>
      <c r="C78" s="1050" t="s">
        <v>487</v>
      </c>
      <c r="D78" s="1050" t="s">
        <v>487</v>
      </c>
      <c r="E78" s="1050" t="s">
        <v>487</v>
      </c>
      <c r="F78" s="1050" t="s">
        <v>487</v>
      </c>
      <c r="G78" s="1050" t="s">
        <v>487</v>
      </c>
      <c r="H78" s="1050" t="s">
        <v>487</v>
      </c>
      <c r="I78" s="1050" t="s">
        <v>487</v>
      </c>
      <c r="J78" s="1050" t="s">
        <v>487</v>
      </c>
      <c r="K78" s="1040"/>
      <c r="L78" s="1040"/>
      <c r="M78" s="439"/>
      <c r="N78" s="439"/>
      <c r="O78" s="439"/>
      <c r="P78" s="439"/>
      <c r="Q78" s="439"/>
      <c r="R78" s="439"/>
      <c r="S78" s="439"/>
      <c r="T78" s="439"/>
      <c r="U78" s="439"/>
    </row>
    <row r="79" spans="2:21" ht="16" thickBot="1">
      <c r="B79" s="1043" t="s">
        <v>20</v>
      </c>
      <c r="C79" s="1051"/>
      <c r="D79" s="1051"/>
      <c r="E79" s="1051"/>
      <c r="F79" s="1051"/>
      <c r="G79" s="1051"/>
      <c r="H79" s="1051"/>
      <c r="I79" s="1051"/>
      <c r="J79" s="1051"/>
      <c r="K79" s="1051"/>
      <c r="L79" s="1052"/>
      <c r="M79" s="439"/>
      <c r="N79" s="439"/>
      <c r="O79" s="439"/>
      <c r="P79" s="439"/>
      <c r="Q79" s="439"/>
      <c r="R79" s="439"/>
      <c r="S79" s="439"/>
      <c r="T79" s="439"/>
      <c r="U79" s="439"/>
    </row>
    <row r="80" spans="2:21">
      <c r="B80" s="1053" t="s">
        <v>22</v>
      </c>
      <c r="C80" s="1056">
        <v>1.2</v>
      </c>
      <c r="D80" s="1054">
        <v>1.1000000000000001</v>
      </c>
      <c r="E80" s="1054">
        <v>1.8</v>
      </c>
      <c r="F80" s="1054">
        <v>1.7</v>
      </c>
      <c r="G80" s="1056">
        <v>0.8</v>
      </c>
      <c r="H80" s="1057">
        <v>2</v>
      </c>
      <c r="I80" s="1056">
        <v>0.8</v>
      </c>
      <c r="J80" s="1057">
        <v>2</v>
      </c>
      <c r="K80" s="1057" t="s">
        <v>37</v>
      </c>
      <c r="L80" s="1057" t="s">
        <v>579</v>
      </c>
      <c r="M80" s="439"/>
      <c r="N80" s="439"/>
      <c r="O80" s="439"/>
      <c r="P80" s="439"/>
      <c r="Q80" s="439"/>
      <c r="R80" s="439"/>
      <c r="S80" s="439"/>
      <c r="T80" s="439"/>
      <c r="U80" s="439"/>
    </row>
    <row r="81" spans="2:21">
      <c r="B81" s="1053" t="s">
        <v>24</v>
      </c>
      <c r="C81" s="1057">
        <v>75</v>
      </c>
      <c r="D81" s="1055">
        <v>75</v>
      </c>
      <c r="E81" s="1055">
        <v>70</v>
      </c>
      <c r="F81" s="1055">
        <v>70</v>
      </c>
      <c r="G81" s="1057">
        <v>50</v>
      </c>
      <c r="H81" s="1057">
        <v>80</v>
      </c>
      <c r="I81" s="1057">
        <v>50</v>
      </c>
      <c r="J81" s="1057">
        <v>80</v>
      </c>
      <c r="K81" s="1057"/>
      <c r="L81" s="1057" t="s">
        <v>572</v>
      </c>
      <c r="M81" s="439"/>
      <c r="N81" s="439"/>
      <c r="O81" s="439"/>
      <c r="P81" s="439"/>
      <c r="Q81" s="439"/>
      <c r="R81" s="439"/>
      <c r="S81" s="439"/>
      <c r="T81" s="439"/>
      <c r="U81" s="439"/>
    </row>
    <row r="82" spans="2:21" ht="16" thickBot="1">
      <c r="B82" s="1047" t="s">
        <v>26</v>
      </c>
      <c r="C82" s="1040">
        <v>25</v>
      </c>
      <c r="D82" s="1048">
        <v>25</v>
      </c>
      <c r="E82" s="1048">
        <v>30</v>
      </c>
      <c r="F82" s="1048">
        <v>30</v>
      </c>
      <c r="G82" s="1040">
        <v>20</v>
      </c>
      <c r="H82" s="1040">
        <v>50</v>
      </c>
      <c r="I82" s="1040">
        <v>20</v>
      </c>
      <c r="J82" s="1040">
        <v>50</v>
      </c>
      <c r="K82" s="1040"/>
      <c r="L82" s="1040" t="s">
        <v>572</v>
      </c>
      <c r="M82" s="439"/>
      <c r="N82" s="439"/>
      <c r="O82" s="439"/>
      <c r="P82" s="439"/>
      <c r="Q82" s="439"/>
      <c r="R82" s="439"/>
      <c r="S82" s="439"/>
      <c r="T82" s="439"/>
      <c r="U82" s="439"/>
    </row>
    <row r="83" spans="2:21" ht="16" thickBot="1">
      <c r="B83" s="1047" t="s">
        <v>28</v>
      </c>
      <c r="C83" s="1040"/>
      <c r="D83" s="1040"/>
      <c r="E83" s="1040"/>
      <c r="F83" s="1040"/>
      <c r="G83" s="1040"/>
      <c r="H83" s="1040"/>
      <c r="I83" s="1040"/>
      <c r="J83" s="1040"/>
      <c r="K83" s="1040"/>
      <c r="L83" s="1040"/>
      <c r="M83" s="439"/>
      <c r="N83" s="439"/>
      <c r="O83" s="439"/>
      <c r="P83" s="439"/>
      <c r="Q83" s="439"/>
      <c r="R83" s="439"/>
      <c r="S83" s="439"/>
      <c r="T83" s="439"/>
      <c r="U83" s="439"/>
    </row>
    <row r="84" spans="2:21" ht="16" thickBot="1">
      <c r="B84" s="1047" t="s">
        <v>44</v>
      </c>
      <c r="C84" s="1048">
        <v>170</v>
      </c>
      <c r="D84" s="1059">
        <v>161.66830848299998</v>
      </c>
      <c r="E84" s="1059">
        <v>146.20992028901901</v>
      </c>
      <c r="F84" s="1059">
        <v>132.26302621356308</v>
      </c>
      <c r="G84" s="1040">
        <v>150</v>
      </c>
      <c r="H84" s="1040">
        <v>250</v>
      </c>
      <c r="I84" s="1040">
        <v>100</v>
      </c>
      <c r="J84" s="1040">
        <v>150</v>
      </c>
      <c r="K84" s="1040"/>
      <c r="L84" s="1040"/>
      <c r="M84" s="439"/>
      <c r="N84" s="439"/>
      <c r="O84" s="439"/>
      <c r="P84" s="439"/>
      <c r="Q84" s="439"/>
      <c r="R84" s="439"/>
      <c r="S84" s="439"/>
      <c r="T84" s="439"/>
      <c r="U84" s="439"/>
    </row>
    <row r="85" spans="2:21" ht="16" thickBot="1">
      <c r="B85" s="1047" t="s">
        <v>482</v>
      </c>
      <c r="C85" s="1040">
        <v>0</v>
      </c>
      <c r="D85" s="1048">
        <v>0</v>
      </c>
      <c r="E85" s="1048">
        <v>0</v>
      </c>
      <c r="F85" s="1048">
        <v>0</v>
      </c>
      <c r="G85" s="1040">
        <v>0</v>
      </c>
      <c r="H85" s="1040">
        <v>0</v>
      </c>
      <c r="I85" s="1040">
        <v>0</v>
      </c>
      <c r="J85" s="1040">
        <v>0</v>
      </c>
      <c r="K85" s="1040"/>
      <c r="L85" s="1040" t="s">
        <v>572</v>
      </c>
      <c r="M85" s="439"/>
      <c r="N85" s="439"/>
      <c r="O85" s="439"/>
      <c r="P85" s="439"/>
      <c r="Q85" s="439"/>
      <c r="R85" s="439"/>
      <c r="S85" s="439"/>
      <c r="T85" s="439"/>
      <c r="U85" s="439"/>
    </row>
    <row r="86" spans="2:21" ht="16" thickBot="1">
      <c r="B86" s="429"/>
      <c r="C86" s="430"/>
      <c r="D86" s="430"/>
      <c r="E86" s="430"/>
      <c r="F86" s="430"/>
      <c r="G86" s="430"/>
      <c r="H86" s="430"/>
      <c r="I86" s="430"/>
      <c r="J86" s="430"/>
      <c r="K86" s="430"/>
      <c r="L86" s="432"/>
      <c r="M86" s="439"/>
      <c r="N86" s="439"/>
      <c r="O86" s="439"/>
      <c r="P86" s="439"/>
      <c r="Q86" s="439"/>
      <c r="R86" s="439"/>
      <c r="S86" s="439"/>
      <c r="T86" s="439"/>
      <c r="U86" s="439"/>
    </row>
    <row r="87" spans="2:21" ht="16" thickBot="1">
      <c r="B87" s="429" t="s">
        <v>499</v>
      </c>
      <c r="C87" s="430"/>
      <c r="D87" s="430"/>
      <c r="E87" s="430"/>
      <c r="F87" s="430"/>
      <c r="G87" s="430"/>
      <c r="H87" s="430"/>
      <c r="I87" s="430"/>
      <c r="J87" s="430"/>
      <c r="K87" s="430"/>
      <c r="L87" s="432"/>
      <c r="M87" s="439"/>
      <c r="N87" s="439"/>
      <c r="O87" s="439"/>
      <c r="P87" s="439"/>
      <c r="Q87" s="439"/>
      <c r="R87" s="439"/>
      <c r="S87" s="439"/>
      <c r="T87" s="439"/>
      <c r="U87" s="439"/>
    </row>
    <row r="88" spans="2:21" ht="16" thickBot="1">
      <c r="B88" s="844" t="s">
        <v>503</v>
      </c>
      <c r="C88" s="540">
        <f>C80/C$61*Euro</f>
        <v>3.5760000000000001</v>
      </c>
      <c r="D88" s="540">
        <f>D80/D$61*Euro</f>
        <v>3.2780000000000005</v>
      </c>
      <c r="E88" s="540">
        <f>E80/E$61*Euro</f>
        <v>3.8314285714285718</v>
      </c>
      <c r="F88" s="540">
        <f>F80/F$61*Euro</f>
        <v>3.6185714285714288</v>
      </c>
      <c r="G88" s="843"/>
      <c r="H88" s="843"/>
      <c r="I88" s="843"/>
      <c r="J88" s="843"/>
      <c r="K88" s="843"/>
      <c r="L88" s="843"/>
      <c r="M88" s="439"/>
      <c r="N88" s="439"/>
      <c r="O88" s="439"/>
      <c r="P88" s="439"/>
      <c r="Q88" s="439"/>
      <c r="R88" s="439"/>
      <c r="S88" s="439"/>
      <c r="T88" s="439"/>
      <c r="U88" s="439"/>
    </row>
    <row r="89" spans="2:21" ht="16" thickBot="1">
      <c r="B89" s="844" t="s">
        <v>504</v>
      </c>
      <c r="C89" s="540">
        <f>C83/C$61*Euro</f>
        <v>0</v>
      </c>
      <c r="D89" s="540">
        <f>D83/D$61*Euro</f>
        <v>0</v>
      </c>
      <c r="E89" s="540">
        <f>E83/E$61*Euro</f>
        <v>0</v>
      </c>
      <c r="F89" s="540">
        <f>F83/F$61*Euro</f>
        <v>0</v>
      </c>
      <c r="G89" s="843"/>
      <c r="H89" s="843"/>
      <c r="I89" s="843"/>
      <c r="J89" s="843"/>
      <c r="K89" s="843"/>
      <c r="L89" s="843"/>
      <c r="M89" s="439"/>
      <c r="N89" s="439"/>
      <c r="O89" s="439"/>
      <c r="P89" s="439"/>
      <c r="Q89" s="439"/>
      <c r="R89" s="439"/>
      <c r="S89" s="439"/>
      <c r="T89" s="439"/>
      <c r="U89" s="439"/>
    </row>
    <row r="90" spans="2:21" ht="16" thickBot="1">
      <c r="B90" s="844"/>
      <c r="C90" s="843"/>
      <c r="D90" s="843"/>
      <c r="E90" s="843"/>
      <c r="F90" s="843"/>
      <c r="G90" s="843"/>
      <c r="H90" s="843"/>
      <c r="I90" s="843"/>
      <c r="J90" s="843"/>
      <c r="K90" s="843"/>
      <c r="L90" s="843"/>
      <c r="M90" s="439"/>
      <c r="N90" s="439"/>
      <c r="O90" s="439"/>
      <c r="P90" s="439"/>
      <c r="Q90" s="439"/>
      <c r="R90" s="439"/>
      <c r="S90" s="439"/>
      <c r="T90" s="439"/>
      <c r="U90" s="439"/>
    </row>
    <row r="91" spans="2:21" ht="16" thickBot="1">
      <c r="B91" s="841" t="s">
        <v>502</v>
      </c>
      <c r="C91" s="540">
        <f>C84/C61/1000*Euro</f>
        <v>0.50660000000000005</v>
      </c>
      <c r="D91" s="540">
        <f>D84/D61/1000*Euro</f>
        <v>0.48177155927934001</v>
      </c>
      <c r="E91" s="540">
        <f>E84/E61/1000*Euro</f>
        <v>0.31121825890091193</v>
      </c>
      <c r="F91" s="540">
        <f>F84/F61/1000*Euro</f>
        <v>0.28153129865458426</v>
      </c>
      <c r="G91" s="843"/>
      <c r="H91" s="843"/>
      <c r="I91" s="843"/>
      <c r="J91" s="843"/>
      <c r="K91" s="843"/>
      <c r="L91" s="843"/>
      <c r="M91" s="439"/>
      <c r="N91" s="439"/>
      <c r="O91" s="439"/>
      <c r="P91" s="439"/>
      <c r="Q91" s="439"/>
      <c r="R91" s="439"/>
      <c r="S91" s="439"/>
      <c r="T91" s="439"/>
      <c r="U91" s="439"/>
    </row>
    <row r="92" spans="2:21">
      <c r="B92" s="526" t="s">
        <v>505</v>
      </c>
      <c r="C92" s="514">
        <f>C85/3.6*Euro</f>
        <v>0</v>
      </c>
      <c r="D92" s="514">
        <f>D85/3.6*Euro</f>
        <v>0</v>
      </c>
      <c r="E92" s="514">
        <f>E85/3.6*Euro</f>
        <v>0</v>
      </c>
      <c r="F92" s="514">
        <f>F85/3.6*Euro</f>
        <v>0</v>
      </c>
      <c r="G92" s="514"/>
      <c r="H92" s="514"/>
      <c r="I92" s="514"/>
      <c r="J92" s="514"/>
      <c r="K92" s="514"/>
      <c r="L92" s="514"/>
      <c r="M92" s="439"/>
      <c r="N92" s="439"/>
      <c r="O92" s="439"/>
      <c r="P92" s="439"/>
      <c r="Q92" s="439"/>
      <c r="R92" s="439"/>
      <c r="S92" s="439"/>
      <c r="T92" s="439"/>
      <c r="U92" s="439"/>
    </row>
    <row r="93" spans="2:21">
      <c r="B93" s="439"/>
      <c r="C93" s="439"/>
      <c r="D93" s="439"/>
      <c r="E93" s="439"/>
      <c r="F93" s="439"/>
      <c r="G93" s="439"/>
      <c r="H93" s="439"/>
      <c r="I93" s="439"/>
      <c r="J93" s="439"/>
      <c r="K93" s="439"/>
      <c r="L93" s="439"/>
      <c r="M93" s="439"/>
      <c r="N93" s="439"/>
      <c r="O93" s="439"/>
      <c r="P93" s="439"/>
      <c r="Q93" s="439"/>
      <c r="R93" s="439"/>
      <c r="S93" s="439"/>
      <c r="T93" s="439"/>
      <c r="U93" s="439"/>
    </row>
    <row r="94" spans="2:21">
      <c r="B94" s="439"/>
      <c r="C94" s="439"/>
      <c r="D94" s="439"/>
      <c r="E94" s="439"/>
      <c r="F94" s="439"/>
      <c r="G94" s="439"/>
      <c r="H94" s="439"/>
      <c r="I94" s="439"/>
      <c r="J94" s="439"/>
      <c r="K94" s="439"/>
      <c r="L94" s="439"/>
      <c r="M94" s="439"/>
      <c r="N94" s="439"/>
      <c r="O94" s="439"/>
      <c r="P94" s="439"/>
      <c r="Q94" s="439"/>
      <c r="R94" s="439"/>
      <c r="S94" s="439"/>
      <c r="T94" s="439"/>
      <c r="U94" s="439"/>
    </row>
    <row r="95" spans="2:21">
      <c r="B95" s="439"/>
      <c r="C95" s="439"/>
      <c r="D95" s="439"/>
      <c r="E95" s="439"/>
      <c r="F95" s="439"/>
      <c r="G95" s="439"/>
      <c r="H95" s="439"/>
      <c r="I95" s="439"/>
      <c r="J95" s="439"/>
      <c r="K95" s="439"/>
      <c r="L95" s="439"/>
      <c r="M95" s="439"/>
      <c r="N95" s="439"/>
      <c r="O95" s="439"/>
      <c r="P95" s="439"/>
      <c r="Q95" s="439"/>
      <c r="R95" s="439"/>
      <c r="S95" s="439"/>
      <c r="T95" s="439"/>
      <c r="U95" s="439"/>
    </row>
    <row r="96" spans="2:21">
      <c r="B96" s="439"/>
      <c r="C96" s="439"/>
      <c r="D96" s="439"/>
      <c r="E96" s="439"/>
      <c r="F96" s="439"/>
      <c r="G96" s="439"/>
      <c r="H96" s="439"/>
      <c r="I96" s="439"/>
      <c r="J96" s="439"/>
      <c r="K96" s="439"/>
      <c r="L96" s="439"/>
      <c r="M96" s="439"/>
      <c r="N96" s="439"/>
      <c r="O96" s="439"/>
      <c r="P96" s="439"/>
      <c r="Q96" s="439"/>
      <c r="R96" s="439"/>
      <c r="S96" s="439"/>
      <c r="T96" s="439"/>
      <c r="U96" s="439"/>
    </row>
    <row r="97" spans="2:21">
      <c r="B97" s="439"/>
      <c r="C97" s="439"/>
      <c r="D97" s="439"/>
      <c r="E97" s="439"/>
      <c r="F97" s="439"/>
      <c r="G97" s="439"/>
      <c r="H97" s="439"/>
      <c r="I97" s="439"/>
      <c r="J97" s="439"/>
      <c r="K97" s="439"/>
      <c r="L97" s="439"/>
      <c r="M97" s="439"/>
      <c r="N97" s="439"/>
      <c r="O97" s="439"/>
      <c r="P97" s="439"/>
      <c r="Q97" s="439"/>
      <c r="R97" s="439"/>
      <c r="S97" s="439"/>
      <c r="T97" s="439"/>
      <c r="U97" s="439"/>
    </row>
    <row r="98" spans="2:21">
      <c r="B98" s="439"/>
      <c r="C98" s="439"/>
      <c r="D98" s="439"/>
      <c r="E98" s="439"/>
      <c r="F98" s="439"/>
      <c r="G98" s="439"/>
      <c r="H98" s="439"/>
      <c r="I98" s="439"/>
      <c r="J98" s="439"/>
      <c r="K98" s="439"/>
      <c r="L98" s="439"/>
      <c r="M98" s="439"/>
      <c r="N98" s="439"/>
      <c r="O98" s="439"/>
      <c r="P98" s="439"/>
      <c r="Q98" s="439"/>
      <c r="R98" s="439"/>
      <c r="S98" s="439"/>
      <c r="T98" s="439"/>
      <c r="U98" s="439"/>
    </row>
    <row r="99" spans="2:21">
      <c r="B99" s="439"/>
      <c r="C99" s="439"/>
      <c r="D99" s="439"/>
      <c r="E99" s="439"/>
      <c r="F99" s="439"/>
      <c r="G99" s="439"/>
      <c r="H99" s="439"/>
      <c r="I99" s="439"/>
      <c r="J99" s="439"/>
      <c r="K99" s="439"/>
      <c r="L99" s="439"/>
      <c r="M99" s="439"/>
      <c r="N99" s="439"/>
      <c r="O99" s="439"/>
      <c r="P99" s="439"/>
      <c r="Q99" s="439"/>
      <c r="R99" s="439"/>
      <c r="S99" s="439"/>
      <c r="T99" s="439"/>
      <c r="U99" s="439"/>
    </row>
    <row r="100" spans="2:21">
      <c r="B100" s="439"/>
      <c r="C100" s="439"/>
      <c r="D100" s="439"/>
      <c r="E100" s="439"/>
      <c r="F100" s="439"/>
      <c r="G100" s="439"/>
      <c r="H100" s="439"/>
      <c r="I100" s="439"/>
      <c r="J100" s="439"/>
      <c r="K100" s="439"/>
      <c r="L100" s="439"/>
      <c r="M100" s="439"/>
      <c r="N100" s="439"/>
      <c r="O100" s="439"/>
      <c r="P100" s="439"/>
      <c r="Q100" s="439"/>
      <c r="R100" s="439"/>
      <c r="S100" s="439"/>
      <c r="T100" s="439"/>
      <c r="U100" s="439"/>
    </row>
    <row r="101" spans="2:21">
      <c r="B101" s="439"/>
      <c r="C101" s="439"/>
      <c r="D101" s="439"/>
      <c r="E101" s="439"/>
      <c r="F101" s="439"/>
      <c r="G101" s="439"/>
      <c r="H101" s="439"/>
      <c r="I101" s="439"/>
      <c r="J101" s="439"/>
      <c r="K101" s="439"/>
      <c r="L101" s="439"/>
      <c r="M101" s="439"/>
      <c r="N101" s="439"/>
      <c r="O101" s="439"/>
      <c r="P101" s="439"/>
      <c r="Q101" s="439"/>
      <c r="R101" s="439"/>
      <c r="S101" s="439"/>
      <c r="T101" s="439"/>
      <c r="U101" s="439"/>
    </row>
    <row r="102" spans="2:21">
      <c r="B102" s="439"/>
      <c r="C102" s="439"/>
      <c r="D102" s="439"/>
      <c r="E102" s="439"/>
      <c r="F102" s="439"/>
      <c r="G102" s="439"/>
      <c r="H102" s="439"/>
      <c r="I102" s="439"/>
      <c r="J102" s="439"/>
      <c r="K102" s="439"/>
      <c r="L102" s="439"/>
      <c r="M102" s="439"/>
      <c r="N102" s="439"/>
      <c r="O102" s="439"/>
      <c r="P102" s="439"/>
      <c r="Q102" s="439"/>
      <c r="R102" s="439"/>
      <c r="S102" s="439"/>
      <c r="T102" s="439"/>
      <c r="U102" s="439"/>
    </row>
    <row r="103" spans="2:21">
      <c r="B103" s="439"/>
      <c r="C103" s="439"/>
      <c r="D103" s="439"/>
      <c r="E103" s="439"/>
      <c r="F103" s="439"/>
      <c r="G103" s="439"/>
      <c r="H103" s="439"/>
      <c r="I103" s="439"/>
      <c r="J103" s="439"/>
      <c r="K103" s="439"/>
      <c r="L103" s="439"/>
      <c r="M103" s="439"/>
      <c r="N103" s="439"/>
      <c r="O103" s="439"/>
      <c r="P103" s="439"/>
      <c r="Q103" s="439"/>
      <c r="R103" s="439"/>
      <c r="S103" s="439"/>
      <c r="T103" s="439"/>
      <c r="U103" s="439"/>
    </row>
    <row r="104" spans="2:21">
      <c r="B104" s="439"/>
      <c r="C104" s="439"/>
      <c r="D104" s="439"/>
      <c r="E104" s="439"/>
      <c r="F104" s="439"/>
      <c r="G104" s="439"/>
      <c r="H104" s="439"/>
      <c r="I104" s="439"/>
      <c r="J104" s="439"/>
      <c r="K104" s="439"/>
      <c r="L104" s="439"/>
      <c r="M104" s="439"/>
      <c r="N104" s="439"/>
      <c r="O104" s="439"/>
      <c r="P104" s="439"/>
      <c r="Q104" s="439"/>
      <c r="R104" s="439"/>
      <c r="S104" s="439"/>
      <c r="T104" s="439"/>
      <c r="U104" s="439"/>
    </row>
    <row r="105" spans="2:21">
      <c r="B105" s="439"/>
      <c r="C105" s="439"/>
      <c r="D105" s="439"/>
      <c r="E105" s="439"/>
      <c r="F105" s="439"/>
      <c r="G105" s="439"/>
      <c r="H105" s="439"/>
      <c r="I105" s="439"/>
      <c r="J105" s="439"/>
      <c r="K105" s="439"/>
      <c r="L105" s="439"/>
      <c r="M105" s="439"/>
      <c r="N105" s="439"/>
      <c r="O105" s="439"/>
      <c r="P105" s="439"/>
      <c r="Q105" s="439"/>
      <c r="R105" s="439"/>
      <c r="S105" s="439"/>
      <c r="T105" s="439"/>
      <c r="U105" s="439"/>
    </row>
    <row r="106" spans="2:21">
      <c r="B106" s="439"/>
      <c r="C106" s="439"/>
      <c r="D106" s="439"/>
      <c r="E106" s="439"/>
      <c r="F106" s="439"/>
      <c r="G106" s="439"/>
      <c r="H106" s="439"/>
      <c r="I106" s="439"/>
      <c r="J106" s="439"/>
      <c r="K106" s="439"/>
      <c r="L106" s="439"/>
      <c r="M106" s="439"/>
      <c r="N106" s="439"/>
      <c r="O106" s="439"/>
      <c r="P106" s="439"/>
      <c r="Q106" s="439"/>
      <c r="R106" s="439"/>
      <c r="S106" s="439"/>
      <c r="T106" s="439"/>
      <c r="U106" s="439"/>
    </row>
    <row r="107" spans="2:21">
      <c r="B107" s="439"/>
      <c r="C107" s="439"/>
      <c r="D107" s="439"/>
      <c r="E107" s="439"/>
      <c r="F107" s="439"/>
      <c r="G107" s="439"/>
      <c r="H107" s="439"/>
      <c r="I107" s="439"/>
      <c r="J107" s="439"/>
      <c r="K107" s="439"/>
      <c r="L107" s="439"/>
      <c r="M107" s="439"/>
      <c r="N107" s="439"/>
      <c r="O107" s="439"/>
      <c r="P107" s="439"/>
      <c r="Q107" s="439"/>
      <c r="R107" s="439"/>
      <c r="S107" s="439"/>
      <c r="T107" s="439"/>
      <c r="U107" s="439"/>
    </row>
    <row r="108" spans="2:21">
      <c r="B108" s="439"/>
      <c r="C108" s="439"/>
      <c r="D108" s="439"/>
      <c r="E108" s="439"/>
      <c r="F108" s="439"/>
      <c r="G108" s="439"/>
      <c r="H108" s="439"/>
      <c r="I108" s="439"/>
      <c r="J108" s="439"/>
      <c r="K108" s="439"/>
      <c r="L108" s="439"/>
      <c r="M108" s="439"/>
      <c r="N108" s="439"/>
      <c r="O108" s="439"/>
      <c r="P108" s="439"/>
      <c r="Q108" s="439"/>
      <c r="R108" s="439"/>
      <c r="S108" s="439"/>
      <c r="T108" s="439"/>
      <c r="U108" s="439"/>
    </row>
    <row r="109" spans="2:21">
      <c r="B109" s="439"/>
      <c r="C109" s="439"/>
      <c r="D109" s="439"/>
      <c r="E109" s="439"/>
      <c r="F109" s="439"/>
      <c r="G109" s="439"/>
      <c r="H109" s="439"/>
      <c r="I109" s="439"/>
      <c r="J109" s="439"/>
      <c r="K109" s="439"/>
      <c r="L109" s="439"/>
      <c r="M109" s="439"/>
      <c r="N109" s="439"/>
      <c r="O109" s="439"/>
      <c r="P109" s="439"/>
      <c r="Q109" s="439"/>
      <c r="R109" s="439"/>
      <c r="S109" s="439"/>
      <c r="T109" s="439"/>
      <c r="U109" s="439"/>
    </row>
    <row r="110" spans="2:21">
      <c r="B110" s="439"/>
      <c r="C110" s="439"/>
      <c r="D110" s="439"/>
      <c r="E110" s="439"/>
      <c r="F110" s="439"/>
      <c r="G110" s="439"/>
      <c r="H110" s="439"/>
      <c r="I110" s="439"/>
      <c r="J110" s="439"/>
      <c r="K110" s="439"/>
      <c r="L110" s="439"/>
      <c r="M110" s="439"/>
      <c r="N110" s="439"/>
      <c r="O110" s="439"/>
      <c r="P110" s="439"/>
      <c r="Q110" s="439"/>
      <c r="R110" s="439"/>
      <c r="S110" s="439"/>
      <c r="T110" s="439"/>
      <c r="U110" s="439"/>
    </row>
    <row r="111" spans="2:21">
      <c r="B111" s="439"/>
      <c r="C111" s="439"/>
      <c r="D111" s="439"/>
      <c r="E111" s="439"/>
      <c r="F111" s="439"/>
      <c r="G111" s="439"/>
      <c r="H111" s="439"/>
      <c r="I111" s="439"/>
      <c r="J111" s="439"/>
      <c r="K111" s="439"/>
      <c r="L111" s="439"/>
      <c r="M111" s="439"/>
      <c r="N111" s="439"/>
      <c r="O111" s="439"/>
      <c r="P111" s="439"/>
      <c r="Q111" s="439"/>
      <c r="R111" s="439"/>
      <c r="S111" s="439"/>
      <c r="T111" s="439"/>
      <c r="U111" s="439"/>
    </row>
    <row r="112" spans="2:21">
      <c r="B112" s="439"/>
      <c r="C112" s="439"/>
      <c r="D112" s="439"/>
      <c r="E112" s="439"/>
      <c r="F112" s="439"/>
      <c r="G112" s="439"/>
      <c r="H112" s="439"/>
      <c r="I112" s="439"/>
      <c r="J112" s="439"/>
      <c r="K112" s="439"/>
      <c r="L112" s="439"/>
      <c r="M112" s="439"/>
      <c r="N112" s="439"/>
      <c r="O112" s="439"/>
      <c r="P112" s="439"/>
      <c r="Q112" s="439"/>
      <c r="R112" s="439"/>
      <c r="S112" s="439"/>
      <c r="T112" s="439"/>
      <c r="U112" s="439"/>
    </row>
    <row r="113" spans="2:21">
      <c r="B113" s="439"/>
      <c r="C113" s="439"/>
      <c r="D113" s="439"/>
      <c r="E113" s="439"/>
      <c r="F113" s="439"/>
      <c r="G113" s="439"/>
      <c r="H113" s="439"/>
      <c r="I113" s="439"/>
      <c r="J113" s="439"/>
      <c r="K113" s="439"/>
      <c r="L113" s="439"/>
      <c r="M113" s="439"/>
      <c r="N113" s="439"/>
      <c r="O113" s="439"/>
      <c r="P113" s="439"/>
      <c r="Q113" s="439"/>
      <c r="R113" s="439"/>
      <c r="S113" s="439"/>
      <c r="T113" s="439"/>
      <c r="U113" s="439"/>
    </row>
    <row r="114" spans="2:21">
      <c r="B114" s="439"/>
      <c r="C114" s="439"/>
      <c r="D114" s="439"/>
      <c r="E114" s="439"/>
      <c r="F114" s="439"/>
      <c r="G114" s="439"/>
      <c r="H114" s="439"/>
      <c r="I114" s="439"/>
      <c r="J114" s="439"/>
      <c r="K114" s="439"/>
      <c r="L114" s="439"/>
      <c r="M114" s="439"/>
      <c r="N114" s="439"/>
      <c r="O114" s="439"/>
      <c r="P114" s="439"/>
      <c r="Q114" s="439"/>
      <c r="R114" s="439"/>
      <c r="S114" s="439"/>
      <c r="T114" s="439"/>
      <c r="U114" s="439"/>
    </row>
    <row r="115" spans="2:21">
      <c r="B115" s="439"/>
      <c r="C115" s="439"/>
      <c r="D115" s="439"/>
      <c r="E115" s="439"/>
      <c r="F115" s="439"/>
      <c r="G115" s="439"/>
      <c r="H115" s="439"/>
      <c r="I115" s="439"/>
      <c r="J115" s="439"/>
      <c r="K115" s="439"/>
      <c r="L115" s="439"/>
      <c r="M115" s="439"/>
      <c r="N115" s="439"/>
      <c r="O115" s="439"/>
      <c r="P115" s="439"/>
      <c r="Q115" s="439"/>
      <c r="R115" s="439"/>
      <c r="S115" s="439"/>
      <c r="T115" s="439"/>
      <c r="U115" s="439"/>
    </row>
    <row r="116" spans="2:21">
      <c r="B116" s="439"/>
      <c r="C116" s="439"/>
      <c r="D116" s="439"/>
      <c r="E116" s="439"/>
      <c r="F116" s="439"/>
      <c r="G116" s="439"/>
      <c r="H116" s="439"/>
      <c r="I116" s="439"/>
      <c r="J116" s="439"/>
      <c r="K116" s="439"/>
      <c r="L116" s="439"/>
      <c r="M116" s="439"/>
      <c r="N116" s="439"/>
      <c r="O116" s="439"/>
      <c r="P116" s="439"/>
      <c r="Q116" s="439"/>
      <c r="R116" s="439"/>
      <c r="S116" s="439"/>
      <c r="T116" s="439"/>
      <c r="U116" s="439"/>
    </row>
    <row r="117" spans="2:21">
      <c r="B117" s="439"/>
      <c r="C117" s="439"/>
      <c r="D117" s="439"/>
      <c r="E117" s="439"/>
      <c r="F117" s="439"/>
      <c r="G117" s="439"/>
      <c r="H117" s="439"/>
      <c r="I117" s="439"/>
      <c r="J117" s="439"/>
      <c r="K117" s="439"/>
      <c r="L117" s="439"/>
      <c r="M117" s="439"/>
      <c r="N117" s="439"/>
      <c r="O117" s="439"/>
      <c r="P117" s="439"/>
      <c r="Q117" s="439"/>
      <c r="R117" s="439"/>
      <c r="S117" s="439"/>
      <c r="T117" s="439"/>
      <c r="U117" s="439"/>
    </row>
    <row r="118" spans="2:21">
      <c r="B118" s="439"/>
      <c r="C118" s="439"/>
      <c r="D118" s="439"/>
      <c r="E118" s="439"/>
      <c r="F118" s="439"/>
      <c r="G118" s="439"/>
      <c r="H118" s="439"/>
      <c r="I118" s="439"/>
      <c r="J118" s="439"/>
      <c r="K118" s="439"/>
      <c r="L118" s="439"/>
      <c r="M118" s="439"/>
      <c r="N118" s="439"/>
      <c r="O118" s="439"/>
      <c r="P118" s="439"/>
      <c r="Q118" s="439"/>
      <c r="R118" s="439"/>
      <c r="S118" s="439"/>
      <c r="T118" s="439"/>
      <c r="U118" s="439"/>
    </row>
    <row r="119" spans="2:21">
      <c r="B119" s="439"/>
      <c r="C119" s="439"/>
      <c r="D119" s="439"/>
      <c r="E119" s="439"/>
      <c r="F119" s="439"/>
      <c r="G119" s="439"/>
      <c r="H119" s="439"/>
      <c r="I119" s="439"/>
      <c r="J119" s="439"/>
      <c r="K119" s="439"/>
      <c r="L119" s="439"/>
      <c r="M119" s="439"/>
      <c r="N119" s="439"/>
      <c r="O119" s="439"/>
      <c r="P119" s="439"/>
      <c r="Q119" s="439"/>
      <c r="R119" s="439"/>
      <c r="S119" s="439"/>
      <c r="T119" s="439"/>
      <c r="U119" s="439"/>
    </row>
    <row r="120" spans="2:21">
      <c r="B120" s="439"/>
      <c r="C120" s="439"/>
      <c r="D120" s="439"/>
      <c r="E120" s="439"/>
      <c r="F120" s="439"/>
      <c r="G120" s="439"/>
      <c r="H120" s="439"/>
      <c r="I120" s="439"/>
      <c r="J120" s="439"/>
      <c r="K120" s="439"/>
      <c r="L120" s="439"/>
      <c r="M120" s="439"/>
      <c r="N120" s="439"/>
      <c r="O120" s="439"/>
      <c r="P120" s="439"/>
      <c r="Q120" s="439"/>
      <c r="R120" s="439"/>
      <c r="S120" s="439"/>
      <c r="T120" s="439"/>
      <c r="U120" s="439"/>
    </row>
    <row r="121" spans="2:21">
      <c r="B121" s="439"/>
      <c r="C121" s="439"/>
      <c r="D121" s="439"/>
      <c r="E121" s="439"/>
      <c r="F121" s="439"/>
      <c r="G121" s="439"/>
      <c r="H121" s="439"/>
      <c r="I121" s="439"/>
      <c r="J121" s="439"/>
      <c r="K121" s="439"/>
      <c r="L121" s="439"/>
      <c r="M121" s="439"/>
      <c r="N121" s="439"/>
      <c r="O121" s="439"/>
      <c r="P121" s="439"/>
      <c r="Q121" s="439"/>
      <c r="R121" s="439"/>
      <c r="S121" s="439"/>
      <c r="T121" s="439"/>
      <c r="U121" s="439"/>
    </row>
    <row r="122" spans="2:21">
      <c r="B122" s="439"/>
      <c r="C122" s="439"/>
      <c r="D122" s="439"/>
      <c r="E122" s="439"/>
      <c r="F122" s="439"/>
      <c r="G122" s="439"/>
      <c r="H122" s="439"/>
      <c r="I122" s="439"/>
      <c r="J122" s="439"/>
      <c r="K122" s="439"/>
      <c r="L122" s="439"/>
      <c r="M122" s="439"/>
      <c r="N122" s="439"/>
      <c r="O122" s="439"/>
      <c r="P122" s="439"/>
      <c r="Q122" s="439"/>
      <c r="R122" s="439"/>
      <c r="S122" s="439"/>
      <c r="T122" s="439"/>
      <c r="U122" s="439"/>
    </row>
    <row r="123" spans="2:21">
      <c r="B123" s="439"/>
      <c r="C123" s="439"/>
      <c r="D123" s="439"/>
      <c r="E123" s="439"/>
      <c r="F123" s="439"/>
      <c r="G123" s="439"/>
      <c r="H123" s="439"/>
      <c r="I123" s="439"/>
      <c r="J123" s="439"/>
      <c r="K123" s="439"/>
      <c r="L123" s="439"/>
      <c r="M123" s="439"/>
      <c r="N123" s="439"/>
      <c r="O123" s="439"/>
      <c r="P123" s="439"/>
      <c r="Q123" s="439"/>
      <c r="R123" s="439"/>
      <c r="S123" s="439"/>
      <c r="T123" s="439"/>
      <c r="U123" s="439"/>
    </row>
    <row r="124" spans="2:21">
      <c r="B124" s="439"/>
      <c r="C124" s="439"/>
      <c r="D124" s="439"/>
      <c r="E124" s="439"/>
      <c r="F124" s="439"/>
      <c r="G124" s="439"/>
      <c r="H124" s="439"/>
      <c r="I124" s="439"/>
      <c r="J124" s="439"/>
      <c r="K124" s="439"/>
      <c r="L124" s="439"/>
      <c r="M124" s="439"/>
      <c r="N124" s="439"/>
      <c r="O124" s="439"/>
      <c r="P124" s="439"/>
      <c r="Q124" s="439"/>
      <c r="R124" s="439"/>
      <c r="S124" s="439"/>
      <c r="T124" s="439"/>
      <c r="U124" s="439"/>
    </row>
    <row r="125" spans="2:21">
      <c r="B125" s="439"/>
      <c r="C125" s="439"/>
      <c r="D125" s="439"/>
      <c r="E125" s="439"/>
      <c r="F125" s="439"/>
      <c r="G125" s="439"/>
      <c r="H125" s="439"/>
      <c r="I125" s="439"/>
      <c r="J125" s="439"/>
      <c r="K125" s="439"/>
      <c r="L125" s="439"/>
      <c r="M125" s="439"/>
      <c r="N125" s="439"/>
      <c r="O125" s="439"/>
      <c r="P125" s="439"/>
      <c r="Q125" s="439"/>
      <c r="R125" s="439"/>
      <c r="S125" s="439"/>
      <c r="T125" s="439"/>
      <c r="U125" s="439"/>
    </row>
    <row r="126" spans="2:21">
      <c r="B126" s="439"/>
      <c r="C126" s="439"/>
      <c r="D126" s="439"/>
      <c r="E126" s="439"/>
      <c r="F126" s="439"/>
      <c r="G126" s="439"/>
      <c r="H126" s="439"/>
      <c r="I126" s="439"/>
      <c r="J126" s="439"/>
      <c r="K126" s="439"/>
      <c r="L126" s="439"/>
      <c r="M126" s="439"/>
      <c r="N126" s="439"/>
      <c r="O126" s="439"/>
      <c r="P126" s="439"/>
      <c r="Q126" s="439"/>
      <c r="R126" s="439"/>
      <c r="S126" s="439"/>
      <c r="T126" s="439"/>
      <c r="U126" s="439"/>
    </row>
    <row r="127" spans="2:21">
      <c r="B127" s="439"/>
      <c r="C127" s="439"/>
      <c r="D127" s="439"/>
      <c r="E127" s="439"/>
      <c r="F127" s="439"/>
      <c r="G127" s="439"/>
      <c r="H127" s="439"/>
      <c r="I127" s="439"/>
      <c r="J127" s="439"/>
      <c r="K127" s="439"/>
      <c r="L127" s="439"/>
      <c r="M127" s="439"/>
      <c r="N127" s="439"/>
      <c r="O127" s="439"/>
      <c r="P127" s="439"/>
      <c r="Q127" s="439"/>
      <c r="R127" s="439"/>
      <c r="S127" s="439"/>
      <c r="T127" s="439"/>
      <c r="U127" s="439"/>
    </row>
    <row r="128" spans="2:21">
      <c r="B128" s="439"/>
      <c r="C128" s="439"/>
      <c r="D128" s="439"/>
      <c r="E128" s="439"/>
      <c r="F128" s="439"/>
      <c r="G128" s="439"/>
      <c r="H128" s="439"/>
      <c r="I128" s="439"/>
      <c r="J128" s="439"/>
      <c r="K128" s="439"/>
      <c r="L128" s="439"/>
      <c r="M128" s="439"/>
      <c r="N128" s="439"/>
      <c r="O128" s="439"/>
      <c r="P128" s="439"/>
      <c r="Q128" s="439"/>
      <c r="R128" s="439"/>
      <c r="S128" s="439"/>
      <c r="T128" s="439"/>
      <c r="U128" s="439"/>
    </row>
    <row r="129" spans="2:21">
      <c r="B129" s="439"/>
      <c r="C129" s="439"/>
      <c r="D129" s="439"/>
      <c r="E129" s="439"/>
      <c r="F129" s="439"/>
      <c r="G129" s="439"/>
      <c r="H129" s="439"/>
      <c r="I129" s="439"/>
      <c r="J129" s="439"/>
      <c r="K129" s="439"/>
      <c r="L129" s="439"/>
      <c r="M129" s="439"/>
      <c r="N129" s="439"/>
      <c r="O129" s="439"/>
      <c r="P129" s="439"/>
      <c r="Q129" s="439"/>
      <c r="R129" s="439"/>
      <c r="S129" s="439"/>
      <c r="T129" s="439"/>
      <c r="U129" s="439"/>
    </row>
    <row r="130" spans="2:21">
      <c r="B130" s="439"/>
      <c r="C130" s="439"/>
      <c r="D130" s="439"/>
      <c r="E130" s="439"/>
      <c r="F130" s="439"/>
      <c r="G130" s="439"/>
      <c r="H130" s="439"/>
      <c r="I130" s="439"/>
      <c r="J130" s="439"/>
      <c r="K130" s="439"/>
      <c r="L130" s="439"/>
      <c r="M130" s="439"/>
      <c r="N130" s="439"/>
      <c r="O130" s="439"/>
      <c r="P130" s="439"/>
      <c r="Q130" s="439"/>
      <c r="R130" s="439"/>
      <c r="S130" s="439"/>
      <c r="T130" s="439"/>
      <c r="U130" s="439"/>
    </row>
    <row r="131" spans="2:21">
      <c r="B131" s="439"/>
      <c r="C131" s="439"/>
      <c r="D131" s="439"/>
      <c r="E131" s="439"/>
      <c r="F131" s="439"/>
      <c r="G131" s="439"/>
      <c r="H131" s="439"/>
      <c r="I131" s="439"/>
      <c r="J131" s="439"/>
      <c r="K131" s="439"/>
      <c r="L131" s="439"/>
      <c r="M131" s="439"/>
      <c r="N131" s="439"/>
      <c r="O131" s="439"/>
      <c r="P131" s="439"/>
      <c r="Q131" s="439"/>
      <c r="R131" s="439"/>
      <c r="S131" s="439"/>
      <c r="T131" s="439"/>
      <c r="U131" s="439"/>
    </row>
    <row r="132" spans="2:21">
      <c r="B132" s="439"/>
      <c r="C132" s="439"/>
      <c r="D132" s="439"/>
      <c r="E132" s="439"/>
      <c r="F132" s="439"/>
      <c r="G132" s="439"/>
      <c r="H132" s="439"/>
      <c r="I132" s="439"/>
      <c r="J132" s="439"/>
      <c r="K132" s="439"/>
      <c r="L132" s="439"/>
      <c r="M132" s="439"/>
      <c r="N132" s="439"/>
      <c r="O132" s="439"/>
      <c r="P132" s="439"/>
      <c r="Q132" s="439"/>
      <c r="R132" s="439"/>
      <c r="S132" s="439"/>
      <c r="T132" s="439"/>
      <c r="U132" s="439"/>
    </row>
    <row r="133" spans="2:21">
      <c r="B133" s="439"/>
      <c r="C133" s="439"/>
      <c r="D133" s="439"/>
      <c r="E133" s="439"/>
      <c r="F133" s="439"/>
      <c r="G133" s="439"/>
      <c r="H133" s="439"/>
      <c r="I133" s="439"/>
      <c r="J133" s="439"/>
      <c r="K133" s="439"/>
      <c r="L133" s="439"/>
      <c r="M133" s="439"/>
      <c r="N133" s="439"/>
      <c r="O133" s="439"/>
      <c r="P133" s="439"/>
      <c r="Q133" s="439"/>
      <c r="R133" s="439"/>
      <c r="S133" s="439"/>
      <c r="T133" s="439"/>
      <c r="U133" s="439"/>
    </row>
    <row r="134" spans="2:21">
      <c r="B134" s="439"/>
      <c r="C134" s="439"/>
      <c r="D134" s="439"/>
      <c r="E134" s="439"/>
      <c r="F134" s="439"/>
      <c r="G134" s="439"/>
      <c r="H134" s="439"/>
      <c r="I134" s="439"/>
      <c r="J134" s="439"/>
      <c r="K134" s="439"/>
      <c r="L134" s="439"/>
      <c r="M134" s="439"/>
      <c r="N134" s="439"/>
      <c r="O134" s="439"/>
      <c r="P134" s="439"/>
      <c r="Q134" s="439"/>
      <c r="R134" s="439"/>
      <c r="S134" s="439"/>
      <c r="T134" s="439"/>
      <c r="U134" s="439"/>
    </row>
    <row r="135" spans="2:21">
      <c r="B135" s="439"/>
      <c r="C135" s="439"/>
      <c r="D135" s="439"/>
      <c r="E135" s="439"/>
      <c r="F135" s="439"/>
      <c r="G135" s="439"/>
      <c r="H135" s="439"/>
      <c r="I135" s="439"/>
      <c r="J135" s="439"/>
      <c r="K135" s="439"/>
      <c r="L135" s="439"/>
      <c r="M135" s="439"/>
      <c r="N135" s="439"/>
      <c r="O135" s="439"/>
      <c r="P135" s="439"/>
      <c r="Q135" s="439"/>
      <c r="R135" s="439"/>
      <c r="S135" s="439"/>
      <c r="T135" s="439"/>
      <c r="U135" s="439"/>
    </row>
    <row r="136" spans="2:21">
      <c r="B136" s="439"/>
      <c r="C136" s="439"/>
      <c r="D136" s="439"/>
      <c r="E136" s="439"/>
      <c r="F136" s="439"/>
      <c r="G136" s="439"/>
      <c r="H136" s="439"/>
      <c r="I136" s="439"/>
      <c r="J136" s="439"/>
      <c r="K136" s="439"/>
      <c r="L136" s="439"/>
      <c r="M136" s="439"/>
      <c r="N136" s="439"/>
      <c r="O136" s="439"/>
      <c r="P136" s="439"/>
      <c r="Q136" s="439"/>
      <c r="R136" s="439"/>
      <c r="S136" s="439"/>
      <c r="T136" s="439"/>
      <c r="U136" s="439"/>
    </row>
    <row r="137" spans="2:21">
      <c r="B137" s="439"/>
      <c r="C137" s="439"/>
      <c r="D137" s="439"/>
      <c r="E137" s="439"/>
      <c r="F137" s="439"/>
      <c r="G137" s="439"/>
      <c r="H137" s="439"/>
      <c r="I137" s="439"/>
      <c r="J137" s="439"/>
      <c r="K137" s="439"/>
      <c r="L137" s="439"/>
      <c r="M137" s="439"/>
      <c r="N137" s="439"/>
      <c r="O137" s="439"/>
      <c r="P137" s="439"/>
      <c r="Q137" s="439"/>
      <c r="R137" s="439"/>
      <c r="S137" s="439"/>
      <c r="T137" s="439"/>
      <c r="U137" s="439"/>
    </row>
    <row r="138" spans="2:21">
      <c r="B138" s="439"/>
      <c r="C138" s="439"/>
      <c r="D138" s="439"/>
      <c r="E138" s="439"/>
      <c r="F138" s="439"/>
      <c r="G138" s="439"/>
      <c r="H138" s="439"/>
      <c r="I138" s="439"/>
      <c r="J138" s="439"/>
      <c r="K138" s="439"/>
      <c r="L138" s="439"/>
      <c r="M138" s="439"/>
      <c r="N138" s="439"/>
      <c r="O138" s="439"/>
      <c r="P138" s="439"/>
      <c r="Q138" s="439"/>
      <c r="R138" s="439"/>
      <c r="S138" s="439"/>
      <c r="T138" s="439"/>
      <c r="U138" s="439"/>
    </row>
    <row r="139" spans="2:21">
      <c r="B139" s="439"/>
      <c r="C139" s="439"/>
      <c r="D139" s="439"/>
      <c r="E139" s="439"/>
      <c r="F139" s="439"/>
      <c r="G139" s="439"/>
      <c r="H139" s="439"/>
      <c r="I139" s="439"/>
      <c r="J139" s="439"/>
      <c r="K139" s="439"/>
      <c r="L139" s="439"/>
      <c r="M139" s="439"/>
      <c r="N139" s="439"/>
      <c r="O139" s="439"/>
      <c r="P139" s="439"/>
      <c r="Q139" s="439"/>
      <c r="R139" s="439"/>
      <c r="S139" s="439"/>
      <c r="T139" s="439"/>
      <c r="U139" s="439"/>
    </row>
    <row r="140" spans="2:21">
      <c r="B140" s="439"/>
      <c r="C140" s="439"/>
      <c r="D140" s="439"/>
      <c r="E140" s="439"/>
      <c r="F140" s="439"/>
      <c r="G140" s="439"/>
      <c r="H140" s="439"/>
      <c r="I140" s="439"/>
      <c r="J140" s="439"/>
      <c r="K140" s="439"/>
      <c r="L140" s="439"/>
      <c r="M140" s="439"/>
      <c r="N140" s="439"/>
      <c r="O140" s="439"/>
      <c r="P140" s="439"/>
      <c r="Q140" s="439"/>
      <c r="R140" s="439"/>
      <c r="S140" s="439"/>
      <c r="T140" s="439"/>
      <c r="U140" s="439"/>
    </row>
    <row r="141" spans="2:21">
      <c r="B141" s="439"/>
      <c r="C141" s="439"/>
      <c r="D141" s="439"/>
      <c r="E141" s="439"/>
      <c r="F141" s="439"/>
      <c r="G141" s="439"/>
      <c r="H141" s="439"/>
      <c r="I141" s="439"/>
      <c r="J141" s="439"/>
      <c r="K141" s="439"/>
      <c r="L141" s="439"/>
      <c r="M141" s="439"/>
      <c r="N141" s="439"/>
      <c r="O141" s="439"/>
      <c r="P141" s="439"/>
      <c r="Q141" s="439"/>
      <c r="R141" s="439"/>
      <c r="S141" s="439"/>
      <c r="T141" s="439"/>
      <c r="U141" s="439"/>
    </row>
    <row r="142" spans="2:21">
      <c r="B142" s="439"/>
      <c r="C142" s="439"/>
      <c r="D142" s="439"/>
      <c r="E142" s="439"/>
      <c r="F142" s="439"/>
      <c r="G142" s="439"/>
      <c r="H142" s="439"/>
      <c r="I142" s="439"/>
      <c r="J142" s="439"/>
      <c r="K142" s="439"/>
      <c r="L142" s="439"/>
      <c r="M142" s="439"/>
      <c r="N142" s="439"/>
      <c r="O142" s="439"/>
      <c r="P142" s="439"/>
      <c r="Q142" s="439"/>
      <c r="R142" s="439"/>
      <c r="S142" s="439"/>
      <c r="T142" s="439"/>
      <c r="U142" s="439"/>
    </row>
    <row r="143" spans="2:21">
      <c r="B143" s="439"/>
      <c r="C143" s="439"/>
      <c r="D143" s="439"/>
      <c r="E143" s="439"/>
      <c r="F143" s="439"/>
      <c r="G143" s="439"/>
      <c r="H143" s="439"/>
      <c r="I143" s="439"/>
      <c r="J143" s="439"/>
      <c r="K143" s="439"/>
      <c r="L143" s="439"/>
      <c r="M143" s="439"/>
      <c r="N143" s="439"/>
      <c r="O143" s="439"/>
      <c r="P143" s="439"/>
      <c r="Q143" s="439"/>
      <c r="R143" s="439"/>
      <c r="S143" s="439"/>
      <c r="T143" s="439"/>
      <c r="U143" s="439"/>
    </row>
    <row r="144" spans="2:21">
      <c r="B144" s="439"/>
      <c r="C144" s="439"/>
      <c r="D144" s="439"/>
      <c r="E144" s="439"/>
      <c r="F144" s="439"/>
      <c r="G144" s="439"/>
      <c r="H144" s="439"/>
      <c r="I144" s="439"/>
      <c r="J144" s="439"/>
      <c r="K144" s="439"/>
      <c r="L144" s="439"/>
      <c r="M144" s="439"/>
      <c r="N144" s="439"/>
      <c r="O144" s="439"/>
      <c r="P144" s="439"/>
      <c r="Q144" s="439"/>
      <c r="R144" s="439"/>
      <c r="S144" s="439"/>
      <c r="T144" s="439"/>
      <c r="U144" s="439"/>
    </row>
    <row r="145" spans="2:21">
      <c r="B145" s="439"/>
      <c r="C145" s="439"/>
      <c r="D145" s="439"/>
      <c r="E145" s="439"/>
      <c r="F145" s="439"/>
      <c r="G145" s="439"/>
      <c r="H145" s="439"/>
      <c r="I145" s="439"/>
      <c r="J145" s="439"/>
      <c r="K145" s="439"/>
      <c r="L145" s="439"/>
      <c r="M145" s="439"/>
      <c r="N145" s="439"/>
      <c r="O145" s="439"/>
      <c r="P145" s="439"/>
      <c r="Q145" s="439"/>
      <c r="R145" s="439"/>
      <c r="S145" s="439"/>
      <c r="T145" s="439"/>
      <c r="U145" s="439"/>
    </row>
    <row r="146" spans="2:21">
      <c r="B146" s="439"/>
      <c r="C146" s="439"/>
      <c r="D146" s="439"/>
      <c r="E146" s="439"/>
      <c r="F146" s="439"/>
      <c r="G146" s="439"/>
      <c r="H146" s="439"/>
      <c r="I146" s="439"/>
      <c r="J146" s="439"/>
      <c r="K146" s="439"/>
      <c r="L146" s="439"/>
      <c r="M146" s="439"/>
      <c r="N146" s="439"/>
      <c r="O146" s="439"/>
      <c r="P146" s="439"/>
      <c r="Q146" s="439"/>
      <c r="R146" s="439"/>
      <c r="S146" s="439"/>
      <c r="T146" s="439"/>
      <c r="U146" s="439"/>
    </row>
    <row r="147" spans="2:21">
      <c r="B147" s="439"/>
      <c r="C147" s="439"/>
      <c r="D147" s="439"/>
      <c r="E147" s="439"/>
      <c r="F147" s="439"/>
      <c r="G147" s="439"/>
      <c r="H147" s="439"/>
      <c r="I147" s="439"/>
      <c r="J147" s="439"/>
      <c r="K147" s="439"/>
      <c r="L147" s="439"/>
      <c r="M147" s="439"/>
      <c r="N147" s="439"/>
      <c r="O147" s="439"/>
      <c r="P147" s="439"/>
      <c r="Q147" s="439"/>
      <c r="R147" s="439"/>
      <c r="S147" s="439"/>
      <c r="T147" s="439"/>
      <c r="U147" s="439"/>
    </row>
    <row r="148" spans="2:21">
      <c r="B148" s="439"/>
      <c r="C148" s="439"/>
      <c r="D148" s="439"/>
      <c r="E148" s="439"/>
      <c r="F148" s="439"/>
      <c r="G148" s="439"/>
      <c r="H148" s="439"/>
      <c r="I148" s="439"/>
      <c r="J148" s="439"/>
      <c r="K148" s="439"/>
      <c r="L148" s="439"/>
      <c r="M148" s="439"/>
      <c r="N148" s="439"/>
      <c r="O148" s="439"/>
      <c r="P148" s="439"/>
      <c r="Q148" s="439"/>
      <c r="R148" s="439"/>
      <c r="S148" s="439"/>
      <c r="T148" s="439"/>
      <c r="U148" s="439"/>
    </row>
    <row r="149" spans="2:21">
      <c r="B149" s="439"/>
      <c r="C149" s="439"/>
      <c r="D149" s="439"/>
      <c r="E149" s="439"/>
      <c r="F149" s="439"/>
      <c r="G149" s="439"/>
      <c r="H149" s="439"/>
      <c r="I149" s="439"/>
      <c r="J149" s="439"/>
      <c r="K149" s="439"/>
      <c r="L149" s="439"/>
      <c r="M149" s="439"/>
      <c r="N149" s="439"/>
      <c r="O149" s="439"/>
      <c r="P149" s="439"/>
      <c r="Q149" s="439"/>
      <c r="R149" s="439"/>
      <c r="S149" s="439"/>
      <c r="T149" s="439"/>
      <c r="U149" s="439"/>
    </row>
    <row r="150" spans="2:21">
      <c r="B150" s="439"/>
      <c r="C150" s="439"/>
      <c r="D150" s="439"/>
      <c r="E150" s="439"/>
      <c r="F150" s="439"/>
      <c r="G150" s="439"/>
      <c r="H150" s="439"/>
      <c r="I150" s="439"/>
      <c r="J150" s="439"/>
      <c r="K150" s="439"/>
      <c r="L150" s="439"/>
      <c r="M150" s="439"/>
      <c r="N150" s="439"/>
      <c r="O150" s="439"/>
      <c r="P150" s="439"/>
      <c r="Q150" s="439"/>
      <c r="R150" s="439"/>
      <c r="S150" s="439"/>
      <c r="T150" s="439"/>
      <c r="U150" s="439"/>
    </row>
    <row r="151" spans="2:21">
      <c r="B151" s="439"/>
      <c r="C151" s="439"/>
      <c r="D151" s="439"/>
      <c r="E151" s="439"/>
      <c r="F151" s="439"/>
      <c r="G151" s="439"/>
      <c r="H151" s="439"/>
      <c r="I151" s="439"/>
      <c r="J151" s="439"/>
      <c r="K151" s="439"/>
      <c r="L151" s="439"/>
      <c r="M151" s="439"/>
      <c r="N151" s="439"/>
      <c r="O151" s="439"/>
      <c r="P151" s="439"/>
      <c r="Q151" s="439"/>
      <c r="R151" s="439"/>
      <c r="S151" s="439"/>
      <c r="T151" s="439"/>
      <c r="U151" s="439"/>
    </row>
    <row r="152" spans="2:21">
      <c r="B152" s="439"/>
      <c r="C152" s="439"/>
      <c r="D152" s="439"/>
      <c r="E152" s="439"/>
      <c r="F152" s="439"/>
      <c r="G152" s="439"/>
      <c r="H152" s="439"/>
      <c r="I152" s="439"/>
      <c r="J152" s="439"/>
      <c r="K152" s="439"/>
      <c r="L152" s="439"/>
      <c r="M152" s="439"/>
      <c r="N152" s="439"/>
      <c r="O152" s="439"/>
      <c r="P152" s="439"/>
      <c r="Q152" s="439"/>
      <c r="R152" s="439"/>
      <c r="S152" s="439"/>
      <c r="T152" s="439"/>
      <c r="U152" s="439"/>
    </row>
    <row r="153" spans="2:21">
      <c r="B153" s="439"/>
      <c r="C153" s="439"/>
      <c r="D153" s="439"/>
      <c r="E153" s="439"/>
      <c r="F153" s="439"/>
      <c r="G153" s="439"/>
      <c r="H153" s="439"/>
      <c r="I153" s="439"/>
      <c r="J153" s="439"/>
      <c r="K153" s="439"/>
      <c r="L153" s="439"/>
      <c r="M153" s="439"/>
      <c r="N153" s="439"/>
      <c r="O153" s="439"/>
      <c r="P153" s="439"/>
      <c r="Q153" s="439"/>
      <c r="R153" s="439"/>
      <c r="S153" s="439"/>
      <c r="T153" s="439"/>
      <c r="U153" s="439"/>
    </row>
    <row r="154" spans="2:21">
      <c r="B154" s="439"/>
      <c r="C154" s="439"/>
      <c r="D154" s="439"/>
      <c r="E154" s="439"/>
      <c r="F154" s="439"/>
      <c r="G154" s="439"/>
      <c r="H154" s="439"/>
      <c r="I154" s="439"/>
      <c r="J154" s="439"/>
      <c r="K154" s="439"/>
      <c r="L154" s="439"/>
      <c r="M154" s="439"/>
      <c r="N154" s="439"/>
      <c r="O154" s="439"/>
      <c r="P154" s="439"/>
      <c r="Q154" s="439"/>
      <c r="R154" s="439"/>
      <c r="S154" s="439"/>
      <c r="T154" s="439"/>
      <c r="U154" s="439"/>
    </row>
    <row r="155" spans="2:21">
      <c r="B155" s="439"/>
      <c r="C155" s="439"/>
      <c r="D155" s="439"/>
      <c r="E155" s="439"/>
      <c r="F155" s="439"/>
      <c r="G155" s="439"/>
      <c r="H155" s="439"/>
      <c r="I155" s="439"/>
      <c r="J155" s="439"/>
      <c r="K155" s="439"/>
      <c r="L155" s="439"/>
      <c r="M155" s="439"/>
      <c r="N155" s="439"/>
      <c r="O155" s="439"/>
      <c r="P155" s="439"/>
      <c r="Q155" s="439"/>
      <c r="R155" s="439"/>
      <c r="S155" s="439"/>
      <c r="T155" s="439"/>
      <c r="U155" s="439"/>
    </row>
    <row r="156" spans="2:21">
      <c r="B156" s="439"/>
      <c r="C156" s="439"/>
      <c r="D156" s="439"/>
      <c r="E156" s="439"/>
      <c r="F156" s="439"/>
      <c r="G156" s="439"/>
      <c r="H156" s="439"/>
      <c r="I156" s="439"/>
      <c r="J156" s="439"/>
      <c r="K156" s="439"/>
      <c r="L156" s="439"/>
      <c r="M156" s="439"/>
      <c r="N156" s="439"/>
      <c r="O156" s="439"/>
      <c r="P156" s="439"/>
      <c r="Q156" s="439"/>
      <c r="R156" s="439"/>
      <c r="S156" s="439"/>
      <c r="T156" s="439"/>
      <c r="U156" s="439"/>
    </row>
    <row r="157" spans="2:21">
      <c r="B157" s="439"/>
      <c r="C157" s="439"/>
      <c r="D157" s="439"/>
      <c r="E157" s="439"/>
      <c r="F157" s="439"/>
      <c r="G157" s="439"/>
      <c r="H157" s="439"/>
      <c r="I157" s="439"/>
      <c r="J157" s="439"/>
      <c r="K157" s="439"/>
      <c r="L157" s="439"/>
      <c r="M157" s="439"/>
      <c r="N157" s="439"/>
      <c r="O157" s="439"/>
      <c r="P157" s="439"/>
      <c r="Q157" s="439"/>
      <c r="R157" s="439"/>
      <c r="S157" s="439"/>
      <c r="T157" s="439"/>
      <c r="U157" s="439"/>
    </row>
    <row r="158" spans="2:21">
      <c r="B158" s="439"/>
      <c r="C158" s="439"/>
      <c r="D158" s="439"/>
      <c r="E158" s="439"/>
      <c r="F158" s="439"/>
      <c r="G158" s="439"/>
      <c r="H158" s="439"/>
      <c r="I158" s="439"/>
      <c r="J158" s="439"/>
      <c r="K158" s="439"/>
      <c r="L158" s="439"/>
      <c r="M158" s="439"/>
      <c r="N158" s="439"/>
      <c r="O158" s="439"/>
      <c r="P158" s="439"/>
      <c r="Q158" s="439"/>
      <c r="R158" s="439"/>
      <c r="S158" s="439"/>
      <c r="T158" s="439"/>
      <c r="U158" s="439"/>
    </row>
    <row r="159" spans="2:21">
      <c r="B159" s="439"/>
      <c r="C159" s="439"/>
      <c r="D159" s="439"/>
      <c r="E159" s="439"/>
      <c r="F159" s="439"/>
      <c r="G159" s="439"/>
      <c r="H159" s="439"/>
      <c r="I159" s="439"/>
      <c r="J159" s="439"/>
      <c r="K159" s="439"/>
      <c r="L159" s="439"/>
      <c r="M159" s="439"/>
      <c r="N159" s="439"/>
      <c r="O159" s="439"/>
      <c r="P159" s="439"/>
      <c r="Q159" s="439"/>
      <c r="R159" s="439"/>
      <c r="S159" s="439"/>
      <c r="T159" s="439"/>
      <c r="U159" s="439"/>
    </row>
    <row r="160" spans="2:21">
      <c r="B160" s="439"/>
      <c r="C160" s="439"/>
      <c r="D160" s="439"/>
      <c r="E160" s="439"/>
      <c r="F160" s="439"/>
      <c r="G160" s="439"/>
      <c r="H160" s="439"/>
      <c r="I160" s="439"/>
      <c r="J160" s="439"/>
      <c r="K160" s="439"/>
      <c r="L160" s="439"/>
      <c r="M160" s="439"/>
      <c r="N160" s="439"/>
      <c r="O160" s="439"/>
      <c r="P160" s="439"/>
      <c r="Q160" s="439"/>
      <c r="R160" s="439"/>
      <c r="S160" s="439"/>
      <c r="T160" s="439"/>
      <c r="U160" s="439"/>
    </row>
    <row r="161" spans="2:21">
      <c r="B161" s="439"/>
      <c r="C161" s="439"/>
      <c r="D161" s="439"/>
      <c r="E161" s="439"/>
      <c r="F161" s="439"/>
      <c r="G161" s="439"/>
      <c r="H161" s="439"/>
      <c r="I161" s="439"/>
      <c r="J161" s="439"/>
      <c r="K161" s="439"/>
      <c r="L161" s="439"/>
      <c r="M161" s="439"/>
      <c r="N161" s="439"/>
      <c r="O161" s="439"/>
      <c r="P161" s="439"/>
      <c r="Q161" s="439"/>
      <c r="R161" s="439"/>
      <c r="S161" s="439"/>
      <c r="T161" s="439"/>
      <c r="U161" s="439"/>
    </row>
    <row r="162" spans="2:21">
      <c r="B162" s="439"/>
      <c r="C162" s="439"/>
      <c r="D162" s="439"/>
      <c r="E162" s="439"/>
      <c r="F162" s="439"/>
      <c r="G162" s="439"/>
      <c r="H162" s="439"/>
      <c r="I162" s="439"/>
      <c r="J162" s="439"/>
      <c r="K162" s="439"/>
      <c r="L162" s="439"/>
      <c r="M162" s="439"/>
      <c r="N162" s="439"/>
      <c r="O162" s="439"/>
      <c r="P162" s="439"/>
      <c r="Q162" s="439"/>
      <c r="R162" s="439"/>
      <c r="S162" s="439"/>
      <c r="T162" s="439"/>
      <c r="U162" s="439"/>
    </row>
    <row r="163" spans="2:21">
      <c r="B163" s="439"/>
      <c r="C163" s="439"/>
      <c r="D163" s="439"/>
      <c r="E163" s="439"/>
      <c r="F163" s="439"/>
      <c r="G163" s="439"/>
      <c r="H163" s="439"/>
      <c r="I163" s="439"/>
      <c r="J163" s="439"/>
      <c r="K163" s="439"/>
      <c r="L163" s="439"/>
      <c r="M163" s="439"/>
      <c r="N163" s="439"/>
      <c r="O163" s="439"/>
      <c r="P163" s="439"/>
      <c r="Q163" s="439"/>
      <c r="R163" s="439"/>
      <c r="S163" s="439"/>
      <c r="T163" s="439"/>
      <c r="U163" s="439"/>
    </row>
    <row r="164" spans="2:21">
      <c r="B164" s="439"/>
      <c r="C164" s="439"/>
      <c r="D164" s="439"/>
      <c r="E164" s="439"/>
      <c r="F164" s="439"/>
      <c r="G164" s="439"/>
      <c r="H164" s="439"/>
      <c r="I164" s="439"/>
      <c r="J164" s="439"/>
      <c r="K164" s="439"/>
      <c r="L164" s="439"/>
      <c r="M164" s="439"/>
      <c r="N164" s="439"/>
      <c r="O164" s="439"/>
      <c r="P164" s="439"/>
      <c r="Q164" s="439"/>
      <c r="R164" s="439"/>
      <c r="S164" s="439"/>
      <c r="T164" s="439"/>
      <c r="U164" s="439"/>
    </row>
    <row r="165" spans="2:21">
      <c r="B165" s="439"/>
      <c r="C165" s="439"/>
      <c r="D165" s="439"/>
      <c r="E165" s="439"/>
      <c r="F165" s="439"/>
      <c r="G165" s="439"/>
      <c r="H165" s="439"/>
      <c r="I165" s="439"/>
      <c r="J165" s="439"/>
      <c r="K165" s="439"/>
      <c r="L165" s="439"/>
      <c r="M165" s="439"/>
      <c r="N165" s="439"/>
      <c r="O165" s="439"/>
      <c r="P165" s="439"/>
      <c r="Q165" s="439"/>
      <c r="R165" s="439"/>
      <c r="S165" s="439"/>
      <c r="T165" s="439"/>
      <c r="U165" s="439"/>
    </row>
    <row r="166" spans="2:21">
      <c r="B166" s="439"/>
      <c r="C166" s="439"/>
      <c r="D166" s="439"/>
      <c r="E166" s="439"/>
      <c r="F166" s="439"/>
      <c r="G166" s="439"/>
      <c r="H166" s="439"/>
      <c r="I166" s="439"/>
      <c r="J166" s="439"/>
      <c r="K166" s="439"/>
      <c r="L166" s="439"/>
      <c r="M166" s="439"/>
      <c r="N166" s="439"/>
      <c r="O166" s="439"/>
      <c r="P166" s="439"/>
      <c r="Q166" s="439"/>
      <c r="R166" s="439"/>
      <c r="S166" s="439"/>
      <c r="T166" s="439"/>
      <c r="U166" s="439"/>
    </row>
    <row r="167" spans="2:21">
      <c r="B167" s="439"/>
      <c r="C167" s="439"/>
      <c r="D167" s="439"/>
      <c r="E167" s="439"/>
      <c r="F167" s="439"/>
      <c r="G167" s="439"/>
      <c r="H167" s="439"/>
      <c r="I167" s="439"/>
      <c r="J167" s="439"/>
      <c r="K167" s="439"/>
      <c r="L167" s="439"/>
      <c r="M167" s="439"/>
      <c r="N167" s="439"/>
      <c r="O167" s="439"/>
      <c r="P167" s="439"/>
      <c r="Q167" s="439"/>
      <c r="R167" s="439"/>
      <c r="S167" s="439"/>
      <c r="T167" s="439"/>
      <c r="U167" s="439"/>
    </row>
    <row r="168" spans="2:21">
      <c r="B168" s="439"/>
      <c r="C168" s="439"/>
      <c r="D168" s="439"/>
      <c r="E168" s="439"/>
      <c r="F168" s="439"/>
      <c r="G168" s="439"/>
      <c r="H168" s="439"/>
      <c r="I168" s="439"/>
      <c r="J168" s="439"/>
      <c r="K168" s="439"/>
      <c r="L168" s="439"/>
      <c r="M168" s="439"/>
      <c r="N168" s="439"/>
      <c r="O168" s="439"/>
      <c r="P168" s="439"/>
      <c r="Q168" s="439"/>
      <c r="R168" s="439"/>
      <c r="S168" s="439"/>
      <c r="T168" s="439"/>
      <c r="U168" s="439"/>
    </row>
    <row r="169" spans="2:21">
      <c r="B169" s="439"/>
      <c r="C169" s="439"/>
      <c r="D169" s="439"/>
      <c r="E169" s="439"/>
      <c r="F169" s="439"/>
      <c r="G169" s="439"/>
      <c r="H169" s="439"/>
      <c r="I169" s="439"/>
      <c r="J169" s="439"/>
      <c r="K169" s="439"/>
      <c r="L169" s="439"/>
      <c r="M169" s="439"/>
      <c r="N169" s="439"/>
      <c r="O169" s="439"/>
      <c r="P169" s="439"/>
      <c r="Q169" s="439"/>
      <c r="R169" s="439"/>
      <c r="S169" s="439"/>
      <c r="T169" s="439"/>
      <c r="U169" s="439"/>
    </row>
    <row r="170" spans="2:21">
      <c r="B170" s="439"/>
      <c r="C170" s="439"/>
      <c r="D170" s="439"/>
      <c r="E170" s="439"/>
      <c r="F170" s="439"/>
      <c r="G170" s="439"/>
      <c r="H170" s="439"/>
      <c r="I170" s="439"/>
      <c r="J170" s="439"/>
      <c r="K170" s="439"/>
      <c r="L170" s="439"/>
      <c r="M170" s="439"/>
      <c r="N170" s="439"/>
      <c r="O170" s="439"/>
      <c r="P170" s="439"/>
      <c r="Q170" s="439"/>
      <c r="R170" s="439"/>
      <c r="S170" s="439"/>
      <c r="T170" s="439"/>
      <c r="U170" s="439"/>
    </row>
    <row r="171" spans="2:21">
      <c r="B171" s="439"/>
      <c r="C171" s="439"/>
      <c r="D171" s="439"/>
      <c r="E171" s="439"/>
      <c r="F171" s="439"/>
      <c r="G171" s="439"/>
      <c r="H171" s="439"/>
      <c r="I171" s="439"/>
      <c r="J171" s="439"/>
      <c r="K171" s="439"/>
      <c r="L171" s="439"/>
      <c r="M171" s="439"/>
      <c r="N171" s="439"/>
      <c r="O171" s="439"/>
      <c r="P171" s="439"/>
      <c r="Q171" s="439"/>
      <c r="R171" s="439"/>
      <c r="S171" s="439"/>
      <c r="T171" s="439"/>
      <c r="U171" s="439"/>
    </row>
    <row r="172" spans="2:21">
      <c r="B172" s="439"/>
      <c r="C172" s="439"/>
      <c r="D172" s="439"/>
      <c r="E172" s="439"/>
      <c r="F172" s="439"/>
      <c r="G172" s="439"/>
      <c r="H172" s="439"/>
      <c r="I172" s="439"/>
      <c r="J172" s="439"/>
      <c r="K172" s="439"/>
      <c r="L172" s="439"/>
      <c r="M172" s="439"/>
      <c r="N172" s="439"/>
      <c r="O172" s="439"/>
      <c r="P172" s="439"/>
      <c r="Q172" s="439"/>
      <c r="R172" s="439"/>
      <c r="S172" s="439"/>
      <c r="T172" s="439"/>
      <c r="U172" s="439"/>
    </row>
    <row r="173" spans="2:21">
      <c r="B173" s="439"/>
      <c r="C173" s="439"/>
      <c r="D173" s="439"/>
      <c r="E173" s="439"/>
      <c r="F173" s="439"/>
      <c r="G173" s="439"/>
      <c r="H173" s="439"/>
      <c r="I173" s="439"/>
      <c r="J173" s="439"/>
      <c r="K173" s="439"/>
      <c r="L173" s="439"/>
      <c r="M173" s="439"/>
      <c r="N173" s="439"/>
      <c r="O173" s="439"/>
      <c r="P173" s="439"/>
      <c r="Q173" s="439"/>
      <c r="R173" s="439"/>
      <c r="S173" s="439"/>
      <c r="T173" s="439"/>
      <c r="U173" s="439"/>
    </row>
    <row r="174" spans="2:21">
      <c r="B174" s="439"/>
      <c r="C174" s="439"/>
      <c r="D174" s="439"/>
      <c r="E174" s="439"/>
      <c r="F174" s="439"/>
      <c r="G174" s="439"/>
      <c r="H174" s="439"/>
      <c r="I174" s="439"/>
      <c r="J174" s="439"/>
      <c r="K174" s="439"/>
      <c r="L174" s="439"/>
      <c r="M174" s="439"/>
      <c r="N174" s="439"/>
      <c r="O174" s="439"/>
      <c r="P174" s="439"/>
      <c r="Q174" s="439"/>
      <c r="R174" s="439"/>
      <c r="S174" s="439"/>
      <c r="T174" s="439"/>
      <c r="U174" s="439"/>
    </row>
    <row r="175" spans="2:21">
      <c r="B175" s="439"/>
      <c r="C175" s="439"/>
      <c r="D175" s="439"/>
      <c r="E175" s="439"/>
      <c r="F175" s="439"/>
      <c r="G175" s="439"/>
      <c r="H175" s="439"/>
      <c r="I175" s="439"/>
      <c r="J175" s="439"/>
      <c r="K175" s="439"/>
      <c r="L175" s="439"/>
      <c r="M175" s="439"/>
      <c r="N175" s="439"/>
      <c r="O175" s="439"/>
      <c r="P175" s="439"/>
      <c r="Q175" s="439"/>
      <c r="R175" s="439"/>
      <c r="S175" s="439"/>
      <c r="T175" s="439"/>
      <c r="U175" s="439"/>
    </row>
    <row r="176" spans="2:21">
      <c r="B176" s="439"/>
      <c r="C176" s="439"/>
      <c r="D176" s="439"/>
      <c r="E176" s="439"/>
      <c r="F176" s="439"/>
      <c r="G176" s="439"/>
      <c r="H176" s="439"/>
      <c r="I176" s="439"/>
      <c r="J176" s="439"/>
      <c r="K176" s="439"/>
      <c r="L176" s="439"/>
      <c r="M176" s="439"/>
      <c r="N176" s="439"/>
      <c r="O176" s="439"/>
      <c r="P176" s="439"/>
      <c r="Q176" s="439"/>
      <c r="R176" s="439"/>
      <c r="S176" s="439"/>
      <c r="T176" s="439"/>
      <c r="U176" s="439"/>
    </row>
    <row r="177" spans="2:21">
      <c r="B177" s="439"/>
      <c r="C177" s="439"/>
      <c r="D177" s="439"/>
      <c r="E177" s="439"/>
      <c r="F177" s="439"/>
      <c r="G177" s="439"/>
      <c r="H177" s="439"/>
      <c r="I177" s="439"/>
      <c r="J177" s="439"/>
      <c r="K177" s="439"/>
      <c r="L177" s="439"/>
      <c r="M177" s="439"/>
      <c r="N177" s="439"/>
      <c r="O177" s="439"/>
      <c r="P177" s="439"/>
      <c r="Q177" s="439"/>
      <c r="R177" s="439"/>
      <c r="S177" s="439"/>
      <c r="T177" s="439"/>
      <c r="U177" s="439"/>
    </row>
    <row r="178" spans="2:21">
      <c r="B178" s="439"/>
      <c r="C178" s="439"/>
      <c r="D178" s="439"/>
      <c r="E178" s="439"/>
      <c r="F178" s="439"/>
      <c r="G178" s="439"/>
      <c r="H178" s="439"/>
      <c r="I178" s="439"/>
      <c r="J178" s="439"/>
      <c r="K178" s="439"/>
      <c r="L178" s="439"/>
      <c r="M178" s="439"/>
      <c r="N178" s="439"/>
      <c r="O178" s="439"/>
      <c r="P178" s="439"/>
      <c r="Q178" s="439"/>
      <c r="R178" s="439"/>
      <c r="S178" s="439"/>
      <c r="T178" s="439"/>
      <c r="U178" s="439"/>
    </row>
    <row r="179" spans="2:21">
      <c r="B179" s="439"/>
      <c r="C179" s="439"/>
      <c r="D179" s="439"/>
      <c r="E179" s="439"/>
      <c r="F179" s="439"/>
      <c r="G179" s="439"/>
      <c r="H179" s="439"/>
      <c r="I179" s="439"/>
      <c r="J179" s="439"/>
      <c r="K179" s="439"/>
      <c r="L179" s="439"/>
      <c r="M179" s="439"/>
      <c r="N179" s="439"/>
      <c r="O179" s="439"/>
      <c r="P179" s="439"/>
      <c r="Q179" s="439"/>
      <c r="R179" s="439"/>
      <c r="S179" s="439"/>
      <c r="T179" s="439"/>
      <c r="U179" s="439"/>
    </row>
    <row r="180" spans="2:21">
      <c r="B180" s="439"/>
      <c r="C180" s="439"/>
      <c r="D180" s="439"/>
      <c r="E180" s="439"/>
      <c r="F180" s="439"/>
      <c r="G180" s="439"/>
      <c r="H180" s="439"/>
      <c r="I180" s="439"/>
      <c r="J180" s="439"/>
      <c r="K180" s="439"/>
      <c r="L180" s="439"/>
      <c r="M180" s="439"/>
      <c r="N180" s="439"/>
      <c r="O180" s="439"/>
      <c r="P180" s="439"/>
      <c r="Q180" s="439"/>
      <c r="R180" s="439"/>
      <c r="S180" s="439"/>
      <c r="T180" s="439"/>
      <c r="U180" s="439"/>
    </row>
    <row r="181" spans="2:21">
      <c r="B181" s="439"/>
      <c r="C181" s="439"/>
      <c r="D181" s="439"/>
      <c r="E181" s="439"/>
      <c r="F181" s="439"/>
      <c r="G181" s="439"/>
      <c r="H181" s="439"/>
      <c r="I181" s="439"/>
      <c r="J181" s="439"/>
      <c r="K181" s="439"/>
      <c r="L181" s="439"/>
      <c r="M181" s="439"/>
      <c r="N181" s="439"/>
      <c r="O181" s="439"/>
      <c r="P181" s="439"/>
      <c r="Q181" s="439"/>
      <c r="R181" s="439"/>
      <c r="S181" s="439"/>
      <c r="T181" s="439"/>
      <c r="U181" s="439"/>
    </row>
    <row r="182" spans="2:21">
      <c r="B182" s="439"/>
      <c r="C182" s="439"/>
      <c r="D182" s="439"/>
      <c r="E182" s="439"/>
      <c r="F182" s="439"/>
      <c r="G182" s="439"/>
      <c r="H182" s="439"/>
      <c r="I182" s="439"/>
      <c r="J182" s="439"/>
      <c r="K182" s="439"/>
      <c r="L182" s="439"/>
      <c r="M182" s="439"/>
      <c r="N182" s="439"/>
      <c r="O182" s="439"/>
      <c r="P182" s="439"/>
      <c r="Q182" s="439"/>
      <c r="R182" s="439"/>
      <c r="S182" s="439"/>
      <c r="T182" s="439"/>
      <c r="U182" s="439"/>
    </row>
    <row r="183" spans="2:21">
      <c r="B183" s="439"/>
      <c r="C183" s="439"/>
      <c r="D183" s="439"/>
      <c r="E183" s="439"/>
      <c r="F183" s="439"/>
      <c r="G183" s="439"/>
      <c r="H183" s="439"/>
      <c r="I183" s="439"/>
      <c r="J183" s="439"/>
      <c r="K183" s="439"/>
      <c r="L183" s="439"/>
      <c r="M183" s="439"/>
      <c r="N183" s="439"/>
      <c r="O183" s="439"/>
      <c r="P183" s="439"/>
      <c r="Q183" s="439"/>
      <c r="R183" s="439"/>
      <c r="S183" s="439"/>
      <c r="T183" s="439"/>
      <c r="U183" s="439"/>
    </row>
    <row r="184" spans="2:21">
      <c r="B184" s="439"/>
      <c r="C184" s="439"/>
      <c r="D184" s="439"/>
      <c r="E184" s="439"/>
      <c r="F184" s="439"/>
      <c r="G184" s="439"/>
      <c r="H184" s="439"/>
      <c r="I184" s="439"/>
      <c r="J184" s="439"/>
      <c r="K184" s="439"/>
      <c r="L184" s="439"/>
      <c r="M184" s="439"/>
      <c r="N184" s="439"/>
      <c r="O184" s="439"/>
      <c r="P184" s="439"/>
      <c r="Q184" s="439"/>
      <c r="R184" s="439"/>
      <c r="S184" s="439"/>
      <c r="T184" s="439"/>
      <c r="U184" s="439"/>
    </row>
    <row r="185" spans="2:21">
      <c r="B185" s="439"/>
      <c r="C185" s="439"/>
      <c r="D185" s="439"/>
      <c r="E185" s="439"/>
      <c r="F185" s="439"/>
      <c r="G185" s="439"/>
      <c r="H185" s="439"/>
      <c r="I185" s="439"/>
      <c r="J185" s="439"/>
      <c r="K185" s="439"/>
      <c r="L185" s="439"/>
      <c r="M185" s="439"/>
      <c r="N185" s="439"/>
      <c r="O185" s="439"/>
      <c r="P185" s="439"/>
      <c r="Q185" s="439"/>
      <c r="R185" s="439"/>
      <c r="S185" s="439"/>
      <c r="T185" s="439"/>
      <c r="U185" s="439"/>
    </row>
    <row r="186" spans="2:21">
      <c r="B186" s="439"/>
      <c r="C186" s="439"/>
      <c r="D186" s="439"/>
      <c r="E186" s="439"/>
      <c r="F186" s="439"/>
      <c r="G186" s="439"/>
      <c r="H186" s="439"/>
      <c r="I186" s="439"/>
      <c r="J186" s="439"/>
      <c r="K186" s="439"/>
      <c r="L186" s="439"/>
      <c r="M186" s="439"/>
      <c r="N186" s="439"/>
      <c r="O186" s="439"/>
      <c r="P186" s="439"/>
      <c r="Q186" s="439"/>
      <c r="R186" s="439"/>
      <c r="S186" s="439"/>
      <c r="T186" s="439"/>
      <c r="U186" s="439"/>
    </row>
    <row r="187" spans="2:21">
      <c r="B187" s="439"/>
      <c r="C187" s="439"/>
      <c r="D187" s="439"/>
      <c r="E187" s="439"/>
      <c r="F187" s="439"/>
      <c r="G187" s="439"/>
      <c r="H187" s="439"/>
      <c r="I187" s="439"/>
      <c r="J187" s="439"/>
      <c r="K187" s="439"/>
      <c r="L187" s="439"/>
      <c r="M187" s="439"/>
      <c r="N187" s="439"/>
      <c r="O187" s="439"/>
      <c r="P187" s="439"/>
      <c r="Q187" s="439"/>
      <c r="R187" s="439"/>
      <c r="S187" s="439"/>
      <c r="T187" s="439"/>
      <c r="U187" s="439"/>
    </row>
    <row r="188" spans="2:21">
      <c r="B188" s="439"/>
      <c r="C188" s="439"/>
      <c r="D188" s="439"/>
      <c r="E188" s="439"/>
      <c r="F188" s="439"/>
      <c r="G188" s="439"/>
      <c r="H188" s="439"/>
      <c r="I188" s="439"/>
      <c r="J188" s="439"/>
      <c r="K188" s="439"/>
      <c r="L188" s="439"/>
      <c r="M188" s="439"/>
      <c r="N188" s="439"/>
      <c r="O188" s="439"/>
      <c r="P188" s="439"/>
      <c r="Q188" s="439"/>
      <c r="R188" s="439"/>
      <c r="S188" s="439"/>
      <c r="T188" s="439"/>
      <c r="U188" s="439"/>
    </row>
    <row r="189" spans="2:21">
      <c r="B189" s="439"/>
      <c r="C189" s="439"/>
      <c r="D189" s="439"/>
      <c r="E189" s="439"/>
      <c r="F189" s="439"/>
      <c r="G189" s="439"/>
      <c r="H189" s="439"/>
      <c r="I189" s="439"/>
      <c r="J189" s="439"/>
      <c r="K189" s="439"/>
      <c r="L189" s="439"/>
      <c r="M189" s="439"/>
      <c r="N189" s="439"/>
      <c r="O189" s="439"/>
      <c r="P189" s="439"/>
      <c r="Q189" s="439"/>
      <c r="R189" s="439"/>
      <c r="S189" s="439"/>
      <c r="T189" s="439"/>
      <c r="U189" s="439"/>
    </row>
    <row r="190" spans="2:21">
      <c r="B190" s="439"/>
      <c r="C190" s="439"/>
      <c r="D190" s="439"/>
      <c r="E190" s="439"/>
      <c r="F190" s="439"/>
      <c r="G190" s="439"/>
      <c r="H190" s="439"/>
      <c r="I190" s="439"/>
      <c r="J190" s="439"/>
      <c r="K190" s="439"/>
      <c r="L190" s="439"/>
      <c r="M190" s="439"/>
      <c r="N190" s="439"/>
      <c r="O190" s="439"/>
      <c r="P190" s="439"/>
      <c r="Q190" s="439"/>
      <c r="R190" s="439"/>
      <c r="S190" s="439"/>
      <c r="T190" s="439"/>
      <c r="U190" s="439"/>
    </row>
    <row r="191" spans="2:21">
      <c r="B191" s="439"/>
      <c r="C191" s="439"/>
      <c r="D191" s="439"/>
      <c r="E191" s="439"/>
      <c r="F191" s="439"/>
      <c r="G191" s="439"/>
      <c r="H191" s="439"/>
      <c r="I191" s="439"/>
      <c r="J191" s="439"/>
      <c r="K191" s="439"/>
      <c r="L191" s="439"/>
      <c r="M191" s="439"/>
      <c r="N191" s="439"/>
      <c r="O191" s="439"/>
      <c r="P191" s="439"/>
      <c r="Q191" s="439"/>
      <c r="R191" s="439"/>
      <c r="S191" s="439"/>
      <c r="T191" s="439"/>
      <c r="U191" s="439"/>
    </row>
    <row r="192" spans="2:21">
      <c r="B192" s="439"/>
      <c r="C192" s="439"/>
      <c r="D192" s="439"/>
      <c r="E192" s="439"/>
      <c r="F192" s="439"/>
      <c r="G192" s="439"/>
      <c r="H192" s="439"/>
      <c r="I192" s="439"/>
      <c r="J192" s="439"/>
      <c r="K192" s="439"/>
      <c r="L192" s="439"/>
      <c r="M192" s="439"/>
      <c r="N192" s="439"/>
      <c r="O192" s="439"/>
      <c r="P192" s="439"/>
      <c r="Q192" s="439"/>
      <c r="R192" s="439"/>
      <c r="S192" s="439"/>
      <c r="T192" s="439"/>
      <c r="U192" s="439"/>
    </row>
    <row r="193" spans="2:21">
      <c r="B193" s="439"/>
      <c r="C193" s="439"/>
      <c r="D193" s="439"/>
      <c r="E193" s="439"/>
      <c r="F193" s="439"/>
      <c r="G193" s="439"/>
      <c r="H193" s="439"/>
      <c r="I193" s="439"/>
      <c r="J193" s="439"/>
      <c r="K193" s="439"/>
      <c r="L193" s="439"/>
      <c r="M193" s="439"/>
      <c r="N193" s="439"/>
      <c r="O193" s="439"/>
      <c r="P193" s="439"/>
      <c r="Q193" s="439"/>
      <c r="R193" s="439"/>
      <c r="S193" s="439"/>
      <c r="T193" s="439"/>
      <c r="U193" s="439"/>
    </row>
    <row r="194" spans="2:21">
      <c r="B194" s="439"/>
      <c r="C194" s="439"/>
      <c r="D194" s="439"/>
      <c r="E194" s="439"/>
      <c r="F194" s="439"/>
      <c r="G194" s="439"/>
      <c r="H194" s="439"/>
      <c r="I194" s="439"/>
      <c r="J194" s="439"/>
      <c r="K194" s="439"/>
      <c r="L194" s="439"/>
      <c r="M194" s="439"/>
      <c r="N194" s="439"/>
      <c r="O194" s="439"/>
      <c r="P194" s="439"/>
      <c r="Q194" s="439"/>
      <c r="R194" s="439"/>
      <c r="S194" s="439"/>
      <c r="T194" s="439"/>
      <c r="U194" s="439"/>
    </row>
    <row r="195" spans="2:21">
      <c r="B195" s="439"/>
      <c r="C195" s="439"/>
      <c r="D195" s="439"/>
      <c r="E195" s="439"/>
      <c r="F195" s="439"/>
      <c r="G195" s="439"/>
      <c r="H195" s="439"/>
      <c r="I195" s="439"/>
      <c r="J195" s="439"/>
      <c r="K195" s="439"/>
      <c r="L195" s="439"/>
      <c r="M195" s="439"/>
      <c r="N195" s="439"/>
      <c r="O195" s="439"/>
      <c r="P195" s="439"/>
      <c r="Q195" s="439"/>
      <c r="R195" s="439"/>
      <c r="S195" s="439"/>
      <c r="T195" s="439"/>
      <c r="U195" s="439"/>
    </row>
    <row r="196" spans="2:21">
      <c r="B196" s="439"/>
      <c r="C196" s="439"/>
      <c r="D196" s="439"/>
      <c r="E196" s="439"/>
      <c r="F196" s="439"/>
      <c r="G196" s="439"/>
      <c r="H196" s="439"/>
      <c r="I196" s="439"/>
      <c r="J196" s="439"/>
      <c r="K196" s="439"/>
      <c r="L196" s="439"/>
      <c r="M196" s="439"/>
      <c r="N196" s="439"/>
      <c r="O196" s="439"/>
      <c r="P196" s="439"/>
      <c r="Q196" s="439"/>
      <c r="R196" s="439"/>
      <c r="S196" s="439"/>
      <c r="T196" s="439"/>
      <c r="U196" s="439"/>
    </row>
    <row r="197" spans="2:21">
      <c r="B197" s="439"/>
      <c r="C197" s="439"/>
      <c r="D197" s="439"/>
      <c r="E197" s="439"/>
      <c r="F197" s="439"/>
      <c r="G197" s="439"/>
      <c r="H197" s="439"/>
      <c r="I197" s="439"/>
      <c r="J197" s="439"/>
      <c r="K197" s="439"/>
      <c r="L197" s="439"/>
      <c r="M197" s="439"/>
      <c r="N197" s="439"/>
      <c r="O197" s="439"/>
      <c r="P197" s="439"/>
      <c r="Q197" s="439"/>
      <c r="R197" s="439"/>
      <c r="S197" s="439"/>
      <c r="T197" s="439"/>
      <c r="U197" s="439"/>
    </row>
    <row r="198" spans="2:21">
      <c r="B198" s="439"/>
      <c r="C198" s="439"/>
      <c r="D198" s="439"/>
      <c r="E198" s="439"/>
      <c r="F198" s="439"/>
      <c r="G198" s="439"/>
      <c r="H198" s="439"/>
      <c r="I198" s="439"/>
      <c r="J198" s="439"/>
      <c r="K198" s="439"/>
      <c r="L198" s="439"/>
      <c r="M198" s="439"/>
      <c r="N198" s="439"/>
      <c r="O198" s="439"/>
      <c r="P198" s="439"/>
      <c r="Q198" s="439"/>
      <c r="R198" s="439"/>
      <c r="S198" s="439"/>
      <c r="T198" s="439"/>
      <c r="U198" s="439"/>
    </row>
    <row r="199" spans="2:21">
      <c r="B199" s="439"/>
      <c r="C199" s="439"/>
      <c r="D199" s="439"/>
      <c r="E199" s="439"/>
      <c r="F199" s="439"/>
      <c r="G199" s="439"/>
      <c r="H199" s="439"/>
      <c r="I199" s="439"/>
      <c r="J199" s="439"/>
      <c r="K199" s="439"/>
      <c r="L199" s="439"/>
      <c r="M199" s="439"/>
      <c r="N199" s="439"/>
      <c r="O199" s="439"/>
      <c r="P199" s="439"/>
      <c r="Q199" s="439"/>
      <c r="R199" s="439"/>
      <c r="S199" s="439"/>
      <c r="T199" s="439"/>
      <c r="U199" s="439"/>
    </row>
    <row r="200" spans="2:21">
      <c r="B200" s="439"/>
      <c r="C200" s="439"/>
      <c r="D200" s="439"/>
      <c r="E200" s="439"/>
      <c r="F200" s="439"/>
      <c r="G200" s="439"/>
      <c r="H200" s="439"/>
      <c r="I200" s="439"/>
      <c r="J200" s="439"/>
      <c r="K200" s="439"/>
      <c r="L200" s="439"/>
      <c r="M200" s="439"/>
      <c r="N200" s="439"/>
      <c r="O200" s="439"/>
      <c r="P200" s="439"/>
      <c r="Q200" s="439"/>
      <c r="R200" s="439"/>
      <c r="S200" s="439"/>
      <c r="T200" s="439"/>
      <c r="U200" s="439"/>
    </row>
    <row r="201" spans="2:21">
      <c r="B201" s="439"/>
      <c r="C201" s="439"/>
      <c r="D201" s="439"/>
      <c r="E201" s="439"/>
      <c r="F201" s="439"/>
      <c r="G201" s="439"/>
      <c r="H201" s="439"/>
      <c r="I201" s="439"/>
      <c r="J201" s="439"/>
      <c r="K201" s="439"/>
      <c r="L201" s="439"/>
      <c r="M201" s="439"/>
      <c r="N201" s="439"/>
      <c r="O201" s="439"/>
      <c r="P201" s="439"/>
      <c r="Q201" s="439"/>
      <c r="R201" s="439"/>
      <c r="S201" s="439"/>
      <c r="T201" s="439"/>
      <c r="U201" s="439"/>
    </row>
    <row r="202" spans="2:21">
      <c r="B202" s="439"/>
      <c r="C202" s="439"/>
      <c r="D202" s="439"/>
      <c r="E202" s="439"/>
      <c r="F202" s="439"/>
      <c r="G202" s="439"/>
      <c r="H202" s="439"/>
      <c r="I202" s="439"/>
      <c r="J202" s="439"/>
      <c r="K202" s="439"/>
      <c r="L202" s="439"/>
      <c r="M202" s="439"/>
      <c r="N202" s="439"/>
      <c r="O202" s="439"/>
      <c r="P202" s="439"/>
      <c r="Q202" s="439"/>
      <c r="R202" s="439"/>
      <c r="S202" s="439"/>
      <c r="T202" s="439"/>
      <c r="U202" s="439"/>
    </row>
    <row r="203" spans="2:21">
      <c r="B203" s="439"/>
      <c r="C203" s="439"/>
      <c r="D203" s="439"/>
      <c r="E203" s="439"/>
      <c r="F203" s="439"/>
      <c r="G203" s="439"/>
      <c r="H203" s="439"/>
      <c r="I203" s="439"/>
      <c r="J203" s="439"/>
      <c r="K203" s="439"/>
      <c r="L203" s="439"/>
      <c r="M203" s="439"/>
      <c r="N203" s="439"/>
      <c r="O203" s="439"/>
      <c r="P203" s="439"/>
      <c r="Q203" s="439"/>
      <c r="R203" s="439"/>
      <c r="S203" s="439"/>
      <c r="T203" s="439"/>
      <c r="U203" s="439"/>
    </row>
    <row r="204" spans="2:21">
      <c r="B204" s="439"/>
      <c r="C204" s="439"/>
      <c r="D204" s="439"/>
      <c r="E204" s="439"/>
      <c r="F204" s="439"/>
      <c r="G204" s="439"/>
      <c r="H204" s="439"/>
      <c r="I204" s="439"/>
      <c r="J204" s="439"/>
      <c r="K204" s="439"/>
      <c r="L204" s="439"/>
      <c r="M204" s="439"/>
      <c r="N204" s="439"/>
      <c r="O204" s="439"/>
      <c r="P204" s="439"/>
      <c r="Q204" s="439"/>
      <c r="R204" s="439"/>
      <c r="S204" s="439"/>
      <c r="T204" s="439"/>
      <c r="U204" s="439"/>
    </row>
    <row r="205" spans="2:21">
      <c r="B205" s="439"/>
      <c r="C205" s="439"/>
      <c r="D205" s="439"/>
      <c r="E205" s="439"/>
      <c r="F205" s="439"/>
      <c r="G205" s="439"/>
      <c r="H205" s="439"/>
      <c r="I205" s="439"/>
      <c r="J205" s="439"/>
      <c r="K205" s="439"/>
      <c r="L205" s="439"/>
      <c r="M205" s="439"/>
      <c r="N205" s="439"/>
      <c r="O205" s="439"/>
      <c r="P205" s="439"/>
      <c r="Q205" s="439"/>
      <c r="R205" s="439"/>
      <c r="S205" s="439"/>
      <c r="T205" s="439"/>
      <c r="U205" s="439"/>
    </row>
    <row r="206" spans="2:21">
      <c r="B206" s="439"/>
      <c r="C206" s="439"/>
      <c r="D206" s="439"/>
      <c r="E206" s="439"/>
      <c r="F206" s="439"/>
      <c r="G206" s="439"/>
      <c r="H206" s="439"/>
      <c r="I206" s="439"/>
      <c r="J206" s="439"/>
      <c r="K206" s="439"/>
      <c r="L206" s="439"/>
      <c r="M206" s="439"/>
      <c r="N206" s="439"/>
      <c r="O206" s="439"/>
      <c r="P206" s="439"/>
      <c r="Q206" s="439"/>
      <c r="R206" s="439"/>
      <c r="S206" s="439"/>
      <c r="T206" s="439"/>
      <c r="U206" s="439"/>
    </row>
    <row r="207" spans="2:21">
      <c r="B207" s="439"/>
      <c r="C207" s="439"/>
      <c r="D207" s="439"/>
      <c r="E207" s="439"/>
      <c r="F207" s="439"/>
      <c r="G207" s="439"/>
      <c r="H207" s="439"/>
      <c r="I207" s="439"/>
      <c r="J207" s="439"/>
      <c r="K207" s="439"/>
      <c r="L207" s="439"/>
      <c r="M207" s="439"/>
      <c r="N207" s="439"/>
      <c r="O207" s="439"/>
      <c r="P207" s="439"/>
      <c r="Q207" s="439"/>
      <c r="R207" s="439"/>
      <c r="S207" s="439"/>
      <c r="T207" s="439"/>
      <c r="U207" s="439"/>
    </row>
    <row r="208" spans="2:21">
      <c r="B208" s="439"/>
      <c r="C208" s="439"/>
      <c r="D208" s="439"/>
      <c r="E208" s="439"/>
      <c r="F208" s="439"/>
      <c r="G208" s="439"/>
      <c r="H208" s="439"/>
      <c r="I208" s="439"/>
      <c r="J208" s="439"/>
      <c r="K208" s="439"/>
      <c r="L208" s="439"/>
      <c r="M208" s="439"/>
      <c r="N208" s="439"/>
      <c r="O208" s="439"/>
      <c r="P208" s="439"/>
      <c r="Q208" s="439"/>
      <c r="R208" s="439"/>
      <c r="S208" s="439"/>
      <c r="T208" s="439"/>
      <c r="U208" s="439"/>
    </row>
    <row r="209" spans="2:21">
      <c r="B209" s="439"/>
      <c r="C209" s="439"/>
      <c r="D209" s="439"/>
      <c r="E209" s="439"/>
      <c r="F209" s="439"/>
      <c r="G209" s="439"/>
      <c r="H209" s="439"/>
      <c r="I209" s="439"/>
      <c r="J209" s="439"/>
      <c r="K209" s="439"/>
      <c r="L209" s="439"/>
      <c r="M209" s="439"/>
      <c r="N209" s="439"/>
      <c r="O209" s="439"/>
      <c r="P209" s="439"/>
      <c r="Q209" s="439"/>
      <c r="R209" s="439"/>
      <c r="S209" s="439"/>
      <c r="T209" s="439"/>
      <c r="U209" s="439"/>
    </row>
    <row r="210" spans="2:21">
      <c r="B210" s="439"/>
      <c r="C210" s="439"/>
      <c r="D210" s="439"/>
      <c r="E210" s="439"/>
      <c r="F210" s="439"/>
      <c r="G210" s="439"/>
      <c r="H210" s="439"/>
      <c r="I210" s="439"/>
      <c r="J210" s="439"/>
      <c r="K210" s="439"/>
      <c r="L210" s="439"/>
      <c r="M210" s="439"/>
      <c r="N210" s="439"/>
      <c r="O210" s="439"/>
      <c r="P210" s="439"/>
      <c r="Q210" s="439"/>
      <c r="R210" s="439"/>
      <c r="S210" s="439"/>
      <c r="T210" s="439"/>
      <c r="U210" s="439"/>
    </row>
    <row r="211" spans="2:21">
      <c r="B211" s="439"/>
      <c r="C211" s="439"/>
      <c r="D211" s="439"/>
      <c r="E211" s="439"/>
      <c r="F211" s="439"/>
      <c r="G211" s="439"/>
      <c r="H211" s="439"/>
      <c r="I211" s="439"/>
      <c r="J211" s="439"/>
      <c r="K211" s="439"/>
      <c r="L211" s="439"/>
      <c r="M211" s="439"/>
      <c r="N211" s="439"/>
      <c r="O211" s="439"/>
      <c r="P211" s="439"/>
      <c r="Q211" s="439"/>
      <c r="R211" s="439"/>
      <c r="S211" s="439"/>
      <c r="T211" s="439"/>
      <c r="U211" s="439"/>
    </row>
    <row r="212" spans="2:21">
      <c r="B212" s="439"/>
      <c r="C212" s="439"/>
      <c r="D212" s="439"/>
      <c r="E212" s="439"/>
      <c r="F212" s="439"/>
      <c r="G212" s="439"/>
      <c r="H212" s="439"/>
      <c r="I212" s="439"/>
      <c r="J212" s="439"/>
      <c r="K212" s="439"/>
      <c r="L212" s="439"/>
      <c r="M212" s="439"/>
      <c r="N212" s="439"/>
      <c r="O212" s="439"/>
      <c r="P212" s="439"/>
      <c r="Q212" s="439"/>
      <c r="R212" s="439"/>
      <c r="S212" s="439"/>
      <c r="T212" s="439"/>
      <c r="U212" s="439"/>
    </row>
    <row r="213" spans="2:21">
      <c r="B213" s="439"/>
      <c r="C213" s="439"/>
      <c r="D213" s="439"/>
      <c r="E213" s="439"/>
      <c r="F213" s="439"/>
      <c r="G213" s="439"/>
      <c r="H213" s="439"/>
      <c r="I213" s="439"/>
      <c r="J213" s="439"/>
      <c r="K213" s="439"/>
      <c r="L213" s="439"/>
      <c r="M213" s="439"/>
      <c r="N213" s="439"/>
      <c r="O213" s="439"/>
      <c r="P213" s="439"/>
      <c r="Q213" s="439"/>
      <c r="R213" s="439"/>
      <c r="S213" s="439"/>
      <c r="T213" s="439"/>
      <c r="U213" s="439"/>
    </row>
    <row r="214" spans="2:21">
      <c r="B214" s="439"/>
      <c r="C214" s="439"/>
      <c r="D214" s="439"/>
      <c r="E214" s="439"/>
      <c r="F214" s="439"/>
      <c r="G214" s="439"/>
      <c r="H214" s="439"/>
      <c r="I214" s="439"/>
      <c r="J214" s="439"/>
      <c r="K214" s="439"/>
      <c r="L214" s="439"/>
      <c r="M214" s="439"/>
      <c r="N214" s="439"/>
      <c r="O214" s="439"/>
      <c r="P214" s="439"/>
      <c r="Q214" s="439"/>
      <c r="R214" s="439"/>
      <c r="S214" s="439"/>
      <c r="T214" s="439"/>
      <c r="U214" s="439"/>
    </row>
    <row r="215" spans="2:21">
      <c r="B215" s="439"/>
      <c r="C215" s="439"/>
      <c r="D215" s="439"/>
      <c r="E215" s="439"/>
      <c r="F215" s="439"/>
      <c r="G215" s="439"/>
      <c r="H215" s="439"/>
      <c r="I215" s="439"/>
      <c r="J215" s="439"/>
      <c r="K215" s="439"/>
      <c r="L215" s="439"/>
      <c r="M215" s="439"/>
      <c r="N215" s="439"/>
      <c r="O215" s="439"/>
      <c r="P215" s="439"/>
      <c r="Q215" s="439"/>
      <c r="R215" s="439"/>
      <c r="S215" s="439"/>
      <c r="T215" s="439"/>
      <c r="U215" s="439"/>
    </row>
    <row r="216" spans="2:21">
      <c r="B216" s="439"/>
      <c r="C216" s="439"/>
      <c r="D216" s="439"/>
      <c r="E216" s="439"/>
      <c r="F216" s="439"/>
      <c r="G216" s="439"/>
      <c r="H216" s="439"/>
      <c r="I216" s="439"/>
      <c r="J216" s="439"/>
      <c r="K216" s="439"/>
      <c r="L216" s="439"/>
      <c r="M216" s="439"/>
      <c r="N216" s="439"/>
      <c r="O216" s="439"/>
      <c r="P216" s="439"/>
      <c r="Q216" s="439"/>
      <c r="R216" s="439"/>
      <c r="S216" s="439"/>
      <c r="T216" s="439"/>
      <c r="U216" s="439"/>
    </row>
    <row r="217" spans="2:21">
      <c r="B217" s="439"/>
      <c r="C217" s="439"/>
      <c r="D217" s="439"/>
      <c r="E217" s="439"/>
      <c r="F217" s="439"/>
      <c r="G217" s="439"/>
      <c r="H217" s="439"/>
      <c r="I217" s="439"/>
      <c r="J217" s="439"/>
      <c r="K217" s="439"/>
      <c r="L217" s="439"/>
      <c r="M217" s="439"/>
      <c r="N217" s="439"/>
      <c r="O217" s="439"/>
      <c r="P217" s="439"/>
      <c r="Q217" s="439"/>
      <c r="R217" s="439"/>
      <c r="S217" s="439"/>
      <c r="T217" s="439"/>
      <c r="U217" s="439"/>
    </row>
    <row r="218" spans="2:21">
      <c r="B218" s="439"/>
      <c r="C218" s="439"/>
      <c r="D218" s="439"/>
      <c r="E218" s="439"/>
      <c r="F218" s="439"/>
      <c r="G218" s="439"/>
      <c r="H218" s="439"/>
      <c r="I218" s="439"/>
      <c r="J218" s="439"/>
      <c r="K218" s="439"/>
      <c r="L218" s="439"/>
      <c r="M218" s="439"/>
      <c r="N218" s="439"/>
      <c r="O218" s="439"/>
      <c r="P218" s="439"/>
      <c r="Q218" s="439"/>
      <c r="R218" s="439"/>
      <c r="S218" s="439"/>
      <c r="T218" s="439"/>
      <c r="U218" s="439"/>
    </row>
    <row r="219" spans="2:21">
      <c r="B219" s="439"/>
      <c r="C219" s="439"/>
      <c r="D219" s="439"/>
      <c r="E219" s="439"/>
      <c r="F219" s="439"/>
      <c r="G219" s="439"/>
      <c r="H219" s="439"/>
      <c r="I219" s="439"/>
      <c r="J219" s="439"/>
      <c r="K219" s="439"/>
      <c r="L219" s="439"/>
      <c r="M219" s="439"/>
      <c r="N219" s="439"/>
      <c r="O219" s="439"/>
      <c r="P219" s="439"/>
      <c r="Q219" s="439"/>
      <c r="R219" s="439"/>
      <c r="S219" s="439"/>
      <c r="T219" s="439"/>
      <c r="U219" s="439"/>
    </row>
    <row r="220" spans="2:21">
      <c r="B220" s="439"/>
      <c r="C220" s="439"/>
      <c r="D220" s="439"/>
      <c r="E220" s="439"/>
      <c r="F220" s="439"/>
      <c r="G220" s="439"/>
      <c r="H220" s="439"/>
      <c r="I220" s="439"/>
      <c r="J220" s="439"/>
      <c r="K220" s="439"/>
      <c r="L220" s="439"/>
      <c r="M220" s="439"/>
      <c r="N220" s="439"/>
      <c r="O220" s="439"/>
      <c r="P220" s="439"/>
      <c r="Q220" s="439"/>
      <c r="R220" s="439"/>
      <c r="S220" s="439"/>
      <c r="T220" s="439"/>
      <c r="U220" s="439"/>
    </row>
    <row r="221" spans="2:21">
      <c r="B221" s="439"/>
      <c r="C221" s="439"/>
      <c r="D221" s="439"/>
      <c r="E221" s="439"/>
      <c r="F221" s="439"/>
      <c r="G221" s="439"/>
      <c r="H221" s="439"/>
      <c r="I221" s="439"/>
      <c r="J221" s="439"/>
      <c r="K221" s="439"/>
      <c r="L221" s="439"/>
      <c r="M221" s="439"/>
      <c r="N221" s="439"/>
      <c r="O221" s="439"/>
      <c r="P221" s="439"/>
      <c r="Q221" s="439"/>
      <c r="R221" s="439"/>
      <c r="S221" s="439"/>
      <c r="T221" s="439"/>
      <c r="U221" s="439"/>
    </row>
    <row r="222" spans="2:21">
      <c r="B222" s="439"/>
      <c r="C222" s="439"/>
      <c r="D222" s="439"/>
      <c r="E222" s="439"/>
      <c r="F222" s="439"/>
      <c r="G222" s="439"/>
      <c r="H222" s="439"/>
      <c r="I222" s="439"/>
      <c r="J222" s="439"/>
      <c r="K222" s="439"/>
      <c r="L222" s="439"/>
      <c r="M222" s="439"/>
      <c r="N222" s="439"/>
      <c r="O222" s="439"/>
      <c r="P222" s="439"/>
      <c r="Q222" s="439"/>
      <c r="R222" s="439"/>
      <c r="S222" s="439"/>
      <c r="T222" s="439"/>
      <c r="U222" s="439"/>
    </row>
    <row r="223" spans="2:21">
      <c r="B223" s="439"/>
      <c r="C223" s="439"/>
      <c r="D223" s="439"/>
      <c r="E223" s="439"/>
      <c r="F223" s="439"/>
      <c r="G223" s="439"/>
      <c r="H223" s="439"/>
      <c r="I223" s="439"/>
      <c r="J223" s="439"/>
      <c r="K223" s="439"/>
      <c r="L223" s="439"/>
      <c r="M223" s="439"/>
      <c r="N223" s="439"/>
      <c r="O223" s="439"/>
      <c r="P223" s="439"/>
      <c r="Q223" s="439"/>
      <c r="R223" s="439"/>
      <c r="S223" s="439"/>
      <c r="T223" s="439"/>
      <c r="U223" s="439"/>
    </row>
    <row r="224" spans="2:21">
      <c r="B224" s="439"/>
      <c r="C224" s="439"/>
      <c r="D224" s="439"/>
      <c r="E224" s="439"/>
      <c r="F224" s="439"/>
      <c r="G224" s="439"/>
      <c r="H224" s="439"/>
      <c r="I224" s="439"/>
      <c r="J224" s="439"/>
      <c r="K224" s="439"/>
      <c r="L224" s="439"/>
      <c r="M224" s="439"/>
      <c r="N224" s="439"/>
      <c r="O224" s="439"/>
      <c r="P224" s="439"/>
      <c r="Q224" s="439"/>
      <c r="R224" s="439"/>
      <c r="S224" s="439"/>
      <c r="T224" s="439"/>
      <c r="U224" s="439"/>
    </row>
    <row r="225" spans="2:21">
      <c r="B225" s="439"/>
      <c r="C225" s="439"/>
      <c r="D225" s="439"/>
      <c r="E225" s="439"/>
      <c r="F225" s="439"/>
      <c r="G225" s="439"/>
      <c r="H225" s="439"/>
      <c r="I225" s="439"/>
      <c r="J225" s="439"/>
      <c r="K225" s="439"/>
      <c r="L225" s="439"/>
      <c r="M225" s="439"/>
      <c r="N225" s="439"/>
      <c r="O225" s="439"/>
      <c r="P225" s="439"/>
      <c r="Q225" s="439"/>
      <c r="R225" s="439"/>
      <c r="S225" s="439"/>
      <c r="T225" s="439"/>
      <c r="U225" s="439"/>
    </row>
    <row r="226" spans="2:21">
      <c r="B226" s="439"/>
      <c r="C226" s="439"/>
      <c r="D226" s="439"/>
      <c r="E226" s="439"/>
      <c r="F226" s="439"/>
      <c r="G226" s="439"/>
      <c r="H226" s="439"/>
      <c r="I226" s="439"/>
      <c r="J226" s="439"/>
      <c r="K226" s="439"/>
      <c r="L226" s="439"/>
      <c r="M226" s="439"/>
      <c r="N226" s="439"/>
      <c r="O226" s="439"/>
      <c r="P226" s="439"/>
      <c r="Q226" s="439"/>
      <c r="R226" s="439"/>
      <c r="S226" s="439"/>
      <c r="T226" s="439"/>
      <c r="U226" s="439"/>
    </row>
    <row r="227" spans="2:21">
      <c r="B227" s="439"/>
      <c r="C227" s="439"/>
      <c r="D227" s="439"/>
      <c r="E227" s="439"/>
      <c r="F227" s="439"/>
      <c r="G227" s="439"/>
      <c r="H227" s="439"/>
      <c r="I227" s="439"/>
      <c r="J227" s="439"/>
      <c r="K227" s="439"/>
      <c r="L227" s="439"/>
      <c r="M227" s="439"/>
      <c r="N227" s="439"/>
      <c r="O227" s="439"/>
      <c r="P227" s="439"/>
      <c r="Q227" s="439"/>
      <c r="R227" s="439"/>
      <c r="S227" s="439"/>
      <c r="T227" s="439"/>
      <c r="U227" s="439"/>
    </row>
    <row r="228" spans="2:21">
      <c r="B228" s="439"/>
      <c r="C228" s="439"/>
      <c r="D228" s="439"/>
      <c r="E228" s="439"/>
      <c r="F228" s="439"/>
      <c r="G228" s="439"/>
      <c r="H228" s="439"/>
      <c r="I228" s="439"/>
      <c r="J228" s="439"/>
      <c r="K228" s="439"/>
      <c r="L228" s="439"/>
      <c r="M228" s="439"/>
      <c r="N228" s="439"/>
      <c r="O228" s="439"/>
      <c r="P228" s="439"/>
      <c r="Q228" s="439"/>
      <c r="R228" s="439"/>
      <c r="S228" s="439"/>
      <c r="T228" s="439"/>
      <c r="U228" s="439"/>
    </row>
    <row r="229" spans="2:21">
      <c r="B229" s="439"/>
      <c r="C229" s="439"/>
      <c r="D229" s="439"/>
      <c r="E229" s="439"/>
      <c r="F229" s="439"/>
      <c r="G229" s="439"/>
      <c r="H229" s="439"/>
      <c r="I229" s="439"/>
      <c r="J229" s="439"/>
      <c r="K229" s="439"/>
      <c r="L229" s="439"/>
      <c r="M229" s="439"/>
      <c r="N229" s="439"/>
      <c r="O229" s="439"/>
      <c r="P229" s="439"/>
      <c r="Q229" s="439"/>
      <c r="R229" s="439"/>
      <c r="S229" s="439"/>
      <c r="T229" s="439"/>
      <c r="U229" s="439"/>
    </row>
    <row r="230" spans="2:21">
      <c r="B230" s="439"/>
      <c r="C230" s="439"/>
      <c r="D230" s="439"/>
      <c r="E230" s="439"/>
      <c r="F230" s="439"/>
      <c r="G230" s="439"/>
      <c r="H230" s="439"/>
      <c r="I230" s="439"/>
      <c r="J230" s="439"/>
      <c r="K230" s="439"/>
      <c r="L230" s="439"/>
      <c r="M230" s="439"/>
      <c r="N230" s="439"/>
      <c r="O230" s="439"/>
      <c r="P230" s="439"/>
      <c r="Q230" s="439"/>
      <c r="R230" s="439"/>
      <c r="S230" s="439"/>
      <c r="T230" s="439"/>
      <c r="U230" s="439"/>
    </row>
    <row r="231" spans="2:21">
      <c r="B231" s="439"/>
      <c r="C231" s="439"/>
      <c r="D231" s="439"/>
      <c r="E231" s="439"/>
      <c r="F231" s="439"/>
      <c r="G231" s="439"/>
      <c r="H231" s="439"/>
      <c r="I231" s="439"/>
      <c r="J231" s="439"/>
      <c r="K231" s="439"/>
      <c r="L231" s="439"/>
      <c r="M231" s="439"/>
      <c r="N231" s="439"/>
      <c r="O231" s="439"/>
      <c r="P231" s="439"/>
      <c r="Q231" s="439"/>
      <c r="R231" s="439"/>
      <c r="S231" s="439"/>
      <c r="T231" s="439"/>
      <c r="U231" s="439"/>
    </row>
    <row r="232" spans="2:21">
      <c r="B232" s="439"/>
      <c r="C232" s="439"/>
      <c r="D232" s="439"/>
      <c r="E232" s="439"/>
      <c r="F232" s="439"/>
      <c r="G232" s="439"/>
      <c r="H232" s="439"/>
      <c r="I232" s="439"/>
      <c r="J232" s="439"/>
      <c r="K232" s="439"/>
      <c r="L232" s="439"/>
      <c r="M232" s="439"/>
      <c r="N232" s="439"/>
      <c r="O232" s="439"/>
      <c r="P232" s="439"/>
      <c r="Q232" s="439"/>
      <c r="R232" s="439"/>
      <c r="S232" s="439"/>
      <c r="T232" s="439"/>
      <c r="U232" s="439"/>
    </row>
    <row r="233" spans="2:21">
      <c r="B233" s="439"/>
      <c r="C233" s="439"/>
      <c r="D233" s="439"/>
      <c r="E233" s="439"/>
      <c r="F233" s="439"/>
      <c r="G233" s="439"/>
      <c r="H233" s="439"/>
      <c r="I233" s="439"/>
      <c r="J233" s="439"/>
      <c r="K233" s="439"/>
      <c r="L233" s="439"/>
      <c r="M233" s="439"/>
      <c r="N233" s="439"/>
      <c r="O233" s="439"/>
      <c r="P233" s="439"/>
      <c r="Q233" s="439"/>
      <c r="R233" s="439"/>
      <c r="S233" s="439"/>
      <c r="T233" s="439"/>
      <c r="U233" s="439"/>
    </row>
    <row r="234" spans="2:21">
      <c r="B234" s="439"/>
      <c r="C234" s="439"/>
      <c r="D234" s="439"/>
      <c r="E234" s="439"/>
      <c r="F234" s="439"/>
      <c r="G234" s="439"/>
      <c r="H234" s="439"/>
      <c r="I234" s="439"/>
      <c r="J234" s="439"/>
      <c r="K234" s="439"/>
      <c r="L234" s="439"/>
      <c r="M234" s="439"/>
      <c r="N234" s="439"/>
      <c r="O234" s="439"/>
      <c r="P234" s="439"/>
      <c r="Q234" s="439"/>
      <c r="R234" s="439"/>
      <c r="S234" s="439"/>
      <c r="T234" s="439"/>
      <c r="U234" s="439"/>
    </row>
    <row r="235" spans="2:21">
      <c r="B235" s="439"/>
      <c r="C235" s="439"/>
      <c r="D235" s="439"/>
      <c r="E235" s="439"/>
      <c r="F235" s="439"/>
      <c r="G235" s="439"/>
      <c r="H235" s="439"/>
      <c r="I235" s="439"/>
      <c r="J235" s="439"/>
      <c r="K235" s="439"/>
      <c r="L235" s="439"/>
      <c r="M235" s="439"/>
      <c r="N235" s="439"/>
      <c r="O235" s="439"/>
      <c r="P235" s="439"/>
      <c r="Q235" s="439"/>
      <c r="R235" s="439"/>
      <c r="S235" s="439"/>
      <c r="T235" s="439"/>
      <c r="U235" s="439"/>
    </row>
    <row r="236" spans="2:21">
      <c r="B236" s="439"/>
      <c r="C236" s="439"/>
      <c r="D236" s="439"/>
      <c r="E236" s="439"/>
      <c r="F236" s="439"/>
      <c r="G236" s="439"/>
      <c r="H236" s="439"/>
      <c r="I236" s="439"/>
      <c r="J236" s="439"/>
      <c r="K236" s="439"/>
      <c r="L236" s="439"/>
      <c r="M236" s="439"/>
      <c r="N236" s="439"/>
      <c r="O236" s="439"/>
      <c r="P236" s="439"/>
      <c r="Q236" s="439"/>
      <c r="R236" s="439"/>
      <c r="S236" s="439"/>
      <c r="T236" s="439"/>
      <c r="U236" s="439"/>
    </row>
    <row r="237" spans="2:21">
      <c r="B237" s="439"/>
      <c r="C237" s="439"/>
      <c r="D237" s="439"/>
      <c r="E237" s="439"/>
      <c r="F237" s="439"/>
      <c r="G237" s="439"/>
      <c r="H237" s="439"/>
      <c r="I237" s="439"/>
      <c r="J237" s="439"/>
      <c r="K237" s="439"/>
      <c r="L237" s="439"/>
      <c r="M237" s="439"/>
      <c r="N237" s="439"/>
      <c r="O237" s="439"/>
      <c r="P237" s="439"/>
      <c r="Q237" s="439"/>
      <c r="R237" s="439"/>
      <c r="S237" s="439"/>
      <c r="T237" s="439"/>
      <c r="U237" s="439"/>
    </row>
    <row r="238" spans="2:21">
      <c r="B238" s="439"/>
      <c r="C238" s="439"/>
      <c r="D238" s="439"/>
      <c r="E238" s="439"/>
      <c r="F238" s="439"/>
      <c r="G238" s="439"/>
      <c r="H238" s="439"/>
      <c r="I238" s="439"/>
      <c r="J238" s="439"/>
      <c r="K238" s="439"/>
      <c r="L238" s="439"/>
      <c r="M238" s="439"/>
      <c r="N238" s="439"/>
      <c r="O238" s="439"/>
      <c r="P238" s="439"/>
      <c r="Q238" s="439"/>
      <c r="R238" s="439"/>
      <c r="S238" s="439"/>
      <c r="T238" s="439"/>
      <c r="U238" s="439"/>
    </row>
    <row r="239" spans="2:21">
      <c r="B239" s="439"/>
      <c r="C239" s="439"/>
      <c r="D239" s="439"/>
      <c r="E239" s="439"/>
      <c r="F239" s="439"/>
      <c r="G239" s="439"/>
      <c r="H239" s="439"/>
      <c r="I239" s="439"/>
      <c r="J239" s="439"/>
      <c r="K239" s="439"/>
      <c r="L239" s="439"/>
      <c r="M239" s="439"/>
      <c r="N239" s="439"/>
      <c r="O239" s="439"/>
      <c r="P239" s="439"/>
      <c r="Q239" s="439"/>
      <c r="R239" s="439"/>
      <c r="S239" s="439"/>
      <c r="T239" s="439"/>
      <c r="U239" s="439"/>
    </row>
    <row r="240" spans="2:21">
      <c r="B240" s="439"/>
      <c r="C240" s="439"/>
      <c r="D240" s="439"/>
      <c r="E240" s="439"/>
      <c r="F240" s="439"/>
      <c r="G240" s="439"/>
      <c r="H240" s="439"/>
      <c r="I240" s="439"/>
      <c r="J240" s="439"/>
      <c r="K240" s="439"/>
      <c r="L240" s="439"/>
      <c r="M240" s="439"/>
      <c r="N240" s="439"/>
      <c r="O240" s="439"/>
      <c r="P240" s="439"/>
      <c r="Q240" s="439"/>
      <c r="R240" s="439"/>
      <c r="S240" s="439"/>
      <c r="T240" s="439"/>
      <c r="U240" s="439"/>
    </row>
    <row r="241" spans="2:21">
      <c r="B241" s="439"/>
      <c r="C241" s="439"/>
      <c r="D241" s="439"/>
      <c r="E241" s="439"/>
      <c r="F241" s="439"/>
      <c r="G241" s="439"/>
      <c r="H241" s="439"/>
      <c r="I241" s="439"/>
      <c r="J241" s="439"/>
      <c r="K241" s="439"/>
      <c r="L241" s="439"/>
      <c r="M241" s="439"/>
      <c r="N241" s="439"/>
      <c r="O241" s="439"/>
      <c r="P241" s="439"/>
      <c r="Q241" s="439"/>
      <c r="R241" s="439"/>
      <c r="S241" s="439"/>
      <c r="T241" s="439"/>
      <c r="U241" s="439"/>
    </row>
    <row r="242" spans="2:21">
      <c r="B242" s="439"/>
      <c r="C242" s="439"/>
      <c r="D242" s="439"/>
      <c r="E242" s="439"/>
      <c r="F242" s="439"/>
      <c r="G242" s="439"/>
      <c r="H242" s="439"/>
      <c r="I242" s="439"/>
      <c r="J242" s="439"/>
      <c r="K242" s="439"/>
      <c r="L242" s="439"/>
      <c r="M242" s="439"/>
      <c r="N242" s="439"/>
      <c r="O242" s="439"/>
      <c r="P242" s="439"/>
      <c r="Q242" s="439"/>
      <c r="R242" s="439"/>
      <c r="S242" s="439"/>
      <c r="T242" s="439"/>
      <c r="U242" s="439"/>
    </row>
    <row r="243" spans="2:21">
      <c r="B243" s="439"/>
      <c r="C243" s="439"/>
      <c r="D243" s="439"/>
      <c r="E243" s="439"/>
      <c r="F243" s="439"/>
      <c r="G243" s="439"/>
      <c r="H243" s="439"/>
      <c r="I243" s="439"/>
      <c r="J243" s="439"/>
      <c r="K243" s="439"/>
      <c r="L243" s="439"/>
      <c r="M243" s="439"/>
      <c r="N243" s="439"/>
      <c r="O243" s="439"/>
      <c r="P243" s="439"/>
      <c r="Q243" s="439"/>
      <c r="R243" s="439"/>
      <c r="S243" s="439"/>
      <c r="T243" s="439"/>
      <c r="U243" s="439"/>
    </row>
    <row r="244" spans="2:21">
      <c r="B244" s="439"/>
      <c r="C244" s="439"/>
      <c r="D244" s="439"/>
      <c r="E244" s="439"/>
      <c r="F244" s="439"/>
      <c r="G244" s="439"/>
      <c r="H244" s="439"/>
      <c r="I244" s="439"/>
      <c r="J244" s="439"/>
      <c r="K244" s="439"/>
      <c r="L244" s="439"/>
      <c r="M244" s="439"/>
      <c r="N244" s="439"/>
      <c r="O244" s="439"/>
      <c r="P244" s="439"/>
      <c r="Q244" s="439"/>
      <c r="R244" s="439"/>
      <c r="S244" s="439"/>
      <c r="T244" s="439"/>
      <c r="U244" s="439"/>
    </row>
    <row r="245" spans="2:21">
      <c r="B245" s="439"/>
      <c r="C245" s="439"/>
      <c r="D245" s="439"/>
      <c r="E245" s="439"/>
      <c r="F245" s="439"/>
      <c r="G245" s="439"/>
      <c r="H245" s="439"/>
      <c r="I245" s="439"/>
      <c r="J245" s="439"/>
      <c r="K245" s="439"/>
      <c r="L245" s="439"/>
      <c r="M245" s="439"/>
      <c r="N245" s="439"/>
      <c r="O245" s="439"/>
      <c r="P245" s="439"/>
      <c r="Q245" s="439"/>
      <c r="R245" s="439"/>
      <c r="S245" s="439"/>
      <c r="T245" s="439"/>
      <c r="U245" s="439"/>
    </row>
    <row r="246" spans="2:21">
      <c r="B246" s="439"/>
      <c r="C246" s="439"/>
      <c r="D246" s="439"/>
      <c r="E246" s="439"/>
      <c r="F246" s="439"/>
      <c r="G246" s="439"/>
      <c r="H246" s="439"/>
      <c r="I246" s="439"/>
      <c r="J246" s="439"/>
      <c r="K246" s="439"/>
      <c r="L246" s="439"/>
      <c r="M246" s="439"/>
      <c r="N246" s="439"/>
      <c r="O246" s="439"/>
      <c r="P246" s="439"/>
      <c r="Q246" s="439"/>
      <c r="R246" s="439"/>
      <c r="S246" s="439"/>
      <c r="T246" s="439"/>
      <c r="U246" s="439"/>
    </row>
    <row r="247" spans="2:21">
      <c r="B247" s="439"/>
      <c r="C247" s="439"/>
      <c r="D247" s="439"/>
      <c r="E247" s="439"/>
      <c r="F247" s="439"/>
      <c r="G247" s="439"/>
      <c r="H247" s="439"/>
      <c r="I247" s="439"/>
      <c r="J247" s="439"/>
      <c r="K247" s="439"/>
      <c r="L247" s="439"/>
      <c r="M247" s="439"/>
      <c r="N247" s="439"/>
      <c r="O247" s="439"/>
      <c r="P247" s="439"/>
      <c r="Q247" s="439"/>
      <c r="R247" s="439"/>
      <c r="S247" s="439"/>
      <c r="T247" s="439"/>
      <c r="U247" s="439"/>
    </row>
    <row r="248" spans="2:21">
      <c r="B248" s="439"/>
      <c r="C248" s="439"/>
      <c r="D248" s="439"/>
      <c r="E248" s="439"/>
      <c r="F248" s="439"/>
      <c r="G248" s="439"/>
      <c r="H248" s="439"/>
      <c r="I248" s="439"/>
      <c r="J248" s="439"/>
      <c r="K248" s="439"/>
      <c r="L248" s="439"/>
      <c r="M248" s="439"/>
      <c r="N248" s="439"/>
      <c r="O248" s="439"/>
      <c r="P248" s="439"/>
      <c r="Q248" s="439"/>
      <c r="R248" s="439"/>
      <c r="S248" s="439"/>
      <c r="T248" s="439"/>
      <c r="U248" s="439"/>
    </row>
    <row r="249" spans="2:21">
      <c r="B249" s="439"/>
      <c r="C249" s="439"/>
      <c r="D249" s="439"/>
      <c r="E249" s="439"/>
      <c r="F249" s="439"/>
      <c r="G249" s="439"/>
      <c r="H249" s="439"/>
      <c r="I249" s="439"/>
      <c r="J249" s="439"/>
      <c r="K249" s="439"/>
      <c r="L249" s="439"/>
      <c r="M249" s="439"/>
      <c r="N249" s="439"/>
      <c r="O249" s="439"/>
      <c r="P249" s="439"/>
      <c r="Q249" s="439"/>
      <c r="R249" s="439"/>
      <c r="S249" s="439"/>
      <c r="T249" s="439"/>
      <c r="U249" s="439"/>
    </row>
    <row r="250" spans="2:21">
      <c r="B250" s="439"/>
      <c r="C250" s="439"/>
      <c r="D250" s="439"/>
      <c r="E250" s="439"/>
      <c r="F250" s="439"/>
      <c r="G250" s="439"/>
      <c r="H250" s="439"/>
      <c r="I250" s="439"/>
      <c r="J250" s="439"/>
      <c r="K250" s="439"/>
      <c r="L250" s="439"/>
      <c r="M250" s="439"/>
      <c r="N250" s="439"/>
      <c r="O250" s="439"/>
      <c r="P250" s="439"/>
      <c r="Q250" s="439"/>
      <c r="R250" s="439"/>
      <c r="S250" s="439"/>
      <c r="T250" s="439"/>
      <c r="U250" s="439"/>
    </row>
    <row r="251" spans="2:21">
      <c r="B251" s="439"/>
      <c r="C251" s="439"/>
      <c r="D251" s="439"/>
      <c r="E251" s="439"/>
      <c r="F251" s="439"/>
      <c r="G251" s="439"/>
      <c r="H251" s="439"/>
      <c r="I251" s="439"/>
      <c r="J251" s="439"/>
      <c r="K251" s="439"/>
      <c r="L251" s="439"/>
      <c r="M251" s="439"/>
      <c r="N251" s="439"/>
      <c r="O251" s="439"/>
      <c r="P251" s="439"/>
      <c r="Q251" s="439"/>
      <c r="R251" s="439"/>
      <c r="S251" s="439"/>
      <c r="T251" s="439"/>
      <c r="U251" s="439"/>
    </row>
    <row r="252" spans="2:21">
      <c r="B252" s="439"/>
      <c r="C252" s="439"/>
      <c r="D252" s="439"/>
      <c r="E252" s="439"/>
      <c r="F252" s="439"/>
      <c r="G252" s="439"/>
      <c r="H252" s="439"/>
      <c r="I252" s="439"/>
      <c r="J252" s="439"/>
      <c r="K252" s="439"/>
      <c r="L252" s="439"/>
      <c r="M252" s="439"/>
      <c r="N252" s="439"/>
      <c r="O252" s="439"/>
      <c r="P252" s="439"/>
      <c r="Q252" s="439"/>
      <c r="R252" s="439"/>
      <c r="S252" s="439"/>
      <c r="T252" s="439"/>
      <c r="U252" s="439"/>
    </row>
    <row r="253" spans="2:21">
      <c r="B253" s="439"/>
      <c r="C253" s="439"/>
      <c r="D253" s="439"/>
      <c r="E253" s="439"/>
      <c r="F253" s="439"/>
      <c r="G253" s="439"/>
      <c r="H253" s="439"/>
      <c r="I253" s="439"/>
      <c r="J253" s="439"/>
      <c r="K253" s="439"/>
      <c r="L253" s="439"/>
      <c r="M253" s="439"/>
      <c r="N253" s="439"/>
      <c r="O253" s="439"/>
      <c r="P253" s="439"/>
      <c r="Q253" s="439"/>
      <c r="R253" s="439"/>
      <c r="S253" s="439"/>
      <c r="T253" s="439"/>
      <c r="U253" s="439"/>
    </row>
    <row r="254" spans="2:21">
      <c r="B254" s="439"/>
      <c r="C254" s="439"/>
      <c r="D254" s="439"/>
      <c r="E254" s="439"/>
      <c r="F254" s="439"/>
      <c r="G254" s="439"/>
      <c r="H254" s="439"/>
      <c r="I254" s="439"/>
      <c r="J254" s="439"/>
      <c r="K254" s="439"/>
      <c r="L254" s="439"/>
      <c r="M254" s="439"/>
      <c r="N254" s="439"/>
      <c r="O254" s="439"/>
      <c r="P254" s="439"/>
      <c r="Q254" s="439"/>
      <c r="R254" s="439"/>
      <c r="S254" s="439"/>
      <c r="T254" s="439"/>
      <c r="U254" s="439"/>
    </row>
    <row r="255" spans="2:21">
      <c r="B255" s="439"/>
      <c r="C255" s="439"/>
      <c r="D255" s="439"/>
      <c r="E255" s="439"/>
      <c r="F255" s="439"/>
      <c r="G255" s="439"/>
      <c r="H255" s="439"/>
      <c r="I255" s="439"/>
      <c r="J255" s="439"/>
      <c r="K255" s="439"/>
      <c r="L255" s="439"/>
      <c r="M255" s="439"/>
      <c r="N255" s="439"/>
      <c r="O255" s="439"/>
      <c r="P255" s="439"/>
      <c r="Q255" s="439"/>
      <c r="R255" s="439"/>
      <c r="S255" s="439"/>
      <c r="T255" s="439"/>
      <c r="U255" s="439"/>
    </row>
    <row r="256" spans="2:21">
      <c r="B256" s="439"/>
      <c r="C256" s="439"/>
      <c r="D256" s="439"/>
      <c r="E256" s="439"/>
      <c r="F256" s="439"/>
      <c r="G256" s="439"/>
      <c r="H256" s="439"/>
      <c r="I256" s="439"/>
      <c r="J256" s="439"/>
      <c r="K256" s="439"/>
      <c r="L256" s="439"/>
      <c r="M256" s="439"/>
      <c r="N256" s="439"/>
      <c r="O256" s="439"/>
      <c r="P256" s="439"/>
      <c r="Q256" s="439"/>
      <c r="R256" s="439"/>
      <c r="S256" s="439"/>
      <c r="T256" s="439"/>
      <c r="U256" s="439"/>
    </row>
    <row r="257" spans="2:21">
      <c r="B257" s="439"/>
      <c r="C257" s="439"/>
      <c r="D257" s="439"/>
      <c r="E257" s="439"/>
      <c r="F257" s="439"/>
      <c r="G257" s="439"/>
      <c r="H257" s="439"/>
      <c r="I257" s="439"/>
      <c r="J257" s="439"/>
      <c r="K257" s="439"/>
      <c r="L257" s="439"/>
      <c r="M257" s="439"/>
      <c r="N257" s="439"/>
      <c r="O257" s="439"/>
      <c r="P257" s="439"/>
      <c r="Q257" s="439"/>
      <c r="R257" s="439"/>
      <c r="S257" s="439"/>
      <c r="T257" s="439"/>
      <c r="U257" s="439"/>
    </row>
    <row r="258" spans="2:21">
      <c r="B258" s="439"/>
      <c r="C258" s="439"/>
      <c r="D258" s="439"/>
      <c r="E258" s="439"/>
      <c r="F258" s="439"/>
      <c r="G258" s="439"/>
      <c r="H258" s="439"/>
      <c r="I258" s="439"/>
      <c r="J258" s="439"/>
      <c r="K258" s="439"/>
      <c r="L258" s="439"/>
      <c r="M258" s="439"/>
      <c r="N258" s="439"/>
      <c r="O258" s="439"/>
      <c r="P258" s="439"/>
      <c r="Q258" s="439"/>
      <c r="R258" s="439"/>
      <c r="S258" s="439"/>
      <c r="T258" s="439"/>
      <c r="U258" s="439"/>
    </row>
    <row r="259" spans="2:21">
      <c r="B259" s="439"/>
      <c r="C259" s="439"/>
      <c r="D259" s="439"/>
      <c r="E259" s="439"/>
      <c r="F259" s="439"/>
      <c r="G259" s="439"/>
      <c r="H259" s="439"/>
      <c r="I259" s="439"/>
      <c r="J259" s="439"/>
      <c r="K259" s="439"/>
      <c r="L259" s="439"/>
      <c r="M259" s="439"/>
      <c r="N259" s="439"/>
      <c r="O259" s="439"/>
      <c r="P259" s="439"/>
      <c r="Q259" s="439"/>
      <c r="R259" s="439"/>
      <c r="S259" s="439"/>
      <c r="T259" s="439"/>
      <c r="U259" s="439"/>
    </row>
    <row r="260" spans="2:21">
      <c r="B260" s="439"/>
      <c r="C260" s="439"/>
      <c r="D260" s="439"/>
      <c r="E260" s="439"/>
      <c r="F260" s="439"/>
      <c r="G260" s="439"/>
      <c r="H260" s="439"/>
      <c r="I260" s="439"/>
      <c r="J260" s="439"/>
      <c r="K260" s="439"/>
      <c r="L260" s="439"/>
      <c r="M260" s="439"/>
      <c r="N260" s="439"/>
      <c r="O260" s="439"/>
      <c r="P260" s="439"/>
      <c r="Q260" s="439"/>
      <c r="R260" s="439"/>
      <c r="S260" s="439"/>
      <c r="T260" s="439"/>
      <c r="U260" s="439"/>
    </row>
    <row r="261" spans="2:21">
      <c r="B261" s="439"/>
      <c r="C261" s="439"/>
      <c r="D261" s="439"/>
      <c r="E261" s="439"/>
      <c r="F261" s="439"/>
      <c r="G261" s="439"/>
      <c r="H261" s="439"/>
      <c r="I261" s="439"/>
      <c r="J261" s="439"/>
      <c r="K261" s="439"/>
      <c r="L261" s="439"/>
      <c r="M261" s="439"/>
      <c r="N261" s="439"/>
      <c r="O261" s="439"/>
      <c r="P261" s="439"/>
      <c r="Q261" s="439"/>
      <c r="R261" s="439"/>
      <c r="S261" s="439"/>
      <c r="T261" s="439"/>
      <c r="U261" s="439"/>
    </row>
    <row r="262" spans="2:21">
      <c r="B262" s="439"/>
      <c r="C262" s="439"/>
      <c r="D262" s="439"/>
      <c r="E262" s="439"/>
      <c r="F262" s="439"/>
      <c r="G262" s="439"/>
      <c r="H262" s="439"/>
      <c r="I262" s="439"/>
      <c r="J262" s="439"/>
      <c r="K262" s="439"/>
      <c r="L262" s="439"/>
      <c r="M262" s="439"/>
      <c r="N262" s="439"/>
      <c r="O262" s="439"/>
      <c r="P262" s="439"/>
      <c r="Q262" s="439"/>
      <c r="R262" s="439"/>
      <c r="S262" s="439"/>
      <c r="T262" s="439"/>
      <c r="U262" s="439"/>
    </row>
    <row r="263" spans="2:21">
      <c r="B263" s="439"/>
      <c r="C263" s="439"/>
      <c r="D263" s="439"/>
      <c r="E263" s="439"/>
      <c r="F263" s="439"/>
      <c r="G263" s="439"/>
      <c r="H263" s="439"/>
      <c r="I263" s="439"/>
      <c r="J263" s="439"/>
      <c r="K263" s="439"/>
      <c r="L263" s="439"/>
      <c r="M263" s="439"/>
      <c r="N263" s="439"/>
      <c r="O263" s="439"/>
      <c r="P263" s="439"/>
      <c r="Q263" s="439"/>
      <c r="R263" s="439"/>
      <c r="S263" s="439"/>
      <c r="T263" s="439"/>
      <c r="U263" s="439"/>
    </row>
    <row r="264" spans="2:21">
      <c r="B264" s="439"/>
      <c r="C264" s="439"/>
      <c r="D264" s="439"/>
      <c r="E264" s="439"/>
      <c r="F264" s="439"/>
      <c r="G264" s="439"/>
      <c r="H264" s="439"/>
      <c r="I264" s="439"/>
      <c r="J264" s="439"/>
      <c r="K264" s="439"/>
      <c r="L264" s="439"/>
      <c r="M264" s="439"/>
      <c r="N264" s="439"/>
      <c r="O264" s="439"/>
      <c r="P264" s="439"/>
      <c r="Q264" s="439"/>
      <c r="R264" s="439"/>
      <c r="S264" s="439"/>
      <c r="T264" s="439"/>
      <c r="U264" s="439"/>
    </row>
    <row r="265" spans="2:21">
      <c r="B265" s="439"/>
      <c r="C265" s="439"/>
      <c r="D265" s="439"/>
      <c r="E265" s="439"/>
      <c r="F265" s="439"/>
      <c r="G265" s="439"/>
      <c r="H265" s="439"/>
      <c r="I265" s="439"/>
      <c r="J265" s="439"/>
      <c r="K265" s="439"/>
      <c r="L265" s="439"/>
      <c r="M265" s="439"/>
      <c r="N265" s="439"/>
      <c r="O265" s="439"/>
      <c r="P265" s="439"/>
      <c r="Q265" s="439"/>
      <c r="R265" s="439"/>
      <c r="S265" s="439"/>
      <c r="T265" s="439"/>
      <c r="U265" s="439"/>
    </row>
    <row r="266" spans="2:21">
      <c r="B266" s="439"/>
      <c r="C266" s="439"/>
      <c r="D266" s="439"/>
      <c r="E266" s="439"/>
      <c r="F266" s="439"/>
      <c r="G266" s="439"/>
      <c r="H266" s="439"/>
      <c r="I266" s="439"/>
      <c r="J266" s="439"/>
      <c r="K266" s="439"/>
      <c r="L266" s="439"/>
      <c r="M266" s="439"/>
      <c r="N266" s="439"/>
      <c r="O266" s="439"/>
      <c r="P266" s="439"/>
      <c r="Q266" s="439"/>
      <c r="R266" s="439"/>
      <c r="S266" s="439"/>
      <c r="T266" s="439"/>
      <c r="U266" s="439"/>
    </row>
    <row r="267" spans="2:21">
      <c r="B267" s="439"/>
      <c r="C267" s="439"/>
      <c r="D267" s="439"/>
      <c r="E267" s="439"/>
      <c r="F267" s="439"/>
      <c r="G267" s="439"/>
      <c r="H267" s="439"/>
      <c r="I267" s="439"/>
      <c r="J267" s="439"/>
      <c r="K267" s="439"/>
      <c r="L267" s="439"/>
      <c r="M267" s="439"/>
      <c r="N267" s="439"/>
      <c r="O267" s="439"/>
      <c r="P267" s="439"/>
      <c r="Q267" s="439"/>
      <c r="R267" s="439"/>
      <c r="S267" s="439"/>
      <c r="T267" s="439"/>
      <c r="U267" s="439"/>
    </row>
    <row r="268" spans="2:21">
      <c r="B268" s="439"/>
      <c r="C268" s="439"/>
      <c r="D268" s="439"/>
      <c r="E268" s="439"/>
      <c r="F268" s="439"/>
      <c r="G268" s="439"/>
      <c r="H268" s="439"/>
      <c r="I268" s="439"/>
      <c r="J268" s="439"/>
      <c r="K268" s="439"/>
      <c r="L268" s="439"/>
      <c r="M268" s="439"/>
      <c r="N268" s="439"/>
      <c r="O268" s="439"/>
      <c r="P268" s="439"/>
      <c r="Q268" s="439"/>
      <c r="R268" s="439"/>
      <c r="S268" s="439"/>
      <c r="T268" s="439"/>
      <c r="U268" s="439"/>
    </row>
    <row r="269" spans="2:21">
      <c r="B269" s="439"/>
      <c r="C269" s="439"/>
      <c r="D269" s="439"/>
      <c r="E269" s="439"/>
      <c r="F269" s="439"/>
      <c r="G269" s="439"/>
      <c r="H269" s="439"/>
      <c r="I269" s="439"/>
      <c r="J269" s="439"/>
      <c r="K269" s="439"/>
      <c r="L269" s="439"/>
      <c r="M269" s="439"/>
      <c r="N269" s="439"/>
      <c r="O269" s="439"/>
      <c r="P269" s="439"/>
      <c r="Q269" s="439"/>
      <c r="R269" s="439"/>
      <c r="S269" s="439"/>
      <c r="T269" s="439"/>
      <c r="U269" s="439"/>
    </row>
    <row r="270" spans="2:21">
      <c r="B270" s="439"/>
      <c r="C270" s="439"/>
      <c r="D270" s="439"/>
      <c r="E270" s="439"/>
      <c r="F270" s="439"/>
      <c r="G270" s="439"/>
      <c r="H270" s="439"/>
      <c r="I270" s="439"/>
      <c r="J270" s="439"/>
      <c r="K270" s="439"/>
      <c r="L270" s="439"/>
      <c r="M270" s="439"/>
      <c r="N270" s="439"/>
      <c r="O270" s="439"/>
      <c r="P270" s="439"/>
      <c r="Q270" s="439"/>
      <c r="R270" s="439"/>
      <c r="S270" s="439"/>
      <c r="T270" s="439"/>
      <c r="U270" s="439"/>
    </row>
    <row r="271" spans="2:21">
      <c r="B271" s="439"/>
      <c r="C271" s="439"/>
      <c r="D271" s="439"/>
      <c r="E271" s="439"/>
      <c r="F271" s="439"/>
      <c r="G271" s="439"/>
      <c r="H271" s="439"/>
      <c r="I271" s="439"/>
      <c r="J271" s="439"/>
      <c r="K271" s="439"/>
      <c r="L271" s="439"/>
      <c r="M271" s="439"/>
      <c r="N271" s="439"/>
      <c r="O271" s="439"/>
      <c r="P271" s="439"/>
      <c r="Q271" s="439"/>
      <c r="R271" s="439"/>
      <c r="S271" s="439"/>
      <c r="T271" s="439"/>
      <c r="U271" s="439"/>
    </row>
    <row r="272" spans="2:21">
      <c r="B272" s="439"/>
      <c r="C272" s="439"/>
      <c r="D272" s="439"/>
      <c r="E272" s="439"/>
      <c r="F272" s="439"/>
      <c r="G272" s="439"/>
      <c r="H272" s="439"/>
      <c r="I272" s="439"/>
      <c r="J272" s="439"/>
      <c r="K272" s="439"/>
      <c r="L272" s="439"/>
      <c r="M272" s="439"/>
      <c r="N272" s="439"/>
      <c r="O272" s="439"/>
      <c r="P272" s="439"/>
      <c r="Q272" s="439"/>
      <c r="R272" s="439"/>
      <c r="S272" s="439"/>
      <c r="T272" s="439"/>
      <c r="U272" s="439"/>
    </row>
    <row r="273" spans="2:21">
      <c r="B273" s="439"/>
      <c r="C273" s="439"/>
      <c r="D273" s="439"/>
      <c r="E273" s="439"/>
      <c r="F273" s="439"/>
      <c r="G273" s="439"/>
      <c r="H273" s="439"/>
      <c r="I273" s="439"/>
      <c r="J273" s="439"/>
      <c r="K273" s="439"/>
      <c r="L273" s="439"/>
      <c r="M273" s="439"/>
      <c r="N273" s="439"/>
      <c r="O273" s="439"/>
      <c r="P273" s="439"/>
      <c r="Q273" s="439"/>
      <c r="R273" s="439"/>
      <c r="S273" s="439"/>
      <c r="T273" s="439"/>
      <c r="U273" s="439"/>
    </row>
    <row r="274" spans="2:21">
      <c r="B274" s="439"/>
      <c r="C274" s="439"/>
      <c r="D274" s="439"/>
      <c r="E274" s="439"/>
      <c r="F274" s="439"/>
      <c r="G274" s="439"/>
      <c r="H274" s="439"/>
      <c r="I274" s="439"/>
      <c r="J274" s="439"/>
      <c r="K274" s="439"/>
      <c r="L274" s="439"/>
      <c r="M274" s="439"/>
      <c r="N274" s="439"/>
      <c r="O274" s="439"/>
      <c r="P274" s="439"/>
      <c r="Q274" s="439"/>
      <c r="R274" s="439"/>
      <c r="S274" s="439"/>
      <c r="T274" s="439"/>
      <c r="U274" s="439"/>
    </row>
    <row r="275" spans="2:21">
      <c r="B275" s="439"/>
      <c r="C275" s="439"/>
      <c r="D275" s="439"/>
      <c r="E275" s="439"/>
      <c r="F275" s="439"/>
      <c r="G275" s="439"/>
      <c r="H275" s="439"/>
      <c r="I275" s="439"/>
      <c r="J275" s="439"/>
      <c r="K275" s="439"/>
      <c r="L275" s="439"/>
      <c r="M275" s="439"/>
      <c r="N275" s="439"/>
      <c r="O275" s="439"/>
      <c r="P275" s="439"/>
      <c r="Q275" s="439"/>
      <c r="R275" s="439"/>
      <c r="S275" s="439"/>
      <c r="T275" s="439"/>
      <c r="U275" s="439"/>
    </row>
    <row r="276" spans="2:21">
      <c r="B276" s="439"/>
      <c r="C276" s="439"/>
      <c r="D276" s="439"/>
      <c r="E276" s="439"/>
      <c r="F276" s="439"/>
      <c r="G276" s="439"/>
      <c r="H276" s="439"/>
      <c r="I276" s="439"/>
      <c r="J276" s="439"/>
      <c r="K276" s="439"/>
      <c r="L276" s="439"/>
      <c r="M276" s="439"/>
      <c r="N276" s="439"/>
      <c r="O276" s="439"/>
      <c r="P276" s="439"/>
      <c r="Q276" s="439"/>
      <c r="R276" s="439"/>
      <c r="S276" s="439"/>
      <c r="T276" s="439"/>
      <c r="U276" s="439"/>
    </row>
    <row r="277" spans="2:21">
      <c r="B277" s="439"/>
      <c r="C277" s="439"/>
      <c r="D277" s="439"/>
      <c r="E277" s="439"/>
      <c r="F277" s="439"/>
      <c r="G277" s="439"/>
      <c r="H277" s="439"/>
      <c r="I277" s="439"/>
      <c r="J277" s="439"/>
      <c r="K277" s="439"/>
      <c r="L277" s="439"/>
      <c r="M277" s="439"/>
      <c r="N277" s="439"/>
      <c r="O277" s="439"/>
      <c r="P277" s="439"/>
      <c r="Q277" s="439"/>
      <c r="R277" s="439"/>
      <c r="S277" s="439"/>
      <c r="T277" s="439"/>
      <c r="U277" s="439"/>
    </row>
    <row r="278" spans="2:21">
      <c r="B278" s="439"/>
      <c r="C278" s="439"/>
      <c r="D278" s="439"/>
      <c r="E278" s="439"/>
      <c r="F278" s="439"/>
      <c r="G278" s="439"/>
      <c r="H278" s="439"/>
      <c r="I278" s="439"/>
      <c r="J278" s="439"/>
      <c r="K278" s="439"/>
      <c r="L278" s="439"/>
      <c r="M278" s="439"/>
      <c r="N278" s="439"/>
      <c r="O278" s="439"/>
      <c r="P278" s="439"/>
      <c r="Q278" s="439"/>
      <c r="R278" s="439"/>
      <c r="S278" s="439"/>
      <c r="T278" s="439"/>
      <c r="U278" s="439"/>
    </row>
    <row r="279" spans="2:21">
      <c r="B279" s="439"/>
      <c r="C279" s="439"/>
      <c r="D279" s="439"/>
      <c r="E279" s="439"/>
      <c r="F279" s="439"/>
      <c r="G279" s="439"/>
      <c r="H279" s="439"/>
      <c r="I279" s="439"/>
      <c r="J279" s="439"/>
      <c r="K279" s="439"/>
      <c r="L279" s="439"/>
      <c r="M279" s="439"/>
      <c r="N279" s="439"/>
      <c r="O279" s="439"/>
      <c r="P279" s="439"/>
      <c r="Q279" s="439"/>
      <c r="R279" s="439"/>
      <c r="S279" s="439"/>
      <c r="T279" s="439"/>
      <c r="U279" s="439"/>
    </row>
    <row r="280" spans="2:21">
      <c r="B280" s="439"/>
      <c r="C280" s="439"/>
      <c r="D280" s="439"/>
      <c r="E280" s="439"/>
      <c r="F280" s="439"/>
      <c r="G280" s="439"/>
      <c r="H280" s="439"/>
      <c r="I280" s="439"/>
      <c r="J280" s="439"/>
      <c r="K280" s="439"/>
      <c r="L280" s="439"/>
      <c r="M280" s="439"/>
      <c r="N280" s="439"/>
      <c r="O280" s="439"/>
      <c r="P280" s="439"/>
      <c r="Q280" s="439"/>
      <c r="R280" s="439"/>
      <c r="S280" s="439"/>
      <c r="T280" s="439"/>
      <c r="U280" s="439"/>
    </row>
    <row r="281" spans="2:21">
      <c r="B281" s="439"/>
      <c r="C281" s="439"/>
      <c r="D281" s="439"/>
      <c r="E281" s="439"/>
      <c r="F281" s="439"/>
      <c r="G281" s="439"/>
      <c r="H281" s="439"/>
      <c r="I281" s="439"/>
      <c r="J281" s="439"/>
      <c r="K281" s="439"/>
      <c r="L281" s="439"/>
      <c r="M281" s="439"/>
      <c r="N281" s="439"/>
      <c r="O281" s="439"/>
      <c r="P281" s="439"/>
      <c r="Q281" s="439"/>
      <c r="R281" s="439"/>
      <c r="S281" s="439"/>
      <c r="T281" s="439"/>
      <c r="U281" s="439"/>
    </row>
    <row r="282" spans="2:21">
      <c r="B282" s="439"/>
      <c r="C282" s="439"/>
      <c r="D282" s="439"/>
      <c r="E282" s="439"/>
      <c r="F282" s="439"/>
      <c r="G282" s="439"/>
      <c r="H282" s="439"/>
      <c r="I282" s="439"/>
      <c r="J282" s="439"/>
      <c r="K282" s="439"/>
      <c r="L282" s="439"/>
      <c r="M282" s="439"/>
      <c r="N282" s="439"/>
      <c r="O282" s="439"/>
      <c r="P282" s="439"/>
      <c r="Q282" s="439"/>
      <c r="R282" s="439"/>
      <c r="S282" s="439"/>
      <c r="T282" s="439"/>
      <c r="U282" s="439"/>
    </row>
    <row r="283" spans="2:21">
      <c r="B283" s="439"/>
      <c r="C283" s="439"/>
      <c r="D283" s="439"/>
      <c r="E283" s="439"/>
      <c r="F283" s="439"/>
      <c r="G283" s="439"/>
      <c r="H283" s="439"/>
      <c r="I283" s="439"/>
      <c r="J283" s="439"/>
      <c r="K283" s="439"/>
      <c r="L283" s="439"/>
      <c r="M283" s="439"/>
      <c r="N283" s="439"/>
      <c r="O283" s="439"/>
      <c r="P283" s="439"/>
      <c r="Q283" s="439"/>
      <c r="R283" s="439"/>
      <c r="S283" s="439"/>
      <c r="T283" s="439"/>
      <c r="U283" s="439"/>
    </row>
    <row r="284" spans="2:21">
      <c r="B284" s="439"/>
      <c r="C284" s="439"/>
      <c r="D284" s="439"/>
      <c r="E284" s="439"/>
      <c r="F284" s="439"/>
      <c r="G284" s="439"/>
      <c r="H284" s="439"/>
      <c r="I284" s="439"/>
      <c r="J284" s="439"/>
      <c r="K284" s="439"/>
      <c r="L284" s="439"/>
      <c r="M284" s="439"/>
      <c r="N284" s="439"/>
      <c r="O284" s="439"/>
      <c r="P284" s="439"/>
      <c r="Q284" s="439"/>
      <c r="R284" s="439"/>
      <c r="S284" s="439"/>
      <c r="T284" s="439"/>
      <c r="U284" s="439"/>
    </row>
    <row r="285" spans="2:21">
      <c r="B285" s="439"/>
      <c r="C285" s="439"/>
      <c r="D285" s="439"/>
      <c r="E285" s="439"/>
      <c r="F285" s="439"/>
      <c r="G285" s="439"/>
      <c r="H285" s="439"/>
      <c r="I285" s="439"/>
      <c r="J285" s="439"/>
      <c r="K285" s="439"/>
      <c r="L285" s="439"/>
      <c r="M285" s="439"/>
      <c r="N285" s="439"/>
      <c r="O285" s="439"/>
      <c r="P285" s="439"/>
      <c r="Q285" s="439"/>
      <c r="R285" s="439"/>
      <c r="S285" s="439"/>
      <c r="T285" s="439"/>
      <c r="U285" s="439"/>
    </row>
    <row r="286" spans="2:21">
      <c r="B286" s="439"/>
      <c r="C286" s="439"/>
      <c r="D286" s="439"/>
      <c r="E286" s="439"/>
      <c r="F286" s="439"/>
      <c r="G286" s="439"/>
      <c r="H286" s="439"/>
      <c r="I286" s="439"/>
      <c r="J286" s="439"/>
      <c r="K286" s="439"/>
      <c r="L286" s="439"/>
      <c r="M286" s="439"/>
      <c r="N286" s="439"/>
      <c r="O286" s="439"/>
      <c r="P286" s="439"/>
      <c r="Q286" s="439"/>
      <c r="R286" s="439"/>
      <c r="S286" s="439"/>
      <c r="T286" s="439"/>
      <c r="U286" s="439"/>
    </row>
    <row r="287" spans="2:21">
      <c r="B287" s="439"/>
      <c r="C287" s="439"/>
      <c r="D287" s="439"/>
      <c r="E287" s="439"/>
      <c r="F287" s="439"/>
      <c r="G287" s="439"/>
      <c r="H287" s="439"/>
      <c r="I287" s="439"/>
      <c r="J287" s="439"/>
      <c r="K287" s="439"/>
      <c r="L287" s="439"/>
      <c r="M287" s="439"/>
      <c r="N287" s="439"/>
      <c r="O287" s="439"/>
      <c r="P287" s="439"/>
      <c r="Q287" s="439"/>
      <c r="R287" s="439"/>
      <c r="S287" s="439"/>
      <c r="T287" s="439"/>
      <c r="U287" s="439"/>
    </row>
    <row r="288" spans="2:21">
      <c r="B288" s="439"/>
      <c r="C288" s="439"/>
      <c r="D288" s="439"/>
      <c r="E288" s="439"/>
      <c r="F288" s="439"/>
      <c r="G288" s="439"/>
      <c r="H288" s="439"/>
      <c r="I288" s="439"/>
      <c r="J288" s="439"/>
      <c r="K288" s="439"/>
      <c r="L288" s="439"/>
      <c r="M288" s="439"/>
      <c r="N288" s="439"/>
      <c r="O288" s="439"/>
      <c r="P288" s="439"/>
      <c r="Q288" s="439"/>
      <c r="R288" s="439"/>
      <c r="S288" s="439"/>
      <c r="T288" s="439"/>
      <c r="U288" s="439"/>
    </row>
    <row r="289" spans="2:21">
      <c r="B289" s="439"/>
      <c r="C289" s="439"/>
      <c r="D289" s="439"/>
      <c r="E289" s="439"/>
      <c r="F289" s="439"/>
      <c r="G289" s="439"/>
      <c r="H289" s="439"/>
      <c r="I289" s="439"/>
      <c r="J289" s="439"/>
      <c r="K289" s="439"/>
      <c r="L289" s="439"/>
      <c r="M289" s="439"/>
      <c r="N289" s="439"/>
      <c r="O289" s="439"/>
      <c r="P289" s="439"/>
      <c r="Q289" s="439"/>
      <c r="R289" s="439"/>
      <c r="S289" s="439"/>
      <c r="T289" s="439"/>
      <c r="U289" s="439"/>
    </row>
    <row r="290" spans="2:21">
      <c r="B290" s="439"/>
      <c r="C290" s="439"/>
      <c r="D290" s="439"/>
      <c r="E290" s="439"/>
      <c r="F290" s="439"/>
      <c r="G290" s="439"/>
      <c r="H290" s="439"/>
      <c r="I290" s="439"/>
      <c r="J290" s="439"/>
      <c r="K290" s="439"/>
      <c r="L290" s="439"/>
      <c r="M290" s="439"/>
      <c r="N290" s="439"/>
      <c r="O290" s="439"/>
      <c r="P290" s="439"/>
      <c r="Q290" s="439"/>
      <c r="R290" s="439"/>
      <c r="S290" s="439"/>
      <c r="T290" s="439"/>
      <c r="U290" s="439"/>
    </row>
    <row r="291" spans="2:21">
      <c r="B291" s="439"/>
      <c r="C291" s="439"/>
      <c r="D291" s="439"/>
      <c r="E291" s="439"/>
      <c r="F291" s="439"/>
      <c r="G291" s="439"/>
      <c r="H291" s="439"/>
      <c r="I291" s="439"/>
      <c r="J291" s="439"/>
      <c r="K291" s="439"/>
      <c r="L291" s="439"/>
      <c r="M291" s="439"/>
      <c r="N291" s="439"/>
      <c r="O291" s="439"/>
      <c r="P291" s="439"/>
      <c r="Q291" s="439"/>
      <c r="R291" s="439"/>
      <c r="S291" s="439"/>
      <c r="T291" s="439"/>
      <c r="U291" s="439"/>
    </row>
    <row r="292" spans="2:21">
      <c r="B292" s="439"/>
      <c r="C292" s="439"/>
      <c r="D292" s="439"/>
      <c r="E292" s="439"/>
      <c r="F292" s="439"/>
      <c r="G292" s="439"/>
      <c r="H292" s="439"/>
      <c r="I292" s="439"/>
      <c r="J292" s="439"/>
      <c r="K292" s="439"/>
      <c r="L292" s="439"/>
      <c r="M292" s="439"/>
      <c r="N292" s="439"/>
      <c r="O292" s="439"/>
      <c r="P292" s="439"/>
      <c r="Q292" s="439"/>
      <c r="R292" s="439"/>
      <c r="S292" s="439"/>
      <c r="T292" s="439"/>
      <c r="U292" s="439"/>
    </row>
  </sheetData>
  <mergeCells count="21">
    <mergeCell ref="C58:L58"/>
    <mergeCell ref="C59:C60"/>
    <mergeCell ref="A2:F2"/>
    <mergeCell ref="B13:O13"/>
    <mergeCell ref="B8:O8"/>
    <mergeCell ref="C20:L20"/>
    <mergeCell ref="C21:C22"/>
    <mergeCell ref="D21:D22"/>
    <mergeCell ref="E21:E22"/>
    <mergeCell ref="F21:F22"/>
    <mergeCell ref="G21:H21"/>
    <mergeCell ref="I21:J21"/>
    <mergeCell ref="K21:K22"/>
    <mergeCell ref="L21:L22"/>
    <mergeCell ref="D59:D60"/>
    <mergeCell ref="L59:L60"/>
    <mergeCell ref="E59:E60"/>
    <mergeCell ref="F59:F60"/>
    <mergeCell ref="G59:H59"/>
    <mergeCell ref="I59:J59"/>
    <mergeCell ref="K59:K60"/>
  </mergeCells>
  <pageMargins left="0.7" right="0.7" top="0.75" bottom="0.75" header="0.3" footer="0.3"/>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sheetPr>
  <dimension ref="B1:AY82"/>
  <sheetViews>
    <sheetView workbookViewId="0">
      <selection activeCell="AM13" sqref="AM13:AV13"/>
    </sheetView>
  </sheetViews>
  <sheetFormatPr baseColWidth="10" defaultColWidth="8.83203125" defaultRowHeight="15"/>
  <cols>
    <col min="2" max="2" width="36.6640625" customWidth="1"/>
    <col min="3" max="3" width="10" bestFit="1" customWidth="1"/>
    <col min="4" max="4" width="10.6640625" customWidth="1"/>
    <col min="9" max="13" width="9.1640625" customWidth="1"/>
    <col min="14" max="14" width="27.1640625" customWidth="1"/>
    <col min="15" max="18" width="9.1640625" customWidth="1"/>
    <col min="26" max="26" width="32.33203125" customWidth="1"/>
    <col min="38" max="38" width="38.1640625" customWidth="1"/>
  </cols>
  <sheetData>
    <row r="1" spans="2:51" s="111" customFormat="1" ht="16" thickBot="1"/>
    <row r="2" spans="2:51">
      <c r="B2" s="1260" t="str">
        <f>C13</f>
        <v>Oil boiler (mineral oil fired, &lt; 10 % FAME) - One-family house, existing and energy renovated buildings</v>
      </c>
      <c r="C2" s="1261"/>
      <c r="D2" s="1261"/>
      <c r="E2" s="1261"/>
      <c r="F2" s="1261"/>
      <c r="G2" s="1262"/>
      <c r="AL2" s="1260" t="str">
        <f>AA13</f>
        <v>Oil boiler (bio oil) - One-family house, new building. HVO is assumed from 2030</v>
      </c>
      <c r="AM2" s="1261"/>
      <c r="AN2" s="1261"/>
      <c r="AO2" s="1261"/>
      <c r="AP2" s="1261"/>
      <c r="AQ2" s="1262"/>
      <c r="AR2" s="352"/>
      <c r="AS2" s="352"/>
      <c r="AT2" s="352"/>
      <c r="AU2" s="352"/>
      <c r="AV2" s="352"/>
      <c r="AW2" s="352"/>
      <c r="AX2" s="352"/>
      <c r="AY2" s="352"/>
    </row>
    <row r="3" spans="2:51" ht="16" thickBot="1">
      <c r="B3" s="1263">
        <f>C14</f>
        <v>2015</v>
      </c>
      <c r="C3" s="1264"/>
      <c r="D3" s="1264"/>
      <c r="E3" s="1264"/>
      <c r="F3" s="1264"/>
      <c r="G3" s="1265"/>
      <c r="H3" s="291"/>
      <c r="J3" s="821" t="s">
        <v>783</v>
      </c>
      <c r="AL3" s="1263">
        <f>AA14</f>
        <v>2015</v>
      </c>
      <c r="AM3" s="1264"/>
      <c r="AN3" s="1264"/>
      <c r="AO3" s="1264"/>
      <c r="AP3" s="1264"/>
      <c r="AQ3" s="1265"/>
      <c r="AR3" s="352"/>
      <c r="AS3" s="352"/>
      <c r="AT3" s="352"/>
      <c r="AU3" s="352"/>
      <c r="AV3" s="352"/>
      <c r="AW3" s="352"/>
      <c r="AX3" s="352"/>
      <c r="AY3" s="352"/>
    </row>
    <row r="4" spans="2:51" ht="16" thickBot="1">
      <c r="B4" s="34" t="s">
        <v>273</v>
      </c>
      <c r="J4" s="821">
        <v>0.2</v>
      </c>
      <c r="Z4" s="34" t="s">
        <v>273</v>
      </c>
      <c r="AA4" s="821"/>
      <c r="AB4" s="821"/>
      <c r="AC4" s="821"/>
      <c r="AD4" s="821"/>
      <c r="AE4" s="821"/>
      <c r="AF4" s="821"/>
      <c r="AG4" s="821"/>
      <c r="AH4" s="821"/>
      <c r="AL4" s="34" t="s">
        <v>273</v>
      </c>
      <c r="AM4" s="352"/>
      <c r="AN4" s="352"/>
      <c r="AO4" s="352"/>
      <c r="AP4" s="352"/>
      <c r="AQ4" s="352"/>
      <c r="AR4" s="352"/>
      <c r="AS4" s="352"/>
      <c r="AT4" s="352"/>
      <c r="AU4" s="352"/>
      <c r="AV4" s="352"/>
      <c r="AW4" s="352"/>
      <c r="AX4" s="352"/>
      <c r="AY4" s="352"/>
    </row>
    <row r="5" spans="2:51" s="291" customFormat="1" ht="31" thickTop="1">
      <c r="B5" s="27" t="s">
        <v>255</v>
      </c>
      <c r="C5" s="27" t="s">
        <v>256</v>
      </c>
      <c r="D5" s="28" t="s">
        <v>257</v>
      </c>
      <c r="E5" s="28" t="s">
        <v>259</v>
      </c>
      <c r="F5" s="29" t="s">
        <v>260</v>
      </c>
      <c r="G5" s="30" t="s">
        <v>261</v>
      </c>
      <c r="H5" s="30" t="s">
        <v>262</v>
      </c>
      <c r="I5" s="136"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136" t="s">
        <v>263</v>
      </c>
      <c r="AH5" s="136" t="s">
        <v>264</v>
      </c>
      <c r="AL5" s="27" t="s">
        <v>255</v>
      </c>
      <c r="AM5" s="27" t="s">
        <v>256</v>
      </c>
      <c r="AN5" s="28" t="s">
        <v>257</v>
      </c>
      <c r="AO5" s="28" t="s">
        <v>259</v>
      </c>
      <c r="AP5" s="29" t="s">
        <v>260</v>
      </c>
      <c r="AQ5" s="30" t="s">
        <v>261</v>
      </c>
      <c r="AR5" s="30" t="s">
        <v>262</v>
      </c>
      <c r="AS5" s="136" t="s">
        <v>263</v>
      </c>
      <c r="AT5" s="136" t="s">
        <v>264</v>
      </c>
      <c r="AU5" s="30" t="s">
        <v>265</v>
      </c>
      <c r="AV5" s="30" t="s">
        <v>266</v>
      </c>
      <c r="AW5" s="30" t="s">
        <v>267</v>
      </c>
      <c r="AX5" s="30" t="s">
        <v>268</v>
      </c>
      <c r="AY5" s="30" t="s">
        <v>269</v>
      </c>
    </row>
    <row r="6" spans="2:51" s="291" customFormat="1" ht="16" thickBot="1">
      <c r="B6" s="31"/>
      <c r="C6" s="31"/>
      <c r="D6" s="32"/>
      <c r="E6" s="32"/>
      <c r="F6" s="33"/>
      <c r="G6" s="31"/>
      <c r="H6" s="31"/>
      <c r="I6" s="31"/>
      <c r="J6" s="31"/>
      <c r="K6" s="31"/>
      <c r="L6" s="31"/>
      <c r="M6" s="31"/>
      <c r="N6" s="31"/>
      <c r="O6" s="31"/>
      <c r="Z6" s="31"/>
      <c r="AA6" s="31"/>
      <c r="AB6" s="32"/>
      <c r="AC6" s="32"/>
      <c r="AD6" s="33"/>
      <c r="AE6" s="31"/>
      <c r="AF6" s="31"/>
      <c r="AG6" s="31"/>
      <c r="AH6" s="31"/>
      <c r="AL6" s="31"/>
      <c r="AM6" s="31"/>
      <c r="AN6" s="32"/>
      <c r="AO6" s="32"/>
      <c r="AP6" s="33"/>
      <c r="AQ6" s="31"/>
      <c r="AR6" s="31"/>
      <c r="AS6" s="31"/>
      <c r="AT6" s="31"/>
      <c r="AU6" s="31"/>
      <c r="AV6" s="31"/>
      <c r="AW6" s="31"/>
      <c r="AX6" s="31"/>
      <c r="AY6" s="31"/>
    </row>
    <row r="7" spans="2:51" s="291" customFormat="1">
      <c r="B7" s="37"/>
      <c r="C7" s="37"/>
      <c r="D7" s="38"/>
      <c r="E7" s="38"/>
      <c r="F7" s="38" t="s">
        <v>353</v>
      </c>
      <c r="G7" s="38" t="s">
        <v>354</v>
      </c>
      <c r="H7" s="38" t="s">
        <v>355</v>
      </c>
      <c r="I7" s="37" t="s">
        <v>271</v>
      </c>
      <c r="J7" s="37" t="s">
        <v>271</v>
      </c>
      <c r="K7" s="37" t="s">
        <v>272</v>
      </c>
      <c r="L7" s="37" t="s">
        <v>272</v>
      </c>
      <c r="M7" s="37" t="s">
        <v>272</v>
      </c>
      <c r="N7" s="37" t="s">
        <v>272</v>
      </c>
      <c r="O7" s="37" t="s">
        <v>272</v>
      </c>
      <c r="Z7" s="37"/>
      <c r="AA7" s="37"/>
      <c r="AB7" s="38"/>
      <c r="AC7" s="38"/>
      <c r="AD7" s="38" t="s">
        <v>353</v>
      </c>
      <c r="AE7" s="38" t="s">
        <v>354</v>
      </c>
      <c r="AF7" s="38" t="s">
        <v>355</v>
      </c>
      <c r="AG7" s="37" t="s">
        <v>271</v>
      </c>
      <c r="AH7" s="37" t="s">
        <v>271</v>
      </c>
      <c r="AL7" s="37"/>
      <c r="AM7" s="37"/>
      <c r="AN7" s="38"/>
      <c r="AO7" s="38"/>
      <c r="AP7" s="38" t="s">
        <v>353</v>
      </c>
      <c r="AQ7" s="38" t="s">
        <v>354</v>
      </c>
      <c r="AR7" s="38" t="s">
        <v>355</v>
      </c>
      <c r="AS7" s="37" t="s">
        <v>271</v>
      </c>
      <c r="AT7" s="37" t="s">
        <v>271</v>
      </c>
      <c r="AU7" s="37" t="s">
        <v>272</v>
      </c>
      <c r="AV7" s="37" t="s">
        <v>272</v>
      </c>
      <c r="AW7" s="37" t="s">
        <v>272</v>
      </c>
      <c r="AX7" s="37" t="s">
        <v>272</v>
      </c>
      <c r="AY7" s="37" t="s">
        <v>272</v>
      </c>
    </row>
    <row r="8" spans="2:51" s="291" customFormat="1">
      <c r="B8" s="39">
        <f>C14</f>
        <v>2015</v>
      </c>
      <c r="C8" s="39">
        <f>B8</f>
        <v>2015</v>
      </c>
      <c r="D8" s="39">
        <f>C23/100</f>
        <v>0.92</v>
      </c>
      <c r="E8" s="39">
        <f>C25</f>
        <v>20</v>
      </c>
      <c r="F8" s="226">
        <f>C48</f>
        <v>2.9800000000000004</v>
      </c>
      <c r="G8" s="226">
        <f>C51</f>
        <v>0.12389349999999999</v>
      </c>
      <c r="H8" s="226">
        <f>C52</f>
        <v>0</v>
      </c>
      <c r="I8" s="39"/>
      <c r="J8" s="39">
        <f>$J$4*C19/100/C17*10</f>
        <v>0.13333333333333333</v>
      </c>
      <c r="K8" s="39">
        <f>C33</f>
        <v>0.5</v>
      </c>
      <c r="L8" s="363">
        <f>C34</f>
        <v>30</v>
      </c>
      <c r="M8" s="363">
        <f>C35</f>
        <v>0</v>
      </c>
      <c r="N8" s="350">
        <f>C36</f>
        <v>0</v>
      </c>
      <c r="O8" s="363">
        <f>C37</f>
        <v>0.03</v>
      </c>
      <c r="Z8" s="39">
        <f>AA14</f>
        <v>2015</v>
      </c>
      <c r="AA8" s="39">
        <f>Z8</f>
        <v>2015</v>
      </c>
      <c r="AB8" s="39">
        <f>AA22/100</f>
        <v>0.9</v>
      </c>
      <c r="AC8" s="39">
        <f>AA25</f>
        <v>20</v>
      </c>
      <c r="AD8" s="226">
        <f>AA48*0.7</f>
        <v>3.4766666666666666</v>
      </c>
      <c r="AE8" s="226">
        <f>AA51</f>
        <v>0.25312758506211136</v>
      </c>
      <c r="AF8" s="226">
        <f>AA52</f>
        <v>0</v>
      </c>
      <c r="AG8" s="39"/>
      <c r="AH8" s="39"/>
      <c r="AL8" s="39">
        <f>AM14</f>
        <v>2015</v>
      </c>
      <c r="AM8" s="39">
        <f>AL8</f>
        <v>2015</v>
      </c>
      <c r="AN8" s="39">
        <f>AM22/100</f>
        <v>0.92</v>
      </c>
      <c r="AO8" s="39">
        <f>AM25</f>
        <v>20</v>
      </c>
      <c r="AP8" s="226">
        <f>AM48</f>
        <v>1.30375</v>
      </c>
      <c r="AQ8" s="226">
        <f>AM51</f>
        <v>4.024640733048624E-2</v>
      </c>
      <c r="AR8" s="226">
        <f>AM52</f>
        <v>52.15</v>
      </c>
      <c r="AS8" s="39"/>
      <c r="AT8" s="39"/>
      <c r="AU8" s="39">
        <f>AM33</f>
        <v>0.5</v>
      </c>
      <c r="AV8" s="523">
        <f>AM34</f>
        <v>40</v>
      </c>
      <c r="AW8" s="523">
        <f>AM35</f>
        <v>0</v>
      </c>
      <c r="AX8" s="350">
        <f>AM36</f>
        <v>0</v>
      </c>
      <c r="AY8" s="523">
        <f>AM37</f>
        <v>0.03</v>
      </c>
    </row>
    <row r="9" spans="2:51" s="291" customFormat="1">
      <c r="B9" s="39">
        <f>D14</f>
        <v>2020</v>
      </c>
      <c r="C9" s="39"/>
      <c r="D9" s="39">
        <f>D23/100</f>
        <v>0.92</v>
      </c>
      <c r="E9" s="39">
        <f>D25</f>
        <v>20</v>
      </c>
      <c r="F9" s="226">
        <f>D48</f>
        <v>2.9062412843031877</v>
      </c>
      <c r="G9" s="226">
        <f>D51</f>
        <v>0.12104745137212751</v>
      </c>
      <c r="H9" s="226">
        <f>D52</f>
        <v>0</v>
      </c>
      <c r="I9" s="39"/>
      <c r="J9" s="39">
        <f>$J$4*D19/100/D17*10</f>
        <v>0.13333333333333333</v>
      </c>
      <c r="K9" s="39">
        <f>D33</f>
        <v>0.5</v>
      </c>
      <c r="L9" s="363">
        <f>D34</f>
        <v>25</v>
      </c>
      <c r="M9" s="363">
        <f>D35</f>
        <v>0</v>
      </c>
      <c r="N9" s="350">
        <f>D36</f>
        <v>0</v>
      </c>
      <c r="O9" s="363">
        <f>D37</f>
        <v>0.02</v>
      </c>
      <c r="Z9" s="39">
        <f>AB14</f>
        <v>2020</v>
      </c>
      <c r="AA9" s="39"/>
      <c r="AB9" s="39">
        <f>AB22/100</f>
        <v>0.9</v>
      </c>
      <c r="AC9" s="39">
        <f>AB25</f>
        <v>20</v>
      </c>
      <c r="AD9" s="226">
        <f>AB48*0.7</f>
        <v>3.3906148316870524</v>
      </c>
      <c r="AE9" s="226">
        <f>AB51</f>
        <v>0.24828983098047269</v>
      </c>
      <c r="AF9" s="226">
        <f>AB52</f>
        <v>0</v>
      </c>
      <c r="AG9" s="39"/>
      <c r="AH9" s="39"/>
      <c r="AL9" s="39">
        <f>AN14</f>
        <v>2020</v>
      </c>
      <c r="AM9" s="39"/>
      <c r="AN9" s="39">
        <f>AN22/100</f>
        <v>0.92</v>
      </c>
      <c r="AO9" s="39">
        <f>AN25</f>
        <v>20</v>
      </c>
      <c r="AP9" s="226">
        <f>AN48</f>
        <v>1.2714805618826448</v>
      </c>
      <c r="AQ9" s="226">
        <f>AN51</f>
        <v>3.9295101689342589E-2</v>
      </c>
      <c r="AR9" s="226">
        <f>AN52</f>
        <v>44.7</v>
      </c>
      <c r="AS9" s="39"/>
      <c r="AT9" s="39"/>
      <c r="AU9" s="39">
        <f>AN33</f>
        <v>0.5</v>
      </c>
      <c r="AV9" s="523">
        <f>AN34</f>
        <v>25</v>
      </c>
      <c r="AW9" s="523">
        <f>AN35</f>
        <v>0</v>
      </c>
      <c r="AX9" s="350">
        <f>AN36</f>
        <v>0</v>
      </c>
      <c r="AY9" s="523">
        <f>AN37</f>
        <v>0.02</v>
      </c>
    </row>
    <row r="10" spans="2:51" s="291" customFormat="1">
      <c r="B10" s="39">
        <f>E14</f>
        <v>2030</v>
      </c>
      <c r="C10" s="39"/>
      <c r="D10" s="39">
        <f>E23/100</f>
        <v>0.93</v>
      </c>
      <c r="E10" s="39">
        <f>E25</f>
        <v>20</v>
      </c>
      <c r="F10" s="226">
        <f>E48</f>
        <v>2.7641555270786178</v>
      </c>
      <c r="G10" s="226">
        <f>E51</f>
        <v>0.11708745441647805</v>
      </c>
      <c r="H10" s="226">
        <f>E52</f>
        <v>0</v>
      </c>
      <c r="I10" s="39"/>
      <c r="J10" s="39">
        <f>$J$4*E19/100/E17*10</f>
        <v>0.13333333333333333</v>
      </c>
      <c r="K10" s="39">
        <f>E33</f>
        <v>0.5</v>
      </c>
      <c r="L10" s="363">
        <f>E34</f>
        <v>20</v>
      </c>
      <c r="M10" s="363">
        <f>E35</f>
        <v>0</v>
      </c>
      <c r="N10" s="350">
        <f>E36</f>
        <v>0</v>
      </c>
      <c r="O10" s="363">
        <f>E37</f>
        <v>0.01</v>
      </c>
      <c r="Z10" s="39">
        <f>AC14</f>
        <v>2030</v>
      </c>
      <c r="AA10" s="39"/>
      <c r="AB10" s="39">
        <f>AC22/100</f>
        <v>1.04</v>
      </c>
      <c r="AC10" s="39">
        <f>AC25</f>
        <v>20</v>
      </c>
      <c r="AD10" s="226">
        <f>AC48*0.7</f>
        <v>3.2248481149250541</v>
      </c>
      <c r="AE10" s="226">
        <f>AC51</f>
        <v>0.24002799477350797</v>
      </c>
      <c r="AF10" s="226">
        <f>AC52</f>
        <v>0</v>
      </c>
      <c r="AG10" s="39"/>
      <c r="AH10" s="39"/>
      <c r="AL10" s="39">
        <f>AO14</f>
        <v>2030</v>
      </c>
      <c r="AM10" s="39"/>
      <c r="AN10" s="39">
        <f>AO22/100</f>
        <v>1.04</v>
      </c>
      <c r="AO10" s="39">
        <f>AO25</f>
        <v>20</v>
      </c>
      <c r="AP10" s="226">
        <f>AO48</f>
        <v>1.2093180430968953</v>
      </c>
      <c r="AQ10" s="226">
        <f>AO51</f>
        <v>3.7024942128548191E-2</v>
      </c>
      <c r="AR10" s="226">
        <f>AO52</f>
        <v>37.25</v>
      </c>
      <c r="AS10" s="39"/>
      <c r="AT10" s="39"/>
      <c r="AU10" s="39">
        <f>AO33</f>
        <v>0.5</v>
      </c>
      <c r="AV10" s="523">
        <f>AO34</f>
        <v>20</v>
      </c>
      <c r="AW10" s="523">
        <f>AO35</f>
        <v>0</v>
      </c>
      <c r="AX10" s="350">
        <f>AO36</f>
        <v>0</v>
      </c>
      <c r="AY10" s="523">
        <f>AO37</f>
        <v>0.01</v>
      </c>
    </row>
    <row r="11" spans="2:51" ht="16" thickBot="1">
      <c r="B11" s="39">
        <f>F14</f>
        <v>2050</v>
      </c>
      <c r="C11" s="39"/>
      <c r="D11" s="39">
        <f>F23/100</f>
        <v>0.95</v>
      </c>
      <c r="E11" s="39">
        <f>F25</f>
        <v>20</v>
      </c>
      <c r="F11" s="226">
        <f>F48</f>
        <v>2.5004840589043273</v>
      </c>
      <c r="G11" s="226">
        <f>F51</f>
        <v>0.10641146235617312</v>
      </c>
      <c r="H11" s="226">
        <f>F52</f>
        <v>0</v>
      </c>
      <c r="I11" s="143"/>
      <c r="J11" s="39">
        <f>$J$4*F19/100/F17*10</f>
        <v>0.13333333333333333</v>
      </c>
      <c r="K11" s="39">
        <f>F33</f>
        <v>0.5</v>
      </c>
      <c r="L11" s="363">
        <f>F34</f>
        <v>15</v>
      </c>
      <c r="M11" s="363">
        <f>F35</f>
        <v>0</v>
      </c>
      <c r="N11" s="350">
        <f>F36</f>
        <v>0</v>
      </c>
      <c r="O11" s="363">
        <f>F37</f>
        <v>0.01</v>
      </c>
      <c r="Z11" s="39">
        <f>AD14</f>
        <v>2050</v>
      </c>
      <c r="AA11" s="39"/>
      <c r="AB11" s="39">
        <f>AD22/100</f>
        <v>1.05</v>
      </c>
      <c r="AC11" s="39">
        <f>AD25</f>
        <v>20</v>
      </c>
      <c r="AD11" s="226">
        <f>AD48*0.7</f>
        <v>2.9172314020550485</v>
      </c>
      <c r="AE11" s="226">
        <f>AD51</f>
        <v>0.21845142510710319</v>
      </c>
      <c r="AF11" s="226">
        <f>AD52</f>
        <v>0</v>
      </c>
      <c r="AG11" s="143"/>
      <c r="AH11" s="143"/>
      <c r="AL11" s="39">
        <f>AP14</f>
        <v>2050</v>
      </c>
      <c r="AM11" s="39"/>
      <c r="AN11" s="39">
        <f>AP22/100</f>
        <v>1.05</v>
      </c>
      <c r="AO11" s="39">
        <f>AP25</f>
        <v>20</v>
      </c>
      <c r="AP11" s="226">
        <f>AP48</f>
        <v>1.0939617757706432</v>
      </c>
      <c r="AQ11" s="226">
        <f>AP51</f>
        <v>3.4950335151467789E-2</v>
      </c>
      <c r="AR11" s="226">
        <f>AP52</f>
        <v>29.8</v>
      </c>
      <c r="AS11" s="143"/>
      <c r="AT11" s="143"/>
      <c r="AU11" s="39">
        <f>AP33</f>
        <v>0.5</v>
      </c>
      <c r="AV11" s="523">
        <f>AP34</f>
        <v>15</v>
      </c>
      <c r="AW11" s="523">
        <f>AP35</f>
        <v>0</v>
      </c>
      <c r="AX11" s="350">
        <f>AP36</f>
        <v>0</v>
      </c>
      <c r="AY11" s="523">
        <f>AP37</f>
        <v>0.01</v>
      </c>
    </row>
    <row r="12" spans="2:51" ht="17" thickTop="1" thickBot="1">
      <c r="B12" s="291"/>
      <c r="C12" s="291"/>
      <c r="D12" s="291"/>
      <c r="E12" s="291"/>
      <c r="F12" s="291"/>
      <c r="G12" s="291"/>
      <c r="H12" s="291"/>
      <c r="I12" s="291"/>
      <c r="K12" s="291"/>
      <c r="L12" s="291"/>
      <c r="M12" s="291"/>
      <c r="N12" s="291"/>
      <c r="O12" s="291"/>
      <c r="P12" s="291"/>
    </row>
    <row r="13" spans="2:51" ht="15" customHeight="1" thickBot="1">
      <c r="B13" s="908" t="s">
        <v>0</v>
      </c>
      <c r="C13" s="1269" t="s">
        <v>529</v>
      </c>
      <c r="D13" s="1270"/>
      <c r="E13" s="1270"/>
      <c r="F13" s="1270"/>
      <c r="G13" s="1270"/>
      <c r="H13" s="1270"/>
      <c r="I13" s="1270"/>
      <c r="J13" s="1270"/>
      <c r="K13" s="1270"/>
      <c r="L13" s="1271"/>
      <c r="M13" s="373"/>
      <c r="N13" s="387" t="s">
        <v>0</v>
      </c>
      <c r="O13" s="1269" t="s">
        <v>530</v>
      </c>
      <c r="P13" s="1270"/>
      <c r="Q13" s="1270"/>
      <c r="R13" s="1270"/>
      <c r="S13" s="1270"/>
      <c r="T13" s="1270"/>
      <c r="U13" s="1270"/>
      <c r="V13" s="1270"/>
      <c r="W13" s="1270"/>
      <c r="X13" s="1271"/>
      <c r="Y13" s="373"/>
      <c r="Z13" s="387" t="s">
        <v>0</v>
      </c>
      <c r="AA13" s="1269" t="s">
        <v>531</v>
      </c>
      <c r="AB13" s="1270"/>
      <c r="AC13" s="1270"/>
      <c r="AD13" s="1270"/>
      <c r="AE13" s="1270"/>
      <c r="AF13" s="1270"/>
      <c r="AG13" s="1270"/>
      <c r="AH13" s="1270"/>
      <c r="AI13" s="1270"/>
      <c r="AJ13" s="1271"/>
      <c r="AK13" s="373"/>
      <c r="AL13" s="387" t="s">
        <v>0</v>
      </c>
      <c r="AM13" s="1269" t="s">
        <v>532</v>
      </c>
      <c r="AN13" s="1270"/>
      <c r="AO13" s="1270"/>
      <c r="AP13" s="1270"/>
      <c r="AQ13" s="1270"/>
      <c r="AR13" s="1270"/>
      <c r="AS13" s="1270"/>
      <c r="AT13" s="1270"/>
      <c r="AU13" s="1270"/>
      <c r="AV13" s="1271"/>
    </row>
    <row r="14" spans="2:51" ht="15.75" customHeight="1">
      <c r="B14" s="1278"/>
      <c r="C14" s="1276">
        <v>2015</v>
      </c>
      <c r="D14" s="1276">
        <v>2020</v>
      </c>
      <c r="E14" s="1276">
        <v>2030</v>
      </c>
      <c r="F14" s="1276">
        <v>2050</v>
      </c>
      <c r="G14" s="1272" t="s">
        <v>467</v>
      </c>
      <c r="H14" s="1273"/>
      <c r="I14" s="1272" t="s">
        <v>468</v>
      </c>
      <c r="J14" s="1273"/>
      <c r="K14" s="1276" t="s">
        <v>2</v>
      </c>
      <c r="L14" s="1276" t="s">
        <v>3</v>
      </c>
      <c r="M14" s="373"/>
      <c r="N14" s="1278"/>
      <c r="O14" s="1276">
        <v>2015</v>
      </c>
      <c r="P14" s="1276">
        <v>2020</v>
      </c>
      <c r="Q14" s="1276">
        <v>2030</v>
      </c>
      <c r="R14" s="1276">
        <v>2050</v>
      </c>
      <c r="S14" s="1272" t="s">
        <v>467</v>
      </c>
      <c r="T14" s="1273"/>
      <c r="U14" s="1272" t="s">
        <v>468</v>
      </c>
      <c r="V14" s="1273"/>
      <c r="W14" s="1276" t="s">
        <v>2</v>
      </c>
      <c r="X14" s="1276" t="s">
        <v>3</v>
      </c>
      <c r="Y14" s="373"/>
      <c r="Z14" s="1278"/>
      <c r="AA14" s="1276">
        <v>2015</v>
      </c>
      <c r="AB14" s="1276">
        <v>2020</v>
      </c>
      <c r="AC14" s="1276">
        <v>2030</v>
      </c>
      <c r="AD14" s="1276">
        <v>2050</v>
      </c>
      <c r="AE14" s="1272" t="s">
        <v>467</v>
      </c>
      <c r="AF14" s="1273"/>
      <c r="AG14" s="1272" t="s">
        <v>468</v>
      </c>
      <c r="AH14" s="1273"/>
      <c r="AI14" s="1276" t="s">
        <v>2</v>
      </c>
      <c r="AJ14" s="1276" t="s">
        <v>3</v>
      </c>
      <c r="AK14" s="373"/>
      <c r="AL14" s="1278"/>
      <c r="AM14" s="1276">
        <v>2015</v>
      </c>
      <c r="AN14" s="1276">
        <v>2020</v>
      </c>
      <c r="AO14" s="1276">
        <v>2030</v>
      </c>
      <c r="AP14" s="1276">
        <v>2050</v>
      </c>
      <c r="AQ14" s="1272" t="s">
        <v>467</v>
      </c>
      <c r="AR14" s="1273"/>
      <c r="AS14" s="1272" t="s">
        <v>468</v>
      </c>
      <c r="AT14" s="1273"/>
      <c r="AU14" s="1276" t="s">
        <v>2</v>
      </c>
      <c r="AV14" s="1276" t="s">
        <v>3</v>
      </c>
    </row>
    <row r="15" spans="2:51" ht="16" thickBot="1">
      <c r="B15" s="1279"/>
      <c r="C15" s="1277"/>
      <c r="D15" s="1277"/>
      <c r="E15" s="1277"/>
      <c r="F15" s="1277"/>
      <c r="G15" s="1274"/>
      <c r="H15" s="1275"/>
      <c r="I15" s="1274"/>
      <c r="J15" s="1275"/>
      <c r="K15" s="1277"/>
      <c r="L15" s="1277"/>
      <c r="M15" s="373"/>
      <c r="N15" s="1279"/>
      <c r="O15" s="1277"/>
      <c r="P15" s="1277"/>
      <c r="Q15" s="1277"/>
      <c r="R15" s="1277"/>
      <c r="S15" s="1274"/>
      <c r="T15" s="1275"/>
      <c r="U15" s="1274"/>
      <c r="V15" s="1275"/>
      <c r="W15" s="1277"/>
      <c r="X15" s="1277"/>
      <c r="Y15" s="373"/>
      <c r="Z15" s="1279"/>
      <c r="AA15" s="1277"/>
      <c r="AB15" s="1277"/>
      <c r="AC15" s="1277"/>
      <c r="AD15" s="1277"/>
      <c r="AE15" s="1274"/>
      <c r="AF15" s="1275"/>
      <c r="AG15" s="1274"/>
      <c r="AH15" s="1275"/>
      <c r="AI15" s="1277"/>
      <c r="AJ15" s="1277"/>
      <c r="AK15" s="373"/>
      <c r="AL15" s="1279"/>
      <c r="AM15" s="1277"/>
      <c r="AN15" s="1277"/>
      <c r="AO15" s="1277"/>
      <c r="AP15" s="1277"/>
      <c r="AQ15" s="1274"/>
      <c r="AR15" s="1275"/>
      <c r="AS15" s="1274"/>
      <c r="AT15" s="1275"/>
      <c r="AU15" s="1277"/>
      <c r="AV15" s="1277"/>
    </row>
    <row r="16" spans="2:51" ht="16" thickBot="1">
      <c r="B16" s="909" t="s">
        <v>4</v>
      </c>
      <c r="C16" s="910"/>
      <c r="D16" s="910"/>
      <c r="E16" s="910"/>
      <c r="F16" s="910"/>
      <c r="G16" s="911" t="s">
        <v>469</v>
      </c>
      <c r="H16" s="911" t="s">
        <v>470</v>
      </c>
      <c r="I16" s="911" t="s">
        <v>469</v>
      </c>
      <c r="J16" s="911" t="s">
        <v>470</v>
      </c>
      <c r="K16" s="910"/>
      <c r="L16" s="912"/>
      <c r="M16" s="373"/>
      <c r="N16" s="375" t="s">
        <v>4</v>
      </c>
      <c r="O16" s="366"/>
      <c r="P16" s="366"/>
      <c r="Q16" s="366"/>
      <c r="R16" s="366"/>
      <c r="S16" s="365" t="s">
        <v>469</v>
      </c>
      <c r="T16" s="365" t="s">
        <v>470</v>
      </c>
      <c r="U16" s="365" t="s">
        <v>469</v>
      </c>
      <c r="V16" s="365" t="s">
        <v>470</v>
      </c>
      <c r="W16" s="366"/>
      <c r="X16" s="376"/>
      <c r="Y16" s="373"/>
      <c r="Z16" s="375" t="s">
        <v>4</v>
      </c>
      <c r="AA16" s="366"/>
      <c r="AB16" s="366"/>
      <c r="AC16" s="366"/>
      <c r="AD16" s="366"/>
      <c r="AE16" s="365" t="s">
        <v>469</v>
      </c>
      <c r="AF16" s="365" t="s">
        <v>470</v>
      </c>
      <c r="AG16" s="365" t="s">
        <v>469</v>
      </c>
      <c r="AH16" s="365" t="s">
        <v>470</v>
      </c>
      <c r="AI16" s="366"/>
      <c r="AJ16" s="376"/>
      <c r="AK16" s="373"/>
      <c r="AL16" s="387" t="s">
        <v>4</v>
      </c>
      <c r="AM16" s="366"/>
      <c r="AN16" s="366"/>
      <c r="AO16" s="366"/>
      <c r="AP16" s="366"/>
      <c r="AQ16" s="365" t="s">
        <v>469</v>
      </c>
      <c r="AR16" s="365" t="s">
        <v>470</v>
      </c>
      <c r="AS16" s="365" t="s">
        <v>469</v>
      </c>
      <c r="AT16" s="365" t="s">
        <v>470</v>
      </c>
      <c r="AU16" s="366"/>
      <c r="AV16" s="376"/>
    </row>
    <row r="17" spans="2:48" ht="16" thickBot="1">
      <c r="B17" s="913" t="s">
        <v>5</v>
      </c>
      <c r="C17" s="914">
        <v>15</v>
      </c>
      <c r="D17" s="914">
        <v>15</v>
      </c>
      <c r="E17" s="914">
        <v>15</v>
      </c>
      <c r="F17" s="914">
        <v>15</v>
      </c>
      <c r="G17" s="914">
        <v>13</v>
      </c>
      <c r="H17" s="914">
        <v>30</v>
      </c>
      <c r="I17" s="914">
        <v>15</v>
      </c>
      <c r="J17" s="914">
        <v>30</v>
      </c>
      <c r="K17" s="914" t="s">
        <v>6</v>
      </c>
      <c r="L17" s="914"/>
      <c r="M17" s="373"/>
      <c r="N17" s="374" t="s">
        <v>5</v>
      </c>
      <c r="O17" s="364">
        <v>400</v>
      </c>
      <c r="P17" s="364">
        <v>400</v>
      </c>
      <c r="Q17" s="364">
        <v>400</v>
      </c>
      <c r="R17" s="364">
        <v>400</v>
      </c>
      <c r="S17" s="364">
        <v>100</v>
      </c>
      <c r="T17" s="364">
        <v>1000</v>
      </c>
      <c r="U17" s="364">
        <v>100</v>
      </c>
      <c r="V17" s="364">
        <v>1000</v>
      </c>
      <c r="W17" s="364"/>
      <c r="X17" s="364"/>
      <c r="Y17" s="373"/>
      <c r="Z17" s="374" t="s">
        <v>5</v>
      </c>
      <c r="AA17" s="364">
        <v>15</v>
      </c>
      <c r="AB17" s="364">
        <v>15</v>
      </c>
      <c r="AC17" s="364">
        <v>15</v>
      </c>
      <c r="AD17" s="364">
        <v>15</v>
      </c>
      <c r="AE17" s="364">
        <v>13</v>
      </c>
      <c r="AF17" s="364">
        <v>30</v>
      </c>
      <c r="AG17" s="364">
        <v>15</v>
      </c>
      <c r="AH17" s="364">
        <v>30</v>
      </c>
      <c r="AI17" s="364" t="s">
        <v>6</v>
      </c>
      <c r="AJ17" s="364"/>
      <c r="AK17" s="373"/>
      <c r="AL17" s="374" t="s">
        <v>5</v>
      </c>
      <c r="AM17" s="364">
        <v>160</v>
      </c>
      <c r="AN17" s="364">
        <v>160</v>
      </c>
      <c r="AO17" s="364">
        <v>160</v>
      </c>
      <c r="AP17" s="364">
        <v>160</v>
      </c>
      <c r="AQ17" s="364">
        <v>100</v>
      </c>
      <c r="AR17" s="364">
        <v>1000</v>
      </c>
      <c r="AS17" s="364">
        <v>100</v>
      </c>
      <c r="AT17" s="364">
        <v>1000</v>
      </c>
      <c r="AU17" s="364"/>
      <c r="AV17" s="364"/>
    </row>
    <row r="18" spans="2:48" ht="25" thickBot="1">
      <c r="B18" s="913" t="s">
        <v>77</v>
      </c>
      <c r="C18" s="914" t="s">
        <v>487</v>
      </c>
      <c r="D18" s="914" t="s">
        <v>487</v>
      </c>
      <c r="E18" s="914" t="s">
        <v>487</v>
      </c>
      <c r="F18" s="914" t="s">
        <v>487</v>
      </c>
      <c r="G18" s="914" t="s">
        <v>487</v>
      </c>
      <c r="H18" s="914" t="s">
        <v>487</v>
      </c>
      <c r="I18" s="914" t="s">
        <v>487</v>
      </c>
      <c r="J18" s="914" t="s">
        <v>487</v>
      </c>
      <c r="K18" s="914"/>
      <c r="L18" s="914"/>
      <c r="M18" s="373"/>
      <c r="N18" s="374" t="s">
        <v>77</v>
      </c>
      <c r="O18" s="364" t="s">
        <v>487</v>
      </c>
      <c r="P18" s="364" t="s">
        <v>487</v>
      </c>
      <c r="Q18" s="364" t="s">
        <v>487</v>
      </c>
      <c r="R18" s="364" t="s">
        <v>487</v>
      </c>
      <c r="S18" s="364" t="s">
        <v>487</v>
      </c>
      <c r="T18" s="364" t="s">
        <v>487</v>
      </c>
      <c r="U18" s="364" t="s">
        <v>487</v>
      </c>
      <c r="V18" s="364" t="s">
        <v>487</v>
      </c>
      <c r="W18" s="364"/>
      <c r="X18" s="364"/>
      <c r="Y18" s="373"/>
      <c r="Z18" s="374" t="s">
        <v>77</v>
      </c>
      <c r="AA18" s="364" t="s">
        <v>487</v>
      </c>
      <c r="AB18" s="364" t="s">
        <v>487</v>
      </c>
      <c r="AC18" s="364" t="s">
        <v>487</v>
      </c>
      <c r="AD18" s="364" t="s">
        <v>487</v>
      </c>
      <c r="AE18" s="364" t="s">
        <v>487</v>
      </c>
      <c r="AF18" s="364" t="s">
        <v>487</v>
      </c>
      <c r="AG18" s="364" t="s">
        <v>487</v>
      </c>
      <c r="AH18" s="364" t="s">
        <v>487</v>
      </c>
      <c r="AI18" s="364"/>
      <c r="AJ18" s="364"/>
      <c r="AK18" s="373"/>
      <c r="AL18" s="374" t="s">
        <v>77</v>
      </c>
      <c r="AM18" s="364" t="s">
        <v>487</v>
      </c>
      <c r="AN18" s="364" t="s">
        <v>487</v>
      </c>
      <c r="AO18" s="364" t="s">
        <v>487</v>
      </c>
      <c r="AP18" s="364" t="s">
        <v>487</v>
      </c>
      <c r="AQ18" s="364" t="s">
        <v>487</v>
      </c>
      <c r="AR18" s="364" t="s">
        <v>487</v>
      </c>
      <c r="AS18" s="364" t="s">
        <v>487</v>
      </c>
      <c r="AT18" s="364" t="s">
        <v>487</v>
      </c>
      <c r="AU18" s="364"/>
      <c r="AV18" s="364"/>
    </row>
    <row r="19" spans="2:48" ht="25" thickBot="1">
      <c r="B19" s="913" t="s">
        <v>7</v>
      </c>
      <c r="C19" s="914">
        <v>100</v>
      </c>
      <c r="D19" s="914">
        <v>100</v>
      </c>
      <c r="E19" s="914">
        <v>100</v>
      </c>
      <c r="F19" s="914">
        <v>100</v>
      </c>
      <c r="G19" s="914">
        <v>100</v>
      </c>
      <c r="H19" s="914">
        <v>100</v>
      </c>
      <c r="I19" s="914">
        <v>100</v>
      </c>
      <c r="J19" s="914">
        <v>100</v>
      </c>
      <c r="K19" s="914"/>
      <c r="L19" s="914"/>
      <c r="M19" s="373"/>
      <c r="N19" s="374" t="s">
        <v>7</v>
      </c>
      <c r="O19" s="364">
        <v>100</v>
      </c>
      <c r="P19" s="364">
        <v>100</v>
      </c>
      <c r="Q19" s="364">
        <v>100</v>
      </c>
      <c r="R19" s="364">
        <v>100</v>
      </c>
      <c r="S19" s="364">
        <v>100</v>
      </c>
      <c r="T19" s="364">
        <v>100</v>
      </c>
      <c r="U19" s="364">
        <v>100</v>
      </c>
      <c r="V19" s="364">
        <v>100</v>
      </c>
      <c r="W19" s="364"/>
      <c r="X19" s="364"/>
      <c r="Y19" s="373"/>
      <c r="Z19" s="374" t="s">
        <v>7</v>
      </c>
      <c r="AA19" s="364">
        <v>100</v>
      </c>
      <c r="AB19" s="364">
        <v>100</v>
      </c>
      <c r="AC19" s="364">
        <v>100</v>
      </c>
      <c r="AD19" s="364">
        <v>100</v>
      </c>
      <c r="AE19" s="364">
        <v>100</v>
      </c>
      <c r="AF19" s="364">
        <v>100</v>
      </c>
      <c r="AG19" s="364">
        <v>100</v>
      </c>
      <c r="AH19" s="364">
        <v>100</v>
      </c>
      <c r="AI19" s="364"/>
      <c r="AJ19" s="364"/>
      <c r="AK19" s="373"/>
      <c r="AL19" s="374" t="s">
        <v>7</v>
      </c>
      <c r="AM19" s="364">
        <v>100</v>
      </c>
      <c r="AN19" s="364">
        <v>100</v>
      </c>
      <c r="AO19" s="364">
        <v>100</v>
      </c>
      <c r="AP19" s="364">
        <v>100</v>
      </c>
      <c r="AQ19" s="364">
        <v>100</v>
      </c>
      <c r="AR19" s="364">
        <v>100</v>
      </c>
      <c r="AS19" s="364">
        <v>100</v>
      </c>
      <c r="AT19" s="364">
        <v>100</v>
      </c>
      <c r="AU19" s="364"/>
      <c r="AV19" s="364"/>
    </row>
    <row r="20" spans="2:48" ht="25" thickBot="1">
      <c r="B20" s="913" t="s">
        <v>8</v>
      </c>
      <c r="C20" s="914">
        <v>100</v>
      </c>
      <c r="D20" s="914">
        <v>100</v>
      </c>
      <c r="E20" s="914">
        <v>100</v>
      </c>
      <c r="F20" s="914">
        <v>100</v>
      </c>
      <c r="G20" s="914">
        <v>100</v>
      </c>
      <c r="H20" s="914">
        <v>100</v>
      </c>
      <c r="I20" s="914">
        <v>100</v>
      </c>
      <c r="J20" s="914">
        <v>100</v>
      </c>
      <c r="K20" s="914"/>
      <c r="L20" s="914"/>
      <c r="M20" s="373"/>
      <c r="N20" s="374" t="s">
        <v>8</v>
      </c>
      <c r="O20" s="364">
        <v>100</v>
      </c>
      <c r="P20" s="364">
        <v>100</v>
      </c>
      <c r="Q20" s="364">
        <v>100</v>
      </c>
      <c r="R20" s="364">
        <v>100</v>
      </c>
      <c r="S20" s="364">
        <v>100</v>
      </c>
      <c r="T20" s="364">
        <v>100</v>
      </c>
      <c r="U20" s="364">
        <v>100</v>
      </c>
      <c r="V20" s="364">
        <v>100</v>
      </c>
      <c r="W20" s="364"/>
      <c r="X20" s="364"/>
      <c r="Y20" s="373"/>
      <c r="Z20" s="374" t="s">
        <v>8</v>
      </c>
      <c r="AA20" s="364">
        <v>100</v>
      </c>
      <c r="AB20" s="364">
        <v>100</v>
      </c>
      <c r="AC20" s="364">
        <v>100</v>
      </c>
      <c r="AD20" s="364">
        <v>100</v>
      </c>
      <c r="AE20" s="364">
        <v>100</v>
      </c>
      <c r="AF20" s="364">
        <v>100</v>
      </c>
      <c r="AG20" s="364">
        <v>100</v>
      </c>
      <c r="AH20" s="364">
        <v>100</v>
      </c>
      <c r="AI20" s="364"/>
      <c r="AJ20" s="364"/>
      <c r="AK20" s="373"/>
      <c r="AL20" s="374" t="s">
        <v>8</v>
      </c>
      <c r="AM20" s="364">
        <v>100</v>
      </c>
      <c r="AN20" s="364">
        <v>100</v>
      </c>
      <c r="AO20" s="364">
        <v>100</v>
      </c>
      <c r="AP20" s="364">
        <v>100</v>
      </c>
      <c r="AQ20" s="364">
        <v>100</v>
      </c>
      <c r="AR20" s="364">
        <v>100</v>
      </c>
      <c r="AS20" s="364">
        <v>100</v>
      </c>
      <c r="AT20" s="364">
        <v>100</v>
      </c>
      <c r="AU20" s="364"/>
      <c r="AV20" s="364"/>
    </row>
    <row r="21" spans="2:48" ht="16" thickBot="1">
      <c r="B21" s="913" t="s">
        <v>82</v>
      </c>
      <c r="C21" s="914" t="s">
        <v>487</v>
      </c>
      <c r="D21" s="914" t="s">
        <v>487</v>
      </c>
      <c r="E21" s="914" t="s">
        <v>487</v>
      </c>
      <c r="F21" s="914" t="s">
        <v>487</v>
      </c>
      <c r="G21" s="914" t="s">
        <v>487</v>
      </c>
      <c r="H21" s="914" t="s">
        <v>487</v>
      </c>
      <c r="I21" s="914" t="s">
        <v>487</v>
      </c>
      <c r="J21" s="914" t="s">
        <v>487</v>
      </c>
      <c r="K21" s="914"/>
      <c r="L21" s="914"/>
      <c r="M21" s="373"/>
      <c r="N21" s="374" t="s">
        <v>82</v>
      </c>
      <c r="O21" s="364" t="s">
        <v>487</v>
      </c>
      <c r="P21" s="364" t="s">
        <v>487</v>
      </c>
      <c r="Q21" s="364" t="s">
        <v>487</v>
      </c>
      <c r="R21" s="364" t="s">
        <v>487</v>
      </c>
      <c r="S21" s="364" t="s">
        <v>487</v>
      </c>
      <c r="T21" s="364" t="s">
        <v>487</v>
      </c>
      <c r="U21" s="364" t="s">
        <v>487</v>
      </c>
      <c r="V21" s="364" t="s">
        <v>487</v>
      </c>
      <c r="W21" s="364"/>
      <c r="X21" s="364"/>
      <c r="Y21" s="373"/>
      <c r="Z21" s="374" t="s">
        <v>82</v>
      </c>
      <c r="AA21" s="364" t="s">
        <v>487</v>
      </c>
      <c r="AB21" s="364" t="s">
        <v>487</v>
      </c>
      <c r="AC21" s="364" t="s">
        <v>487</v>
      </c>
      <c r="AD21" s="364" t="s">
        <v>487</v>
      </c>
      <c r="AE21" s="364" t="s">
        <v>487</v>
      </c>
      <c r="AF21" s="364" t="s">
        <v>487</v>
      </c>
      <c r="AG21" s="364" t="s">
        <v>487</v>
      </c>
      <c r="AH21" s="364" t="s">
        <v>487</v>
      </c>
      <c r="AI21" s="364"/>
      <c r="AJ21" s="364"/>
      <c r="AK21" s="373"/>
      <c r="AL21" s="374" t="s">
        <v>82</v>
      </c>
      <c r="AM21" s="364" t="s">
        <v>487</v>
      </c>
      <c r="AN21" s="364" t="s">
        <v>487</v>
      </c>
      <c r="AO21" s="364" t="s">
        <v>487</v>
      </c>
      <c r="AP21" s="364" t="s">
        <v>487</v>
      </c>
      <c r="AQ21" s="364" t="s">
        <v>487</v>
      </c>
      <c r="AR21" s="364" t="s">
        <v>487</v>
      </c>
      <c r="AS21" s="364" t="s">
        <v>487</v>
      </c>
      <c r="AT21" s="364" t="s">
        <v>487</v>
      </c>
      <c r="AU21" s="364"/>
      <c r="AV21" s="364"/>
    </row>
    <row r="22" spans="2:48" ht="16" thickBot="1">
      <c r="B22" s="913" t="s">
        <v>86</v>
      </c>
      <c r="C22" s="914">
        <v>92</v>
      </c>
      <c r="D22" s="914">
        <v>92</v>
      </c>
      <c r="E22" s="914">
        <v>93</v>
      </c>
      <c r="F22" s="914">
        <v>95</v>
      </c>
      <c r="G22" s="914">
        <v>90</v>
      </c>
      <c r="H22" s="914">
        <v>95</v>
      </c>
      <c r="I22" s="914">
        <v>95</v>
      </c>
      <c r="J22" s="914">
        <v>98</v>
      </c>
      <c r="K22" s="914" t="s">
        <v>707</v>
      </c>
      <c r="L22" s="914" t="s">
        <v>846</v>
      </c>
      <c r="M22" s="373"/>
      <c r="N22" s="374" t="s">
        <v>86</v>
      </c>
      <c r="O22" s="364">
        <v>92</v>
      </c>
      <c r="P22" s="364">
        <v>92</v>
      </c>
      <c r="Q22" s="364">
        <v>104</v>
      </c>
      <c r="R22" s="364">
        <v>105</v>
      </c>
      <c r="S22" s="364">
        <v>85</v>
      </c>
      <c r="T22" s="364">
        <v>95</v>
      </c>
      <c r="U22" s="364">
        <v>105</v>
      </c>
      <c r="V22" s="364">
        <v>107</v>
      </c>
      <c r="W22" s="364"/>
      <c r="X22" s="364" t="s">
        <v>533</v>
      </c>
      <c r="Y22" s="373"/>
      <c r="Z22" s="374" t="s">
        <v>86</v>
      </c>
      <c r="AA22" s="364">
        <v>90</v>
      </c>
      <c r="AB22" s="364">
        <v>90</v>
      </c>
      <c r="AC22" s="364">
        <v>104</v>
      </c>
      <c r="AD22" s="364">
        <v>105</v>
      </c>
      <c r="AE22" s="364">
        <v>85</v>
      </c>
      <c r="AF22" s="364">
        <v>95</v>
      </c>
      <c r="AG22" s="364">
        <v>105</v>
      </c>
      <c r="AH22" s="364">
        <v>107</v>
      </c>
      <c r="AI22" s="364" t="s">
        <v>31</v>
      </c>
      <c r="AJ22" s="364" t="s">
        <v>533</v>
      </c>
      <c r="AK22" s="373"/>
      <c r="AL22" s="374" t="s">
        <v>86</v>
      </c>
      <c r="AM22" s="364">
        <v>92</v>
      </c>
      <c r="AN22" s="364">
        <v>92</v>
      </c>
      <c r="AO22" s="364">
        <v>104</v>
      </c>
      <c r="AP22" s="364">
        <v>105</v>
      </c>
      <c r="AQ22" s="364">
        <v>85</v>
      </c>
      <c r="AR22" s="364">
        <v>95</v>
      </c>
      <c r="AS22" s="364">
        <v>105</v>
      </c>
      <c r="AT22" s="364">
        <v>107</v>
      </c>
      <c r="AU22" s="364" t="s">
        <v>31</v>
      </c>
      <c r="AV22" s="364" t="s">
        <v>533</v>
      </c>
    </row>
    <row r="23" spans="2:48" ht="16" thickBot="1">
      <c r="B23" s="913" t="s">
        <v>9</v>
      </c>
      <c r="C23" s="914">
        <v>92</v>
      </c>
      <c r="D23" s="914">
        <v>92</v>
      </c>
      <c r="E23" s="914">
        <v>93</v>
      </c>
      <c r="F23" s="914">
        <v>95</v>
      </c>
      <c r="G23" s="914">
        <v>90</v>
      </c>
      <c r="H23" s="914">
        <v>95</v>
      </c>
      <c r="I23" s="914">
        <v>95</v>
      </c>
      <c r="J23" s="914">
        <v>98</v>
      </c>
      <c r="K23" s="914" t="s">
        <v>707</v>
      </c>
      <c r="L23" s="914" t="s">
        <v>846</v>
      </c>
      <c r="M23" s="373"/>
      <c r="N23" s="374" t="s">
        <v>9</v>
      </c>
      <c r="O23" s="364">
        <v>90</v>
      </c>
      <c r="P23" s="364">
        <v>90</v>
      </c>
      <c r="Q23" s="364">
        <v>102</v>
      </c>
      <c r="R23" s="364">
        <v>103</v>
      </c>
      <c r="S23" s="364">
        <v>98</v>
      </c>
      <c r="T23" s="364">
        <v>104</v>
      </c>
      <c r="U23" s="364">
        <v>104</v>
      </c>
      <c r="V23" s="364">
        <v>106</v>
      </c>
      <c r="W23" s="364"/>
      <c r="X23" s="364" t="s">
        <v>533</v>
      </c>
      <c r="Y23" s="373"/>
      <c r="Z23" s="374" t="s">
        <v>9</v>
      </c>
      <c r="AA23" s="364">
        <v>88</v>
      </c>
      <c r="AB23" s="364">
        <v>88</v>
      </c>
      <c r="AC23" s="364">
        <v>102</v>
      </c>
      <c r="AD23" s="364">
        <v>103</v>
      </c>
      <c r="AE23" s="364">
        <v>98</v>
      </c>
      <c r="AF23" s="364">
        <v>104</v>
      </c>
      <c r="AG23" s="364">
        <v>104</v>
      </c>
      <c r="AH23" s="364">
        <v>106</v>
      </c>
      <c r="AI23" s="364" t="s">
        <v>31</v>
      </c>
      <c r="AJ23" s="364" t="s">
        <v>533</v>
      </c>
      <c r="AK23" s="373"/>
      <c r="AL23" s="374" t="s">
        <v>9</v>
      </c>
      <c r="AM23" s="364">
        <v>90</v>
      </c>
      <c r="AN23" s="364">
        <v>90</v>
      </c>
      <c r="AO23" s="364">
        <v>102</v>
      </c>
      <c r="AP23" s="364">
        <v>103</v>
      </c>
      <c r="AQ23" s="364">
        <v>98</v>
      </c>
      <c r="AR23" s="364">
        <v>104</v>
      </c>
      <c r="AS23" s="364">
        <v>104</v>
      </c>
      <c r="AT23" s="364">
        <v>106</v>
      </c>
      <c r="AU23" s="364" t="s">
        <v>31</v>
      </c>
      <c r="AV23" s="364" t="s">
        <v>533</v>
      </c>
    </row>
    <row r="24" spans="2:48" ht="16" thickBot="1">
      <c r="B24" s="913" t="s">
        <v>472</v>
      </c>
      <c r="C24" s="914">
        <v>150</v>
      </c>
      <c r="D24" s="914">
        <v>140</v>
      </c>
      <c r="E24" s="914">
        <v>130</v>
      </c>
      <c r="F24" s="914">
        <v>110</v>
      </c>
      <c r="G24" s="914">
        <v>100</v>
      </c>
      <c r="H24" s="914">
        <v>160</v>
      </c>
      <c r="I24" s="914">
        <v>90</v>
      </c>
      <c r="J24" s="914">
        <v>150</v>
      </c>
      <c r="K24" s="914" t="s">
        <v>523</v>
      </c>
      <c r="L24" s="914">
        <v>11</v>
      </c>
      <c r="M24" s="373"/>
      <c r="N24" s="374" t="s">
        <v>472</v>
      </c>
      <c r="O24" s="364">
        <v>1500</v>
      </c>
      <c r="P24" s="364">
        <v>1400</v>
      </c>
      <c r="Q24" s="364">
        <v>1300</v>
      </c>
      <c r="R24" s="364">
        <v>1200</v>
      </c>
      <c r="S24" s="364">
        <v>1000</v>
      </c>
      <c r="T24" s="364">
        <v>1800</v>
      </c>
      <c r="U24" s="364">
        <v>500</v>
      </c>
      <c r="V24" s="364">
        <v>1500</v>
      </c>
      <c r="W24" s="364" t="s">
        <v>523</v>
      </c>
      <c r="X24" s="364">
        <v>11</v>
      </c>
      <c r="Y24" s="373"/>
      <c r="Z24" s="374" t="s">
        <v>472</v>
      </c>
      <c r="AA24" s="364">
        <v>150</v>
      </c>
      <c r="AB24" s="364">
        <v>140</v>
      </c>
      <c r="AC24" s="364">
        <v>130</v>
      </c>
      <c r="AD24" s="364">
        <v>120</v>
      </c>
      <c r="AE24" s="364">
        <v>100</v>
      </c>
      <c r="AF24" s="364">
        <v>180</v>
      </c>
      <c r="AG24" s="364">
        <v>50</v>
      </c>
      <c r="AH24" s="364">
        <v>150</v>
      </c>
      <c r="AI24" s="364" t="s">
        <v>523</v>
      </c>
      <c r="AJ24" s="364">
        <v>11</v>
      </c>
      <c r="AK24" s="373"/>
      <c r="AL24" s="374" t="s">
        <v>472</v>
      </c>
      <c r="AM24" s="364">
        <v>1000</v>
      </c>
      <c r="AN24" s="364">
        <v>900</v>
      </c>
      <c r="AO24" s="364">
        <v>520</v>
      </c>
      <c r="AP24" s="364">
        <v>480</v>
      </c>
      <c r="AQ24" s="364">
        <v>400</v>
      </c>
      <c r="AR24" s="364">
        <v>720</v>
      </c>
      <c r="AS24" s="364">
        <v>200</v>
      </c>
      <c r="AT24" s="364">
        <v>600</v>
      </c>
      <c r="AU24" s="364"/>
      <c r="AV24" s="364">
        <v>11</v>
      </c>
    </row>
    <row r="25" spans="2:48" ht="16" thickBot="1">
      <c r="B25" s="913" t="s">
        <v>10</v>
      </c>
      <c r="C25" s="914">
        <v>20</v>
      </c>
      <c r="D25" s="914">
        <v>20</v>
      </c>
      <c r="E25" s="914">
        <v>20</v>
      </c>
      <c r="F25" s="914">
        <v>20</v>
      </c>
      <c r="G25" s="914">
        <v>15</v>
      </c>
      <c r="H25" s="914">
        <v>25</v>
      </c>
      <c r="I25" s="914">
        <v>15</v>
      </c>
      <c r="J25" s="914">
        <v>25</v>
      </c>
      <c r="K25" s="914"/>
      <c r="L25" s="914"/>
      <c r="M25" s="373"/>
      <c r="N25" s="374" t="s">
        <v>10</v>
      </c>
      <c r="O25" s="364">
        <v>20</v>
      </c>
      <c r="P25" s="364">
        <v>20</v>
      </c>
      <c r="Q25" s="364">
        <v>20</v>
      </c>
      <c r="R25" s="364">
        <v>20</v>
      </c>
      <c r="S25" s="364">
        <v>20</v>
      </c>
      <c r="T25" s="364">
        <v>20</v>
      </c>
      <c r="U25" s="364">
        <v>20</v>
      </c>
      <c r="V25" s="364">
        <v>20</v>
      </c>
      <c r="W25" s="364"/>
      <c r="X25" s="364"/>
      <c r="Y25" s="373"/>
      <c r="Z25" s="374" t="s">
        <v>10</v>
      </c>
      <c r="AA25" s="364">
        <v>20</v>
      </c>
      <c r="AB25" s="364">
        <v>20</v>
      </c>
      <c r="AC25" s="364">
        <v>20</v>
      </c>
      <c r="AD25" s="364">
        <v>20</v>
      </c>
      <c r="AE25" s="364">
        <v>20</v>
      </c>
      <c r="AF25" s="364">
        <v>20</v>
      </c>
      <c r="AG25" s="364">
        <v>20</v>
      </c>
      <c r="AH25" s="364">
        <v>20</v>
      </c>
      <c r="AI25" s="364"/>
      <c r="AJ25" s="364"/>
      <c r="AK25" s="373"/>
      <c r="AL25" s="374" t="s">
        <v>10</v>
      </c>
      <c r="AM25" s="364">
        <v>20</v>
      </c>
      <c r="AN25" s="364">
        <v>20</v>
      </c>
      <c r="AO25" s="364">
        <v>20</v>
      </c>
      <c r="AP25" s="364">
        <v>20</v>
      </c>
      <c r="AQ25" s="364">
        <v>20</v>
      </c>
      <c r="AR25" s="364">
        <v>20</v>
      </c>
      <c r="AS25" s="364">
        <v>20</v>
      </c>
      <c r="AT25" s="364">
        <v>20</v>
      </c>
      <c r="AU25" s="364"/>
      <c r="AV25" s="364"/>
    </row>
    <row r="26" spans="2:48" ht="16" thickBot="1">
      <c r="B26" s="909" t="s">
        <v>488</v>
      </c>
      <c r="C26" s="911"/>
      <c r="D26" s="911"/>
      <c r="E26" s="911"/>
      <c r="F26" s="911"/>
      <c r="G26" s="911"/>
      <c r="H26" s="911"/>
      <c r="I26" s="911"/>
      <c r="J26" s="911"/>
      <c r="K26" s="911"/>
      <c r="L26" s="914"/>
      <c r="M26" s="373"/>
      <c r="N26" s="375" t="s">
        <v>488</v>
      </c>
      <c r="O26" s="365"/>
      <c r="P26" s="365"/>
      <c r="Q26" s="365"/>
      <c r="R26" s="365"/>
      <c r="S26" s="365"/>
      <c r="T26" s="365"/>
      <c r="U26" s="365"/>
      <c r="V26" s="365"/>
      <c r="W26" s="365"/>
      <c r="X26" s="364"/>
      <c r="Y26" s="373"/>
      <c r="Z26" s="375" t="s">
        <v>488</v>
      </c>
      <c r="AA26" s="365"/>
      <c r="AB26" s="365"/>
      <c r="AC26" s="365"/>
      <c r="AD26" s="365"/>
      <c r="AE26" s="365"/>
      <c r="AF26" s="365"/>
      <c r="AG26" s="365"/>
      <c r="AH26" s="365"/>
      <c r="AI26" s="365"/>
      <c r="AJ26" s="364"/>
      <c r="AK26" s="373"/>
      <c r="AL26" s="391" t="s">
        <v>488</v>
      </c>
      <c r="AM26" s="365"/>
      <c r="AN26" s="365"/>
      <c r="AO26" s="365"/>
      <c r="AP26" s="365"/>
      <c r="AQ26" s="365"/>
      <c r="AR26" s="365"/>
      <c r="AS26" s="365"/>
      <c r="AT26" s="365"/>
      <c r="AU26" s="365"/>
      <c r="AV26" s="364"/>
    </row>
    <row r="27" spans="2:48" ht="16" thickBot="1">
      <c r="B27" s="913" t="s">
        <v>489</v>
      </c>
      <c r="C27" s="914" t="s">
        <v>487</v>
      </c>
      <c r="D27" s="914" t="s">
        <v>487</v>
      </c>
      <c r="E27" s="914" t="s">
        <v>487</v>
      </c>
      <c r="F27" s="914" t="s">
        <v>487</v>
      </c>
      <c r="G27" s="914" t="s">
        <v>487</v>
      </c>
      <c r="H27" s="914" t="s">
        <v>487</v>
      </c>
      <c r="I27" s="914" t="s">
        <v>487</v>
      </c>
      <c r="J27" s="914" t="s">
        <v>487</v>
      </c>
      <c r="K27" s="914"/>
      <c r="L27" s="914"/>
      <c r="M27" s="373"/>
      <c r="N27" s="374" t="s">
        <v>489</v>
      </c>
      <c r="O27" s="364" t="s">
        <v>487</v>
      </c>
      <c r="P27" s="364" t="s">
        <v>487</v>
      </c>
      <c r="Q27" s="364" t="s">
        <v>487</v>
      </c>
      <c r="R27" s="364" t="s">
        <v>487</v>
      </c>
      <c r="S27" s="364" t="s">
        <v>487</v>
      </c>
      <c r="T27" s="364" t="s">
        <v>487</v>
      </c>
      <c r="U27" s="364" t="s">
        <v>487</v>
      </c>
      <c r="V27" s="364" t="s">
        <v>487</v>
      </c>
      <c r="W27" s="364"/>
      <c r="X27" s="364"/>
      <c r="Y27" s="373"/>
      <c r="Z27" s="374" t="s">
        <v>489</v>
      </c>
      <c r="AA27" s="364" t="s">
        <v>487</v>
      </c>
      <c r="AB27" s="364" t="s">
        <v>487</v>
      </c>
      <c r="AC27" s="364" t="s">
        <v>487</v>
      </c>
      <c r="AD27" s="364" t="s">
        <v>487</v>
      </c>
      <c r="AE27" s="364" t="s">
        <v>487</v>
      </c>
      <c r="AF27" s="364" t="s">
        <v>487</v>
      </c>
      <c r="AG27" s="364" t="s">
        <v>487</v>
      </c>
      <c r="AH27" s="364" t="s">
        <v>487</v>
      </c>
      <c r="AI27" s="364"/>
      <c r="AJ27" s="364"/>
      <c r="AK27" s="373"/>
      <c r="AL27" s="374" t="s">
        <v>489</v>
      </c>
      <c r="AM27" s="364" t="s">
        <v>487</v>
      </c>
      <c r="AN27" s="364" t="s">
        <v>487</v>
      </c>
      <c r="AO27" s="364" t="s">
        <v>487</v>
      </c>
      <c r="AP27" s="364" t="s">
        <v>487</v>
      </c>
      <c r="AQ27" s="364" t="s">
        <v>487</v>
      </c>
      <c r="AR27" s="364" t="s">
        <v>487</v>
      </c>
      <c r="AS27" s="364" t="s">
        <v>487</v>
      </c>
      <c r="AT27" s="364" t="s">
        <v>487</v>
      </c>
      <c r="AU27" s="364"/>
      <c r="AV27" s="364"/>
    </row>
    <row r="28" spans="2:48" ht="16" thickBot="1">
      <c r="B28" s="913" t="s">
        <v>490</v>
      </c>
      <c r="C28" s="914" t="s">
        <v>487</v>
      </c>
      <c r="D28" s="914" t="s">
        <v>487</v>
      </c>
      <c r="E28" s="914" t="s">
        <v>487</v>
      </c>
      <c r="F28" s="914" t="s">
        <v>487</v>
      </c>
      <c r="G28" s="914" t="s">
        <v>487</v>
      </c>
      <c r="H28" s="914" t="s">
        <v>487</v>
      </c>
      <c r="I28" s="914" t="s">
        <v>487</v>
      </c>
      <c r="J28" s="914" t="s">
        <v>487</v>
      </c>
      <c r="K28" s="914"/>
      <c r="L28" s="914"/>
      <c r="M28" s="373"/>
      <c r="N28" s="374" t="s">
        <v>490</v>
      </c>
      <c r="O28" s="364" t="s">
        <v>487</v>
      </c>
      <c r="P28" s="364" t="s">
        <v>487</v>
      </c>
      <c r="Q28" s="364" t="s">
        <v>487</v>
      </c>
      <c r="R28" s="364" t="s">
        <v>487</v>
      </c>
      <c r="S28" s="364" t="s">
        <v>487</v>
      </c>
      <c r="T28" s="364" t="s">
        <v>487</v>
      </c>
      <c r="U28" s="364" t="s">
        <v>487</v>
      </c>
      <c r="V28" s="364" t="s">
        <v>487</v>
      </c>
      <c r="W28" s="364"/>
      <c r="X28" s="364"/>
      <c r="Y28" s="373"/>
      <c r="Z28" s="374" t="s">
        <v>490</v>
      </c>
      <c r="AA28" s="364" t="s">
        <v>487</v>
      </c>
      <c r="AB28" s="364" t="s">
        <v>487</v>
      </c>
      <c r="AC28" s="364" t="s">
        <v>487</v>
      </c>
      <c r="AD28" s="364" t="s">
        <v>487</v>
      </c>
      <c r="AE28" s="364" t="s">
        <v>487</v>
      </c>
      <c r="AF28" s="364" t="s">
        <v>487</v>
      </c>
      <c r="AG28" s="364" t="s">
        <v>487</v>
      </c>
      <c r="AH28" s="364" t="s">
        <v>487</v>
      </c>
      <c r="AI28" s="364"/>
      <c r="AJ28" s="364"/>
      <c r="AK28" s="373"/>
      <c r="AL28" s="374" t="s">
        <v>490</v>
      </c>
      <c r="AM28" s="364" t="s">
        <v>487</v>
      </c>
      <c r="AN28" s="364" t="s">
        <v>487</v>
      </c>
      <c r="AO28" s="364" t="s">
        <v>487</v>
      </c>
      <c r="AP28" s="364" t="s">
        <v>487</v>
      </c>
      <c r="AQ28" s="364" t="s">
        <v>487</v>
      </c>
      <c r="AR28" s="364" t="s">
        <v>487</v>
      </c>
      <c r="AS28" s="364" t="s">
        <v>487</v>
      </c>
      <c r="AT28" s="364" t="s">
        <v>487</v>
      </c>
      <c r="AU28" s="364"/>
      <c r="AV28" s="364"/>
    </row>
    <row r="29" spans="2:48" ht="16" thickBot="1">
      <c r="B29" s="913" t="s">
        <v>491</v>
      </c>
      <c r="C29" s="914">
        <v>0</v>
      </c>
      <c r="D29" s="914">
        <v>0</v>
      </c>
      <c r="E29" s="914">
        <v>0</v>
      </c>
      <c r="F29" s="914">
        <v>0</v>
      </c>
      <c r="G29" s="914">
        <v>0</v>
      </c>
      <c r="H29" s="914">
        <v>0</v>
      </c>
      <c r="I29" s="914">
        <v>0</v>
      </c>
      <c r="J29" s="914">
        <v>0</v>
      </c>
      <c r="K29" s="914"/>
      <c r="L29" s="914"/>
      <c r="M29" s="373"/>
      <c r="N29" s="374" t="s">
        <v>491</v>
      </c>
      <c r="O29" s="364">
        <v>0</v>
      </c>
      <c r="P29" s="364">
        <v>0</v>
      </c>
      <c r="Q29" s="364">
        <v>0</v>
      </c>
      <c r="R29" s="364">
        <v>0</v>
      </c>
      <c r="S29" s="364">
        <v>0</v>
      </c>
      <c r="T29" s="364">
        <v>0</v>
      </c>
      <c r="U29" s="364">
        <v>0</v>
      </c>
      <c r="V29" s="364">
        <v>0</v>
      </c>
      <c r="W29" s="364"/>
      <c r="X29" s="364"/>
      <c r="Y29" s="373"/>
      <c r="Z29" s="374" t="s">
        <v>491</v>
      </c>
      <c r="AA29" s="364">
        <v>0</v>
      </c>
      <c r="AB29" s="364">
        <v>0</v>
      </c>
      <c r="AC29" s="364">
        <v>0</v>
      </c>
      <c r="AD29" s="364">
        <v>0</v>
      </c>
      <c r="AE29" s="364">
        <v>0</v>
      </c>
      <c r="AF29" s="364">
        <v>0</v>
      </c>
      <c r="AG29" s="364">
        <v>0</v>
      </c>
      <c r="AH29" s="364">
        <v>0</v>
      </c>
      <c r="AI29" s="364"/>
      <c r="AJ29" s="364"/>
      <c r="AK29" s="373"/>
      <c r="AL29" s="374" t="s">
        <v>491</v>
      </c>
      <c r="AM29" s="364">
        <v>0</v>
      </c>
      <c r="AN29" s="364">
        <v>0</v>
      </c>
      <c r="AO29" s="364">
        <v>0</v>
      </c>
      <c r="AP29" s="364">
        <v>0</v>
      </c>
      <c r="AQ29" s="364">
        <v>0</v>
      </c>
      <c r="AR29" s="364">
        <v>0</v>
      </c>
      <c r="AS29" s="364">
        <v>0</v>
      </c>
      <c r="AT29" s="364">
        <v>0</v>
      </c>
      <c r="AU29" s="364"/>
      <c r="AV29" s="364"/>
    </row>
    <row r="30" spans="2:48" ht="16" thickBot="1">
      <c r="B30" s="913" t="s">
        <v>492</v>
      </c>
      <c r="C30" s="914">
        <v>0</v>
      </c>
      <c r="D30" s="914">
        <v>0</v>
      </c>
      <c r="E30" s="914">
        <v>0</v>
      </c>
      <c r="F30" s="914">
        <v>0</v>
      </c>
      <c r="G30" s="914">
        <v>0</v>
      </c>
      <c r="H30" s="914">
        <v>0</v>
      </c>
      <c r="I30" s="914">
        <v>0</v>
      </c>
      <c r="J30" s="914">
        <v>0</v>
      </c>
      <c r="K30" s="914"/>
      <c r="L30" s="914"/>
      <c r="M30" s="373"/>
      <c r="N30" s="374" t="s">
        <v>492</v>
      </c>
      <c r="O30" s="364">
        <v>0</v>
      </c>
      <c r="P30" s="364">
        <v>0</v>
      </c>
      <c r="Q30" s="364">
        <v>0</v>
      </c>
      <c r="R30" s="364">
        <v>0</v>
      </c>
      <c r="S30" s="364">
        <v>0</v>
      </c>
      <c r="T30" s="364">
        <v>0</v>
      </c>
      <c r="U30" s="364">
        <v>0</v>
      </c>
      <c r="V30" s="364">
        <v>0</v>
      </c>
      <c r="W30" s="364"/>
      <c r="X30" s="364"/>
      <c r="Y30" s="373"/>
      <c r="Z30" s="374" t="s">
        <v>492</v>
      </c>
      <c r="AA30" s="364">
        <v>0</v>
      </c>
      <c r="AB30" s="364">
        <v>0</v>
      </c>
      <c r="AC30" s="364">
        <v>0</v>
      </c>
      <c r="AD30" s="364">
        <v>0</v>
      </c>
      <c r="AE30" s="364">
        <v>0</v>
      </c>
      <c r="AF30" s="364">
        <v>0</v>
      </c>
      <c r="AG30" s="364">
        <v>0</v>
      </c>
      <c r="AH30" s="364">
        <v>0</v>
      </c>
      <c r="AI30" s="364"/>
      <c r="AJ30" s="364"/>
      <c r="AK30" s="373"/>
      <c r="AL30" s="374" t="s">
        <v>492</v>
      </c>
      <c r="AM30" s="364">
        <v>0</v>
      </c>
      <c r="AN30" s="364">
        <v>0</v>
      </c>
      <c r="AO30" s="364">
        <v>0</v>
      </c>
      <c r="AP30" s="364">
        <v>0</v>
      </c>
      <c r="AQ30" s="364">
        <v>0</v>
      </c>
      <c r="AR30" s="364">
        <v>0</v>
      </c>
      <c r="AS30" s="364">
        <v>0</v>
      </c>
      <c r="AT30" s="364">
        <v>0</v>
      </c>
      <c r="AU30" s="364"/>
      <c r="AV30" s="364"/>
    </row>
    <row r="31" spans="2:48" ht="16" thickBot="1">
      <c r="B31" s="913" t="s">
        <v>493</v>
      </c>
      <c r="C31" s="914">
        <v>0</v>
      </c>
      <c r="D31" s="914">
        <v>0</v>
      </c>
      <c r="E31" s="914">
        <v>0</v>
      </c>
      <c r="F31" s="914">
        <v>0</v>
      </c>
      <c r="G31" s="914">
        <v>0</v>
      </c>
      <c r="H31" s="914">
        <v>0</v>
      </c>
      <c r="I31" s="914">
        <v>0</v>
      </c>
      <c r="J31" s="914">
        <v>0</v>
      </c>
      <c r="K31" s="914"/>
      <c r="L31" s="914"/>
      <c r="M31" s="373"/>
      <c r="N31" s="374" t="s">
        <v>493</v>
      </c>
      <c r="O31" s="364">
        <v>0</v>
      </c>
      <c r="P31" s="364">
        <v>0</v>
      </c>
      <c r="Q31" s="364">
        <v>0</v>
      </c>
      <c r="R31" s="364">
        <v>0</v>
      </c>
      <c r="S31" s="364">
        <v>0</v>
      </c>
      <c r="T31" s="364">
        <v>0</v>
      </c>
      <c r="U31" s="364">
        <v>0</v>
      </c>
      <c r="V31" s="364">
        <v>0</v>
      </c>
      <c r="W31" s="364"/>
      <c r="X31" s="364"/>
      <c r="Y31" s="373"/>
      <c r="Z31" s="374" t="s">
        <v>493</v>
      </c>
      <c r="AA31" s="364">
        <v>0</v>
      </c>
      <c r="AB31" s="364">
        <v>0</v>
      </c>
      <c r="AC31" s="364">
        <v>0</v>
      </c>
      <c r="AD31" s="364">
        <v>0</v>
      </c>
      <c r="AE31" s="364">
        <v>0</v>
      </c>
      <c r="AF31" s="364">
        <v>0</v>
      </c>
      <c r="AG31" s="364">
        <v>0</v>
      </c>
      <c r="AH31" s="364">
        <v>0</v>
      </c>
      <c r="AI31" s="364"/>
      <c r="AJ31" s="364"/>
      <c r="AK31" s="373"/>
      <c r="AL31" s="374" t="s">
        <v>493</v>
      </c>
      <c r="AM31" s="364">
        <v>0</v>
      </c>
      <c r="AN31" s="364">
        <v>0</v>
      </c>
      <c r="AO31" s="364">
        <v>0</v>
      </c>
      <c r="AP31" s="364">
        <v>0</v>
      </c>
      <c r="AQ31" s="364">
        <v>0</v>
      </c>
      <c r="AR31" s="364">
        <v>0</v>
      </c>
      <c r="AS31" s="364">
        <v>0</v>
      </c>
      <c r="AT31" s="364">
        <v>0</v>
      </c>
      <c r="AU31" s="364"/>
      <c r="AV31" s="364"/>
    </row>
    <row r="32" spans="2:48" ht="16" thickBot="1">
      <c r="B32" s="909" t="s">
        <v>11</v>
      </c>
      <c r="C32" s="910"/>
      <c r="D32" s="910"/>
      <c r="E32" s="910"/>
      <c r="F32" s="910"/>
      <c r="G32" s="910"/>
      <c r="H32" s="910"/>
      <c r="I32" s="910"/>
      <c r="J32" s="910"/>
      <c r="K32" s="910"/>
      <c r="L32" s="912"/>
      <c r="M32" s="373"/>
      <c r="N32" s="375" t="s">
        <v>11</v>
      </c>
      <c r="O32" s="366"/>
      <c r="P32" s="366"/>
      <c r="Q32" s="366"/>
      <c r="R32" s="366"/>
      <c r="S32" s="366"/>
      <c r="T32" s="366"/>
      <c r="U32" s="366"/>
      <c r="V32" s="366"/>
      <c r="W32" s="366"/>
      <c r="X32" s="376"/>
      <c r="Y32" s="373"/>
      <c r="Z32" s="375" t="s">
        <v>11</v>
      </c>
      <c r="AA32" s="366"/>
      <c r="AB32" s="366"/>
      <c r="AC32" s="366"/>
      <c r="AD32" s="366"/>
      <c r="AE32" s="366"/>
      <c r="AF32" s="366"/>
      <c r="AG32" s="366"/>
      <c r="AH32" s="366"/>
      <c r="AI32" s="366"/>
      <c r="AJ32" s="376"/>
      <c r="AK32" s="373"/>
      <c r="AL32" s="391" t="s">
        <v>11</v>
      </c>
      <c r="AM32" s="366"/>
      <c r="AN32" s="366"/>
      <c r="AO32" s="366"/>
      <c r="AP32" s="366"/>
      <c r="AQ32" s="366"/>
      <c r="AR32" s="366"/>
      <c r="AS32" s="366"/>
      <c r="AT32" s="366"/>
      <c r="AU32" s="366"/>
      <c r="AV32" s="376"/>
    </row>
    <row r="33" spans="2:48" ht="16" thickBot="1">
      <c r="B33" s="913" t="s">
        <v>494</v>
      </c>
      <c r="C33" s="914">
        <v>0.5</v>
      </c>
      <c r="D33" s="914">
        <v>0.5</v>
      </c>
      <c r="E33" s="914">
        <v>0.5</v>
      </c>
      <c r="F33" s="914">
        <v>0.5</v>
      </c>
      <c r="G33" s="914">
        <v>0</v>
      </c>
      <c r="H33" s="914">
        <v>1</v>
      </c>
      <c r="I33" s="914">
        <v>0</v>
      </c>
      <c r="J33" s="914">
        <v>1</v>
      </c>
      <c r="K33" s="914" t="s">
        <v>534</v>
      </c>
      <c r="L33" s="914"/>
      <c r="M33" s="373"/>
      <c r="N33" s="374" t="s">
        <v>494</v>
      </c>
      <c r="O33" s="364">
        <v>0.5</v>
      </c>
      <c r="P33" s="364">
        <v>0.5</v>
      </c>
      <c r="Q33" s="364">
        <v>0.5</v>
      </c>
      <c r="R33" s="364">
        <v>0.5</v>
      </c>
      <c r="S33" s="364">
        <v>0</v>
      </c>
      <c r="T33" s="364">
        <v>1</v>
      </c>
      <c r="U33" s="364">
        <v>0</v>
      </c>
      <c r="V33" s="364">
        <v>1</v>
      </c>
      <c r="W33" s="364" t="s">
        <v>534</v>
      </c>
      <c r="X33" s="364"/>
      <c r="Y33" s="373"/>
      <c r="Z33" s="374" t="s">
        <v>494</v>
      </c>
      <c r="AA33" s="364">
        <v>0.5</v>
      </c>
      <c r="AB33" s="364">
        <v>0.5</v>
      </c>
      <c r="AC33" s="364">
        <v>0.5</v>
      </c>
      <c r="AD33" s="364">
        <v>0.5</v>
      </c>
      <c r="AE33" s="364">
        <v>0</v>
      </c>
      <c r="AF33" s="364">
        <v>1</v>
      </c>
      <c r="AG33" s="364">
        <v>0</v>
      </c>
      <c r="AH33" s="364">
        <v>1</v>
      </c>
      <c r="AI33" s="364" t="s">
        <v>534</v>
      </c>
      <c r="AJ33" s="364"/>
      <c r="AK33" s="373"/>
      <c r="AL33" s="374" t="s">
        <v>494</v>
      </c>
      <c r="AM33" s="364">
        <v>0.5</v>
      </c>
      <c r="AN33" s="364">
        <v>0.5</v>
      </c>
      <c r="AO33" s="364">
        <v>0.5</v>
      </c>
      <c r="AP33" s="364">
        <v>0.5</v>
      </c>
      <c r="AQ33" s="364">
        <v>0</v>
      </c>
      <c r="AR33" s="364">
        <v>1</v>
      </c>
      <c r="AS33" s="364">
        <v>0</v>
      </c>
      <c r="AT33" s="364">
        <v>1</v>
      </c>
      <c r="AU33" s="364" t="s">
        <v>534</v>
      </c>
      <c r="AV33" s="364"/>
    </row>
    <row r="34" spans="2:48" ht="16" thickBot="1">
      <c r="B34" s="913" t="s">
        <v>495</v>
      </c>
      <c r="C34" s="914">
        <v>30</v>
      </c>
      <c r="D34" s="914">
        <v>25</v>
      </c>
      <c r="E34" s="914">
        <v>20</v>
      </c>
      <c r="F34" s="914">
        <v>15</v>
      </c>
      <c r="G34" s="914">
        <v>20</v>
      </c>
      <c r="H34" s="914">
        <v>30</v>
      </c>
      <c r="I34" s="914">
        <v>0</v>
      </c>
      <c r="J34" s="914">
        <v>25</v>
      </c>
      <c r="K34" s="914" t="s">
        <v>15</v>
      </c>
      <c r="L34" s="914">
        <v>5</v>
      </c>
      <c r="M34" s="373"/>
      <c r="N34" s="374" t="s">
        <v>495</v>
      </c>
      <c r="O34" s="364">
        <v>30</v>
      </c>
      <c r="P34" s="364">
        <v>25</v>
      </c>
      <c r="Q34" s="364">
        <v>20</v>
      </c>
      <c r="R34" s="364">
        <v>15</v>
      </c>
      <c r="S34" s="364">
        <v>20</v>
      </c>
      <c r="T34" s="364">
        <v>30</v>
      </c>
      <c r="U34" s="364">
        <v>0</v>
      </c>
      <c r="V34" s="364">
        <v>25</v>
      </c>
      <c r="W34" s="364" t="s">
        <v>15</v>
      </c>
      <c r="X34" s="364">
        <v>5</v>
      </c>
      <c r="Y34" s="373"/>
      <c r="Z34" s="374" t="s">
        <v>495</v>
      </c>
      <c r="AA34" s="364">
        <v>30</v>
      </c>
      <c r="AB34" s="364">
        <v>25</v>
      </c>
      <c r="AC34" s="364">
        <v>20</v>
      </c>
      <c r="AD34" s="364">
        <v>15</v>
      </c>
      <c r="AE34" s="364">
        <v>20</v>
      </c>
      <c r="AF34" s="364">
        <v>30</v>
      </c>
      <c r="AG34" s="364">
        <v>0</v>
      </c>
      <c r="AH34" s="364">
        <v>25</v>
      </c>
      <c r="AI34" s="364" t="s">
        <v>15</v>
      </c>
      <c r="AJ34" s="364">
        <v>7</v>
      </c>
      <c r="AK34" s="373"/>
      <c r="AL34" s="374" t="s">
        <v>495</v>
      </c>
      <c r="AM34" s="364">
        <v>40</v>
      </c>
      <c r="AN34" s="364">
        <v>25</v>
      </c>
      <c r="AO34" s="364">
        <v>20</v>
      </c>
      <c r="AP34" s="364">
        <v>15</v>
      </c>
      <c r="AQ34" s="364">
        <v>20</v>
      </c>
      <c r="AR34" s="364">
        <v>30</v>
      </c>
      <c r="AS34" s="364">
        <v>0</v>
      </c>
      <c r="AT34" s="364">
        <v>25</v>
      </c>
      <c r="AU34" s="364" t="s">
        <v>15</v>
      </c>
      <c r="AV34" s="364">
        <v>7</v>
      </c>
    </row>
    <row r="35" spans="2:48" ht="16" thickBot="1">
      <c r="B35" s="913" t="s">
        <v>496</v>
      </c>
      <c r="C35" s="914">
        <v>0</v>
      </c>
      <c r="D35" s="914">
        <v>0</v>
      </c>
      <c r="E35" s="914">
        <v>0</v>
      </c>
      <c r="F35" s="914">
        <v>0</v>
      </c>
      <c r="G35" s="914">
        <v>0</v>
      </c>
      <c r="H35" s="914">
        <v>0</v>
      </c>
      <c r="I35" s="914">
        <v>0</v>
      </c>
      <c r="J35" s="914">
        <v>0</v>
      </c>
      <c r="K35" s="914"/>
      <c r="L35" s="914"/>
      <c r="M35" s="373"/>
      <c r="N35" s="374" t="s">
        <v>496</v>
      </c>
      <c r="O35" s="364">
        <v>0</v>
      </c>
      <c r="P35" s="364">
        <v>0</v>
      </c>
      <c r="Q35" s="364">
        <v>0</v>
      </c>
      <c r="R35" s="364">
        <v>0</v>
      </c>
      <c r="S35" s="364">
        <v>0</v>
      </c>
      <c r="T35" s="364">
        <v>0</v>
      </c>
      <c r="U35" s="364">
        <v>0</v>
      </c>
      <c r="V35" s="364">
        <v>0</v>
      </c>
      <c r="W35" s="364"/>
      <c r="X35" s="364"/>
      <c r="Y35" s="373"/>
      <c r="Z35" s="374" t="s">
        <v>496</v>
      </c>
      <c r="AA35" s="364">
        <v>0</v>
      </c>
      <c r="AB35" s="364">
        <v>0</v>
      </c>
      <c r="AC35" s="364">
        <v>0</v>
      </c>
      <c r="AD35" s="364">
        <v>0</v>
      </c>
      <c r="AE35" s="364">
        <v>0</v>
      </c>
      <c r="AF35" s="364">
        <v>0</v>
      </c>
      <c r="AG35" s="364">
        <v>0</v>
      </c>
      <c r="AH35" s="364">
        <v>0</v>
      </c>
      <c r="AI35" s="364"/>
      <c r="AJ35" s="364"/>
      <c r="AK35" s="373"/>
      <c r="AL35" s="374" t="s">
        <v>496</v>
      </c>
      <c r="AM35" s="364">
        <v>0</v>
      </c>
      <c r="AN35" s="364">
        <v>0</v>
      </c>
      <c r="AO35" s="364">
        <v>0</v>
      </c>
      <c r="AP35" s="364">
        <v>0</v>
      </c>
      <c r="AQ35" s="364">
        <v>0</v>
      </c>
      <c r="AR35" s="364">
        <v>0</v>
      </c>
      <c r="AS35" s="364">
        <v>0</v>
      </c>
      <c r="AT35" s="364">
        <v>0</v>
      </c>
      <c r="AU35" s="364"/>
      <c r="AV35" s="364"/>
    </row>
    <row r="36" spans="2:48" ht="16" thickBot="1">
      <c r="B36" s="913" t="s">
        <v>497</v>
      </c>
      <c r="C36" s="914">
        <v>0</v>
      </c>
      <c r="D36" s="914">
        <v>0</v>
      </c>
      <c r="E36" s="914">
        <v>0</v>
      </c>
      <c r="F36" s="914">
        <v>0</v>
      </c>
      <c r="G36" s="914">
        <v>0</v>
      </c>
      <c r="H36" s="914">
        <v>0</v>
      </c>
      <c r="I36" s="914">
        <v>0</v>
      </c>
      <c r="J36" s="914">
        <v>0</v>
      </c>
      <c r="K36" s="914"/>
      <c r="L36" s="914"/>
      <c r="M36" s="373"/>
      <c r="N36" s="374" t="s">
        <v>497</v>
      </c>
      <c r="O36" s="364">
        <v>0</v>
      </c>
      <c r="P36" s="364">
        <v>0</v>
      </c>
      <c r="Q36" s="364">
        <v>0</v>
      </c>
      <c r="R36" s="364">
        <v>0</v>
      </c>
      <c r="S36" s="364">
        <v>0</v>
      </c>
      <c r="T36" s="364">
        <v>0</v>
      </c>
      <c r="U36" s="364">
        <v>0</v>
      </c>
      <c r="V36" s="364">
        <v>0</v>
      </c>
      <c r="W36" s="364"/>
      <c r="X36" s="364"/>
      <c r="Y36" s="373"/>
      <c r="Z36" s="374" t="s">
        <v>497</v>
      </c>
      <c r="AA36" s="364">
        <v>0</v>
      </c>
      <c r="AB36" s="364">
        <v>0</v>
      </c>
      <c r="AC36" s="364">
        <v>0</v>
      </c>
      <c r="AD36" s="364">
        <v>0</v>
      </c>
      <c r="AE36" s="364">
        <v>0</v>
      </c>
      <c r="AF36" s="364">
        <v>0</v>
      </c>
      <c r="AG36" s="364">
        <v>0</v>
      </c>
      <c r="AH36" s="364">
        <v>0</v>
      </c>
      <c r="AI36" s="364"/>
      <c r="AJ36" s="364"/>
      <c r="AK36" s="373"/>
      <c r="AL36" s="374" t="s">
        <v>497</v>
      </c>
      <c r="AM36" s="364">
        <v>0</v>
      </c>
      <c r="AN36" s="364">
        <v>0</v>
      </c>
      <c r="AO36" s="364">
        <v>0</v>
      </c>
      <c r="AP36" s="364">
        <v>0</v>
      </c>
      <c r="AQ36" s="364">
        <v>0</v>
      </c>
      <c r="AR36" s="364">
        <v>0</v>
      </c>
      <c r="AS36" s="364">
        <v>0</v>
      </c>
      <c r="AT36" s="364">
        <v>0</v>
      </c>
      <c r="AU36" s="364"/>
      <c r="AV36" s="364"/>
    </row>
    <row r="37" spans="2:48" ht="16" thickBot="1">
      <c r="B37" s="913" t="s">
        <v>18</v>
      </c>
      <c r="C37" s="914">
        <v>0.03</v>
      </c>
      <c r="D37" s="914">
        <v>0.02</v>
      </c>
      <c r="E37" s="914">
        <v>0.01</v>
      </c>
      <c r="F37" s="914">
        <v>0.01</v>
      </c>
      <c r="G37" s="914">
        <v>0.01</v>
      </c>
      <c r="H37" s="914">
        <v>0.03</v>
      </c>
      <c r="I37" s="914">
        <v>0</v>
      </c>
      <c r="J37" s="914">
        <v>0.02</v>
      </c>
      <c r="K37" s="914" t="s">
        <v>19</v>
      </c>
      <c r="L37" s="914"/>
      <c r="M37" s="373"/>
      <c r="N37" s="374" t="s">
        <v>18</v>
      </c>
      <c r="O37" s="364">
        <v>0.03</v>
      </c>
      <c r="P37" s="364">
        <v>0.02</v>
      </c>
      <c r="Q37" s="364">
        <v>0.01</v>
      </c>
      <c r="R37" s="364">
        <v>0.01</v>
      </c>
      <c r="S37" s="364">
        <v>0.01</v>
      </c>
      <c r="T37" s="364">
        <v>0.03</v>
      </c>
      <c r="U37" s="364">
        <v>0</v>
      </c>
      <c r="V37" s="364">
        <v>0.02</v>
      </c>
      <c r="W37" s="364" t="s">
        <v>19</v>
      </c>
      <c r="X37" s="364"/>
      <c r="Y37" s="373"/>
      <c r="Z37" s="374" t="s">
        <v>18</v>
      </c>
      <c r="AA37" s="364">
        <v>0.03</v>
      </c>
      <c r="AB37" s="364">
        <v>0.02</v>
      </c>
      <c r="AC37" s="364">
        <v>0.01</v>
      </c>
      <c r="AD37" s="364">
        <v>0.01</v>
      </c>
      <c r="AE37" s="364">
        <v>0.01</v>
      </c>
      <c r="AF37" s="364">
        <v>0.03</v>
      </c>
      <c r="AG37" s="364">
        <v>0</v>
      </c>
      <c r="AH37" s="364">
        <v>0.02</v>
      </c>
      <c r="AI37" s="364" t="s">
        <v>19</v>
      </c>
      <c r="AJ37" s="364"/>
      <c r="AK37" s="373"/>
      <c r="AL37" s="374" t="s">
        <v>18</v>
      </c>
      <c r="AM37" s="364">
        <v>0.03</v>
      </c>
      <c r="AN37" s="364">
        <v>0.02</v>
      </c>
      <c r="AO37" s="364">
        <v>0.01</v>
      </c>
      <c r="AP37" s="364">
        <v>0.01</v>
      </c>
      <c r="AQ37" s="364">
        <v>0.01</v>
      </c>
      <c r="AR37" s="364">
        <v>0.03</v>
      </c>
      <c r="AS37" s="364">
        <v>0</v>
      </c>
      <c r="AT37" s="364">
        <v>0.02</v>
      </c>
      <c r="AU37" s="364" t="s">
        <v>19</v>
      </c>
      <c r="AV37" s="364"/>
    </row>
    <row r="38" spans="2:48" ht="16" thickBot="1">
      <c r="B38" s="909" t="s">
        <v>20</v>
      </c>
      <c r="C38" s="910"/>
      <c r="D38" s="910"/>
      <c r="E38" s="910"/>
      <c r="F38" s="910"/>
      <c r="G38" s="910"/>
      <c r="H38" s="910"/>
      <c r="I38" s="910"/>
      <c r="J38" s="910"/>
      <c r="K38" s="910"/>
      <c r="L38" s="912"/>
      <c r="M38" s="373"/>
      <c r="N38" s="375" t="s">
        <v>20</v>
      </c>
      <c r="O38" s="366"/>
      <c r="P38" s="366"/>
      <c r="Q38" s="366"/>
      <c r="R38" s="366"/>
      <c r="S38" s="366"/>
      <c r="T38" s="366"/>
      <c r="U38" s="366"/>
      <c r="V38" s="366"/>
      <c r="W38" s="366"/>
      <c r="X38" s="376"/>
      <c r="Y38" s="373"/>
      <c r="Z38" s="375" t="s">
        <v>20</v>
      </c>
      <c r="AA38" s="366"/>
      <c r="AB38" s="366"/>
      <c r="AC38" s="366"/>
      <c r="AD38" s="366"/>
      <c r="AE38" s="366"/>
      <c r="AF38" s="366"/>
      <c r="AG38" s="366"/>
      <c r="AH38" s="366"/>
      <c r="AI38" s="366"/>
      <c r="AJ38" s="376"/>
      <c r="AK38" s="373"/>
      <c r="AL38" s="391" t="s">
        <v>20</v>
      </c>
      <c r="AM38" s="366"/>
      <c r="AN38" s="366"/>
      <c r="AO38" s="366"/>
      <c r="AP38" s="366"/>
      <c r="AQ38" s="366"/>
      <c r="AR38" s="366"/>
      <c r="AS38" s="366"/>
      <c r="AT38" s="366"/>
      <c r="AU38" s="366"/>
      <c r="AV38" s="376"/>
    </row>
    <row r="39" spans="2:48">
      <c r="B39" s="915" t="s">
        <v>22</v>
      </c>
      <c r="C39" s="916">
        <v>6</v>
      </c>
      <c r="D39" s="917">
        <v>5.8514925187312503</v>
      </c>
      <c r="E39" s="917">
        <v>5.5654138129099682</v>
      </c>
      <c r="F39" s="917">
        <v>5.0345316622234781</v>
      </c>
      <c r="G39" s="916">
        <v>5</v>
      </c>
      <c r="H39" s="916">
        <v>8</v>
      </c>
      <c r="I39" s="916">
        <v>4</v>
      </c>
      <c r="J39" s="916">
        <v>7</v>
      </c>
      <c r="K39" s="916" t="s">
        <v>847</v>
      </c>
      <c r="L39" s="916"/>
      <c r="M39" s="389"/>
      <c r="N39" s="390" t="s">
        <v>22</v>
      </c>
      <c r="O39" s="388">
        <v>35</v>
      </c>
      <c r="P39" s="367">
        <v>34.133706359265631</v>
      </c>
      <c r="Q39" s="367">
        <v>32.464913908641485</v>
      </c>
      <c r="R39" s="367">
        <v>29.36810136297029</v>
      </c>
      <c r="S39" s="388">
        <v>32</v>
      </c>
      <c r="T39" s="388">
        <v>38</v>
      </c>
      <c r="U39" s="388">
        <v>26</v>
      </c>
      <c r="V39" s="388">
        <v>33</v>
      </c>
      <c r="W39" s="388" t="s">
        <v>535</v>
      </c>
      <c r="X39" s="388"/>
      <c r="Y39" s="389"/>
      <c r="Z39" s="390" t="s">
        <v>22</v>
      </c>
      <c r="AA39" s="388">
        <v>10</v>
      </c>
      <c r="AB39" s="367">
        <v>9.7524875312187511</v>
      </c>
      <c r="AC39" s="367">
        <v>9.2756896881832809</v>
      </c>
      <c r="AD39" s="367">
        <v>8.390886103705796</v>
      </c>
      <c r="AE39" s="388">
        <v>8</v>
      </c>
      <c r="AF39" s="388">
        <v>10</v>
      </c>
      <c r="AG39" s="388">
        <v>6</v>
      </c>
      <c r="AH39" s="388">
        <v>9</v>
      </c>
      <c r="AI39" s="388" t="s">
        <v>536</v>
      </c>
      <c r="AJ39" s="388"/>
      <c r="AK39" s="389"/>
      <c r="AL39" s="390" t="s">
        <v>22</v>
      </c>
      <c r="AM39" s="388">
        <v>28</v>
      </c>
      <c r="AN39" s="367">
        <v>27.306965087412504</v>
      </c>
      <c r="AO39" s="367">
        <v>25.971931126913187</v>
      </c>
      <c r="AP39" s="367">
        <v>23.494481090376233</v>
      </c>
      <c r="AQ39" s="388">
        <v>20</v>
      </c>
      <c r="AR39" s="388">
        <v>40</v>
      </c>
      <c r="AS39" s="388">
        <v>20</v>
      </c>
      <c r="AT39" s="388">
        <v>40</v>
      </c>
      <c r="AU39" s="388" t="s">
        <v>537</v>
      </c>
      <c r="AV39" s="388"/>
    </row>
    <row r="40" spans="2:48">
      <c r="B40" s="919" t="s">
        <v>24</v>
      </c>
      <c r="C40" s="920">
        <v>70</v>
      </c>
      <c r="D40" s="920">
        <v>70</v>
      </c>
      <c r="E40" s="920">
        <v>70</v>
      </c>
      <c r="F40" s="920">
        <v>70</v>
      </c>
      <c r="G40" s="920">
        <v>70</v>
      </c>
      <c r="H40" s="920">
        <v>70</v>
      </c>
      <c r="I40" s="920">
        <v>70</v>
      </c>
      <c r="J40" s="920">
        <v>70</v>
      </c>
      <c r="K40" s="920"/>
      <c r="L40" s="920"/>
      <c r="M40" s="373"/>
      <c r="N40" s="377" t="s">
        <v>24</v>
      </c>
      <c r="O40" s="361">
        <v>70</v>
      </c>
      <c r="P40" s="361">
        <v>70</v>
      </c>
      <c r="Q40" s="361">
        <v>70</v>
      </c>
      <c r="R40" s="361">
        <v>70</v>
      </c>
      <c r="S40" s="361">
        <v>70</v>
      </c>
      <c r="T40" s="361">
        <v>70</v>
      </c>
      <c r="U40" s="361">
        <v>70</v>
      </c>
      <c r="V40" s="361">
        <v>70</v>
      </c>
      <c r="W40" s="361"/>
      <c r="X40" s="361"/>
      <c r="Y40" s="373"/>
      <c r="Z40" s="377" t="s">
        <v>24</v>
      </c>
      <c r="AA40" s="361">
        <v>70</v>
      </c>
      <c r="AB40" s="361">
        <v>70</v>
      </c>
      <c r="AC40" s="361">
        <v>70</v>
      </c>
      <c r="AD40" s="361">
        <v>70</v>
      </c>
      <c r="AE40" s="361">
        <v>70</v>
      </c>
      <c r="AF40" s="361">
        <v>70</v>
      </c>
      <c r="AG40" s="361">
        <v>70</v>
      </c>
      <c r="AH40" s="361">
        <v>70</v>
      </c>
      <c r="AI40" s="361"/>
      <c r="AJ40" s="361"/>
      <c r="AK40" s="373"/>
      <c r="AL40" s="377" t="s">
        <v>24</v>
      </c>
      <c r="AM40" s="361">
        <v>70</v>
      </c>
      <c r="AN40" s="361">
        <v>70</v>
      </c>
      <c r="AO40" s="361">
        <v>70</v>
      </c>
      <c r="AP40" s="361">
        <v>70</v>
      </c>
      <c r="AQ40" s="361">
        <v>70</v>
      </c>
      <c r="AR40" s="361">
        <v>70</v>
      </c>
      <c r="AS40" s="361">
        <v>70</v>
      </c>
      <c r="AT40" s="361">
        <v>70</v>
      </c>
      <c r="AU40" s="361"/>
      <c r="AV40" s="361"/>
    </row>
    <row r="41" spans="2:48" ht="16" thickBot="1">
      <c r="B41" s="913" t="s">
        <v>26</v>
      </c>
      <c r="C41" s="914">
        <v>30</v>
      </c>
      <c r="D41" s="914">
        <v>30</v>
      </c>
      <c r="E41" s="914">
        <v>30</v>
      </c>
      <c r="F41" s="914">
        <v>30</v>
      </c>
      <c r="G41" s="914">
        <v>30</v>
      </c>
      <c r="H41" s="914">
        <v>30</v>
      </c>
      <c r="I41" s="914">
        <v>30</v>
      </c>
      <c r="J41" s="914">
        <v>30</v>
      </c>
      <c r="K41" s="914"/>
      <c r="L41" s="914"/>
      <c r="M41" s="373"/>
      <c r="N41" s="374" t="s">
        <v>26</v>
      </c>
      <c r="O41" s="364">
        <v>30</v>
      </c>
      <c r="P41" s="364">
        <v>30</v>
      </c>
      <c r="Q41" s="364">
        <v>30</v>
      </c>
      <c r="R41" s="364">
        <v>30</v>
      </c>
      <c r="S41" s="364">
        <v>30</v>
      </c>
      <c r="T41" s="364">
        <v>30</v>
      </c>
      <c r="U41" s="364">
        <v>30</v>
      </c>
      <c r="V41" s="364">
        <v>30</v>
      </c>
      <c r="W41" s="364"/>
      <c r="X41" s="364"/>
      <c r="Y41" s="373"/>
      <c r="Z41" s="374" t="s">
        <v>26</v>
      </c>
      <c r="AA41" s="364">
        <v>30</v>
      </c>
      <c r="AB41" s="364">
        <v>30</v>
      </c>
      <c r="AC41" s="364">
        <v>30</v>
      </c>
      <c r="AD41" s="364">
        <v>30</v>
      </c>
      <c r="AE41" s="364">
        <v>30</v>
      </c>
      <c r="AF41" s="364">
        <v>30</v>
      </c>
      <c r="AG41" s="364">
        <v>30</v>
      </c>
      <c r="AH41" s="364">
        <v>30</v>
      </c>
      <c r="AI41" s="364"/>
      <c r="AJ41" s="364"/>
      <c r="AK41" s="373"/>
      <c r="AL41" s="374" t="s">
        <v>26</v>
      </c>
      <c r="AM41" s="364">
        <v>30</v>
      </c>
      <c r="AN41" s="364">
        <v>30</v>
      </c>
      <c r="AO41" s="364">
        <v>30</v>
      </c>
      <c r="AP41" s="364">
        <v>30</v>
      </c>
      <c r="AQ41" s="364">
        <v>30</v>
      </c>
      <c r="AR41" s="364">
        <v>30</v>
      </c>
      <c r="AS41" s="364">
        <v>30</v>
      </c>
      <c r="AT41" s="364">
        <v>30</v>
      </c>
      <c r="AU41" s="364"/>
      <c r="AV41" s="364"/>
    </row>
    <row r="42" spans="2:48" ht="25" thickBot="1">
      <c r="B42" s="913" t="s">
        <v>832</v>
      </c>
      <c r="C42" s="914" t="s">
        <v>487</v>
      </c>
      <c r="D42" s="914" t="s">
        <v>487</v>
      </c>
      <c r="E42" s="914" t="s">
        <v>487</v>
      </c>
      <c r="F42" s="914" t="s">
        <v>487</v>
      </c>
      <c r="G42" s="914" t="s">
        <v>487</v>
      </c>
      <c r="H42" s="914" t="s">
        <v>487</v>
      </c>
      <c r="I42" s="914" t="s">
        <v>487</v>
      </c>
      <c r="J42" s="914" t="s">
        <v>487</v>
      </c>
      <c r="K42" s="914"/>
      <c r="L42" s="914"/>
      <c r="M42" s="373"/>
      <c r="N42" s="374" t="s">
        <v>28</v>
      </c>
      <c r="O42" s="364" t="s">
        <v>487</v>
      </c>
      <c r="P42" s="364" t="s">
        <v>487</v>
      </c>
      <c r="Q42" s="364" t="s">
        <v>487</v>
      </c>
      <c r="R42" s="364" t="s">
        <v>487</v>
      </c>
      <c r="S42" s="364" t="s">
        <v>487</v>
      </c>
      <c r="T42" s="364" t="s">
        <v>487</v>
      </c>
      <c r="U42" s="364" t="s">
        <v>487</v>
      </c>
      <c r="V42" s="364" t="s">
        <v>487</v>
      </c>
      <c r="W42" s="364"/>
      <c r="X42" s="364"/>
      <c r="Y42" s="373"/>
      <c r="Z42" s="374" t="s">
        <v>28</v>
      </c>
      <c r="AA42" s="364" t="s">
        <v>487</v>
      </c>
      <c r="AB42" s="364" t="s">
        <v>487</v>
      </c>
      <c r="AC42" s="364" t="s">
        <v>487</v>
      </c>
      <c r="AD42" s="364" t="s">
        <v>487</v>
      </c>
      <c r="AE42" s="364" t="s">
        <v>487</v>
      </c>
      <c r="AF42" s="364" t="s">
        <v>487</v>
      </c>
      <c r="AG42" s="364" t="s">
        <v>487</v>
      </c>
      <c r="AH42" s="364" t="s">
        <v>487</v>
      </c>
      <c r="AI42" s="364"/>
      <c r="AJ42" s="364"/>
      <c r="AK42" s="373"/>
      <c r="AL42" s="374" t="s">
        <v>28</v>
      </c>
      <c r="AM42" s="364" t="s">
        <v>487</v>
      </c>
      <c r="AN42" s="364" t="s">
        <v>487</v>
      </c>
      <c r="AO42" s="364" t="s">
        <v>487</v>
      </c>
      <c r="AP42" s="364" t="s">
        <v>487</v>
      </c>
      <c r="AQ42" s="364" t="s">
        <v>487</v>
      </c>
      <c r="AR42" s="364" t="s">
        <v>487</v>
      </c>
      <c r="AS42" s="364" t="s">
        <v>487</v>
      </c>
      <c r="AT42" s="364" t="s">
        <v>487</v>
      </c>
      <c r="AU42" s="364"/>
      <c r="AV42" s="364"/>
    </row>
    <row r="43" spans="2:48">
      <c r="B43" s="921" t="s">
        <v>44</v>
      </c>
      <c r="C43" s="922">
        <v>249.45</v>
      </c>
      <c r="D43" s="923">
        <v>243.71970074925002</v>
      </c>
      <c r="E43" s="923">
        <v>235.74655251639874</v>
      </c>
      <c r="F43" s="923">
        <v>214.25126648893914</v>
      </c>
      <c r="G43" s="923">
        <v>206.9</v>
      </c>
      <c r="H43" s="923">
        <v>311.04000000000002</v>
      </c>
      <c r="I43" s="923">
        <v>190.53</v>
      </c>
      <c r="J43" s="923">
        <v>267.55</v>
      </c>
      <c r="K43" s="924"/>
      <c r="L43" s="925"/>
      <c r="M43" s="373"/>
      <c r="N43" s="381" t="s">
        <v>44</v>
      </c>
      <c r="O43" s="378">
        <v>896.52855829754321</v>
      </c>
      <c r="P43" s="370">
        <v>879.32311619829272</v>
      </c>
      <c r="Q43" s="370">
        <v>856.46680247824361</v>
      </c>
      <c r="R43" s="370">
        <v>805.58952173884791</v>
      </c>
      <c r="S43" s="370">
        <v>470.80293835770902</v>
      </c>
      <c r="T43" s="370">
        <v>1127.4452890438763</v>
      </c>
      <c r="U43" s="370">
        <v>482.64618378442265</v>
      </c>
      <c r="V43" s="370">
        <v>1247.9385513532679</v>
      </c>
      <c r="W43" s="380"/>
      <c r="X43" s="368"/>
      <c r="Y43" s="373"/>
      <c r="Z43" s="381" t="s">
        <v>44</v>
      </c>
      <c r="AA43" s="378">
        <v>509.65285582975434</v>
      </c>
      <c r="AB43" s="370">
        <v>499.91241137007927</v>
      </c>
      <c r="AC43" s="370">
        <v>483.27784182585492</v>
      </c>
      <c r="AD43" s="370">
        <v>439.83508410826141</v>
      </c>
      <c r="AE43" s="370">
        <v>407.08029383577093</v>
      </c>
      <c r="AF43" s="370">
        <v>712.74452890438761</v>
      </c>
      <c r="AG43" s="370">
        <v>358.26461837844226</v>
      </c>
      <c r="AH43" s="370">
        <v>624.79385513532679</v>
      </c>
      <c r="AI43" s="380"/>
      <c r="AJ43" s="368"/>
      <c r="AK43" s="373"/>
      <c r="AL43" s="381" t="s">
        <v>44</v>
      </c>
      <c r="AM43" s="378">
        <v>864.3523721983621</v>
      </c>
      <c r="AN43" s="370">
        <v>843.92164701943818</v>
      </c>
      <c r="AO43" s="370">
        <v>795.1665423580821</v>
      </c>
      <c r="AP43" s="370">
        <v>750.61122472950956</v>
      </c>
      <c r="AQ43" s="370">
        <v>428.32117534308361</v>
      </c>
      <c r="AR43" s="370">
        <v>1050.9781156175504</v>
      </c>
      <c r="AS43" s="370">
        <v>433.05847351376906</v>
      </c>
      <c r="AT43" s="370">
        <v>1099.1754205413072</v>
      </c>
      <c r="AU43" s="380"/>
      <c r="AV43" s="368"/>
    </row>
    <row r="44" spans="2:48">
      <c r="B44" s="926" t="s">
        <v>479</v>
      </c>
      <c r="C44" s="927">
        <v>9.4499999999999993</v>
      </c>
      <c r="D44" s="928">
        <v>9.66</v>
      </c>
      <c r="E44" s="927">
        <v>13.13</v>
      </c>
      <c r="F44" s="928">
        <v>12.870000000000001</v>
      </c>
      <c r="G44" s="927">
        <v>6.9</v>
      </c>
      <c r="H44" s="928">
        <v>11.040000000000001</v>
      </c>
      <c r="I44" s="927">
        <v>10.530000000000001</v>
      </c>
      <c r="J44" s="928">
        <v>17.55</v>
      </c>
      <c r="K44" s="929" t="s">
        <v>523</v>
      </c>
      <c r="L44" s="920"/>
      <c r="M44" s="373"/>
      <c r="N44" s="382" t="s">
        <v>479</v>
      </c>
      <c r="O44" s="379">
        <v>96.528558297543199</v>
      </c>
      <c r="P44" s="383">
        <v>99.124113700792648</v>
      </c>
      <c r="Q44" s="379">
        <v>132.77841825854932</v>
      </c>
      <c r="R44" s="383">
        <v>198.35084108261441</v>
      </c>
      <c r="S44" s="379">
        <v>70.802938357709039</v>
      </c>
      <c r="T44" s="383">
        <v>127.44528904387627</v>
      </c>
      <c r="U44" s="379">
        <v>82.646183784422675</v>
      </c>
      <c r="V44" s="383">
        <v>247.93855135326802</v>
      </c>
      <c r="W44" s="369" t="s">
        <v>523</v>
      </c>
      <c r="X44" s="361"/>
      <c r="Y44" s="373"/>
      <c r="Z44" s="382" t="s">
        <v>479</v>
      </c>
      <c r="AA44" s="379">
        <v>9.6528558297543192</v>
      </c>
      <c r="AB44" s="383">
        <v>9.9124113700792655</v>
      </c>
      <c r="AC44" s="379">
        <v>13.277841825854932</v>
      </c>
      <c r="AD44" s="383">
        <v>19.835084108261441</v>
      </c>
      <c r="AE44" s="379">
        <v>7.0802938357709042</v>
      </c>
      <c r="AF44" s="383">
        <v>12.744528904387627</v>
      </c>
      <c r="AG44" s="379">
        <v>8.2646183784422682</v>
      </c>
      <c r="AH44" s="383">
        <v>24.793855135326801</v>
      </c>
      <c r="AI44" s="369" t="s">
        <v>523</v>
      </c>
      <c r="AJ44" s="361"/>
      <c r="AK44" s="373"/>
      <c r="AL44" s="382" t="s">
        <v>479</v>
      </c>
      <c r="AM44" s="379">
        <v>64.352372198362133</v>
      </c>
      <c r="AN44" s="383">
        <v>63.722644521938136</v>
      </c>
      <c r="AO44" s="379">
        <v>53.111367303419726</v>
      </c>
      <c r="AP44" s="383">
        <v>79.340336433045763</v>
      </c>
      <c r="AQ44" s="379">
        <v>28.321175343083617</v>
      </c>
      <c r="AR44" s="383">
        <v>50.978115617550507</v>
      </c>
      <c r="AS44" s="379">
        <v>33.058473513769073</v>
      </c>
      <c r="AT44" s="383">
        <v>99.175420541307204</v>
      </c>
      <c r="AU44" s="369" t="s">
        <v>523</v>
      </c>
      <c r="AV44" s="361"/>
    </row>
    <row r="45" spans="2:48" ht="16" thickBot="1">
      <c r="B45" s="930" t="s">
        <v>480</v>
      </c>
      <c r="C45" s="918">
        <v>240</v>
      </c>
      <c r="D45" s="907">
        <v>234.05970074925003</v>
      </c>
      <c r="E45" s="907">
        <v>222.61655251639874</v>
      </c>
      <c r="F45" s="907">
        <v>201.38126648893913</v>
      </c>
      <c r="G45" s="911">
        <v>200</v>
      </c>
      <c r="H45" s="931">
        <v>300</v>
      </c>
      <c r="I45" s="911">
        <v>180</v>
      </c>
      <c r="J45" s="931">
        <v>250</v>
      </c>
      <c r="K45" s="914" t="s">
        <v>39</v>
      </c>
      <c r="L45" s="914"/>
      <c r="M45" s="373"/>
      <c r="N45" s="384" t="s">
        <v>480</v>
      </c>
      <c r="O45" s="365">
        <v>800</v>
      </c>
      <c r="P45" s="372">
        <v>780.19900249750003</v>
      </c>
      <c r="Q45" s="379">
        <v>723.68838421969429</v>
      </c>
      <c r="R45" s="372">
        <v>607.23868065623344</v>
      </c>
      <c r="S45" s="364">
        <v>400</v>
      </c>
      <c r="T45" s="364">
        <v>1000</v>
      </c>
      <c r="U45" s="364">
        <v>400</v>
      </c>
      <c r="V45" s="364">
        <v>1000</v>
      </c>
      <c r="W45" s="364" t="s">
        <v>39</v>
      </c>
      <c r="X45" s="364"/>
      <c r="Y45" s="373"/>
      <c r="Z45" s="384" t="s">
        <v>480</v>
      </c>
      <c r="AA45" s="365">
        <v>500</v>
      </c>
      <c r="AB45" s="372">
        <v>490</v>
      </c>
      <c r="AC45" s="379">
        <v>470</v>
      </c>
      <c r="AD45" s="372">
        <v>420</v>
      </c>
      <c r="AE45" s="364">
        <v>400</v>
      </c>
      <c r="AF45" s="364">
        <v>700</v>
      </c>
      <c r="AG45" s="364">
        <v>350</v>
      </c>
      <c r="AH45" s="364">
        <v>600</v>
      </c>
      <c r="AI45" s="364" t="s">
        <v>39</v>
      </c>
      <c r="AJ45" s="364"/>
      <c r="AK45" s="373"/>
      <c r="AL45" s="384" t="s">
        <v>480</v>
      </c>
      <c r="AM45" s="365">
        <v>800</v>
      </c>
      <c r="AN45" s="372">
        <v>780.19900249750003</v>
      </c>
      <c r="AO45" s="371">
        <v>742.05517505466241</v>
      </c>
      <c r="AP45" s="372">
        <v>671.2708882964638</v>
      </c>
      <c r="AQ45" s="364">
        <v>400</v>
      </c>
      <c r="AR45" s="364">
        <v>1000</v>
      </c>
      <c r="AS45" s="364">
        <v>400</v>
      </c>
      <c r="AT45" s="364">
        <v>1000</v>
      </c>
      <c r="AU45" s="364" t="s">
        <v>39</v>
      </c>
      <c r="AV45" s="364"/>
    </row>
    <row r="46" spans="2:48" ht="16" thickBot="1">
      <c r="B46" s="913" t="s">
        <v>538</v>
      </c>
      <c r="C46" s="932">
        <v>0</v>
      </c>
      <c r="D46" s="932">
        <v>0</v>
      </c>
      <c r="E46" s="932">
        <v>0</v>
      </c>
      <c r="F46" s="932">
        <v>0</v>
      </c>
      <c r="G46" s="933">
        <v>0</v>
      </c>
      <c r="H46" s="932">
        <v>0</v>
      </c>
      <c r="I46" s="934">
        <v>0</v>
      </c>
      <c r="J46" s="932">
        <v>0</v>
      </c>
      <c r="K46" s="914"/>
      <c r="L46" s="914"/>
      <c r="M46" s="373"/>
      <c r="N46" s="374" t="s">
        <v>482</v>
      </c>
      <c r="O46" s="385">
        <v>25.2</v>
      </c>
      <c r="P46" s="386">
        <v>21.6</v>
      </c>
      <c r="Q46" s="392">
        <v>18</v>
      </c>
      <c r="R46" s="392">
        <v>14.4</v>
      </c>
      <c r="S46" s="385">
        <v>18</v>
      </c>
      <c r="T46" s="385">
        <v>28.8</v>
      </c>
      <c r="U46" s="385">
        <v>10.8</v>
      </c>
      <c r="V46" s="385">
        <v>21.6</v>
      </c>
      <c r="W46" s="364"/>
      <c r="X46" s="364"/>
      <c r="Y46" s="373"/>
      <c r="Z46" s="374" t="s">
        <v>538</v>
      </c>
      <c r="AA46" s="386">
        <v>0</v>
      </c>
      <c r="AB46" s="386">
        <v>0</v>
      </c>
      <c r="AC46" s="386">
        <v>0</v>
      </c>
      <c r="AD46" s="386">
        <v>0</v>
      </c>
      <c r="AE46" s="386">
        <v>0</v>
      </c>
      <c r="AF46" s="386">
        <v>0</v>
      </c>
      <c r="AG46" s="386">
        <v>0</v>
      </c>
      <c r="AH46" s="386">
        <v>0</v>
      </c>
      <c r="AI46" s="364"/>
      <c r="AJ46" s="364"/>
      <c r="AK46" s="373"/>
      <c r="AL46" s="374" t="s">
        <v>482</v>
      </c>
      <c r="AM46" s="385">
        <v>25.2</v>
      </c>
      <c r="AN46" s="386">
        <v>21.6</v>
      </c>
      <c r="AO46" s="392">
        <v>18</v>
      </c>
      <c r="AP46" s="392">
        <v>14.4</v>
      </c>
      <c r="AQ46" s="385">
        <v>18</v>
      </c>
      <c r="AR46" s="385">
        <v>28.8</v>
      </c>
      <c r="AS46" s="385">
        <v>10.8</v>
      </c>
      <c r="AT46" s="385">
        <v>21.6</v>
      </c>
      <c r="AU46" s="364"/>
      <c r="AV46" s="364"/>
    </row>
    <row r="47" spans="2:48" ht="16" thickBot="1">
      <c r="B47" s="354" t="s">
        <v>499</v>
      </c>
      <c r="C47" s="355"/>
      <c r="D47" s="355"/>
      <c r="E47" s="355"/>
      <c r="F47" s="355"/>
      <c r="G47" s="355"/>
      <c r="H47" s="355"/>
      <c r="I47" s="355"/>
      <c r="J47" s="355"/>
      <c r="K47" s="355"/>
      <c r="L47" s="356"/>
      <c r="M47" s="352"/>
      <c r="N47" s="354" t="s">
        <v>499</v>
      </c>
      <c r="O47" s="355"/>
      <c r="P47" s="355"/>
      <c r="Q47" s="355"/>
      <c r="R47" s="355"/>
      <c r="S47" s="355"/>
      <c r="T47" s="355"/>
      <c r="U47" s="355"/>
      <c r="V47" s="355"/>
      <c r="W47" s="355"/>
      <c r="X47" s="356"/>
      <c r="Y47" s="352"/>
      <c r="Z47" s="354" t="s">
        <v>499</v>
      </c>
      <c r="AA47" s="355"/>
      <c r="AB47" s="355"/>
      <c r="AC47" s="355"/>
      <c r="AD47" s="355"/>
      <c r="AE47" s="355"/>
      <c r="AF47" s="355"/>
      <c r="AG47" s="355"/>
      <c r="AH47" s="355"/>
      <c r="AI47" s="355"/>
      <c r="AJ47" s="356"/>
      <c r="AK47" s="352"/>
      <c r="AL47" s="353" t="s">
        <v>499</v>
      </c>
      <c r="AM47" s="355"/>
      <c r="AN47" s="355"/>
      <c r="AO47" s="355"/>
      <c r="AP47" s="355"/>
      <c r="AQ47" s="355"/>
      <c r="AR47" s="355"/>
      <c r="AS47" s="355"/>
      <c r="AT47" s="355"/>
      <c r="AU47" s="355"/>
      <c r="AV47" s="356"/>
    </row>
    <row r="48" spans="2:48" ht="16" thickBot="1">
      <c r="B48" s="357" t="s">
        <v>503</v>
      </c>
      <c r="C48" s="393">
        <f>C39/C$17*Euro</f>
        <v>2.9800000000000004</v>
      </c>
      <c r="D48" s="393">
        <f>D39/D$17*Euro</f>
        <v>2.9062412843031877</v>
      </c>
      <c r="E48" s="393">
        <f>E39/E$17*Euro</f>
        <v>2.7641555270786178</v>
      </c>
      <c r="F48" s="393">
        <f>F39/F$17*Euro</f>
        <v>2.5004840589043273</v>
      </c>
      <c r="G48" s="358"/>
      <c r="H48" s="358"/>
      <c r="I48" s="358"/>
      <c r="J48" s="358"/>
      <c r="K48" s="358"/>
      <c r="L48" s="358"/>
      <c r="M48" s="360"/>
      <c r="N48" s="357" t="s">
        <v>503</v>
      </c>
      <c r="O48" s="393">
        <f>O39/O$17*Euro</f>
        <v>0.65187499999999998</v>
      </c>
      <c r="P48" s="393">
        <f>P39/P$17*Euro</f>
        <v>0.6357402809413224</v>
      </c>
      <c r="Q48" s="393">
        <f>Q39/Q$17*Euro</f>
        <v>0.60465902154844764</v>
      </c>
      <c r="R48" s="393">
        <f>R39/R$17*Euro</f>
        <v>0.54698088788532162</v>
      </c>
      <c r="S48" s="358"/>
      <c r="T48" s="358"/>
      <c r="U48" s="358"/>
      <c r="V48" s="358"/>
      <c r="W48" s="358"/>
      <c r="X48" s="358"/>
      <c r="Y48" s="360"/>
      <c r="Z48" s="357" t="s">
        <v>503</v>
      </c>
      <c r="AA48" s="393">
        <f>AA39/AA$17*Euro</f>
        <v>4.9666666666666668</v>
      </c>
      <c r="AB48" s="393">
        <f>AB39/AB$17*Euro</f>
        <v>4.8437354738386462</v>
      </c>
      <c r="AC48" s="393">
        <f>AC39/AC$17*Euro</f>
        <v>4.606925878464363</v>
      </c>
      <c r="AD48" s="393">
        <f>AD39/AD$17*Euro</f>
        <v>4.1674734315072124</v>
      </c>
      <c r="AE48" s="358"/>
      <c r="AF48" s="358"/>
      <c r="AG48" s="358"/>
      <c r="AH48" s="358"/>
      <c r="AI48" s="358"/>
      <c r="AJ48" s="358"/>
      <c r="AK48" s="352"/>
      <c r="AL48" s="400" t="s">
        <v>503</v>
      </c>
      <c r="AM48" s="426">
        <f>AM39/AM$17*Euro</f>
        <v>1.30375</v>
      </c>
      <c r="AN48" s="426">
        <f>AN39/AN$17*Euro</f>
        <v>1.2714805618826448</v>
      </c>
      <c r="AO48" s="426">
        <f>AO39/AO$17*Euro</f>
        <v>1.2093180430968953</v>
      </c>
      <c r="AP48" s="426">
        <f>AP39/AP$17*Euro</f>
        <v>1.0939617757706432</v>
      </c>
      <c r="AQ48" s="401"/>
      <c r="AR48" s="401"/>
      <c r="AS48" s="401"/>
      <c r="AT48" s="401"/>
      <c r="AU48" s="401"/>
      <c r="AV48" s="401"/>
    </row>
    <row r="49" spans="2:48" ht="25" thickBot="1">
      <c r="B49" s="357" t="s">
        <v>504</v>
      </c>
      <c r="C49" s="393" t="e">
        <f>C42/C$17*Euro</f>
        <v>#VALUE!</v>
      </c>
      <c r="D49" s="393" t="e">
        <f>D42/D$17*Euro</f>
        <v>#VALUE!</v>
      </c>
      <c r="E49" s="393" t="e">
        <f>E42/E$17*Euro</f>
        <v>#VALUE!</v>
      </c>
      <c r="F49" s="393" t="e">
        <f>F42/F$17*Euro</f>
        <v>#VALUE!</v>
      </c>
      <c r="G49" s="358"/>
      <c r="H49" s="358"/>
      <c r="I49" s="358"/>
      <c r="J49" s="358"/>
      <c r="K49" s="358"/>
      <c r="L49" s="358"/>
      <c r="M49" s="360"/>
      <c r="N49" s="357" t="s">
        <v>504</v>
      </c>
      <c r="O49" s="393" t="e">
        <f>O42/O$17*Euro</f>
        <v>#VALUE!</v>
      </c>
      <c r="P49" s="393" t="e">
        <f>P42/P$17*Euro</f>
        <v>#VALUE!</v>
      </c>
      <c r="Q49" s="393" t="e">
        <f>Q42/Q$17*Euro</f>
        <v>#VALUE!</v>
      </c>
      <c r="R49" s="393" t="e">
        <f>R42/R$17*Euro</f>
        <v>#VALUE!</v>
      </c>
      <c r="S49" s="358"/>
      <c r="T49" s="358"/>
      <c r="U49" s="358"/>
      <c r="V49" s="358"/>
      <c r="W49" s="358"/>
      <c r="X49" s="358"/>
      <c r="Y49" s="360"/>
      <c r="Z49" s="357" t="s">
        <v>504</v>
      </c>
      <c r="AA49" s="393" t="e">
        <f>AA42/AA$17*Euro</f>
        <v>#VALUE!</v>
      </c>
      <c r="AB49" s="393" t="e">
        <f>AB42/AB$17*Euro</f>
        <v>#VALUE!</v>
      </c>
      <c r="AC49" s="393" t="e">
        <f>AC42/AC$17*Euro</f>
        <v>#VALUE!</v>
      </c>
      <c r="AD49" s="393" t="e">
        <f>AD42/AD$17*Euro</f>
        <v>#VALUE!</v>
      </c>
      <c r="AE49" s="358"/>
      <c r="AF49" s="358"/>
      <c r="AG49" s="358"/>
      <c r="AH49" s="358"/>
      <c r="AI49" s="358"/>
      <c r="AJ49" s="358"/>
      <c r="AK49" s="352"/>
      <c r="AL49" s="400" t="s">
        <v>504</v>
      </c>
      <c r="AM49" s="426" t="e">
        <f>AM42/AM$17*Euro</f>
        <v>#VALUE!</v>
      </c>
      <c r="AN49" s="426" t="e">
        <f>AN42/AN$17*Euro</f>
        <v>#VALUE!</v>
      </c>
      <c r="AO49" s="426" t="e">
        <f>AO42/AO$17*Euro</f>
        <v>#VALUE!</v>
      </c>
      <c r="AP49" s="426" t="e">
        <f>AP42/AP$17*Euro</f>
        <v>#VALUE!</v>
      </c>
      <c r="AQ49" s="401"/>
      <c r="AR49" s="401"/>
      <c r="AS49" s="401"/>
      <c r="AT49" s="401"/>
      <c r="AU49" s="401"/>
      <c r="AV49" s="401"/>
    </row>
    <row r="50" spans="2:48" ht="16" thickBot="1">
      <c r="B50" s="357"/>
      <c r="C50" s="358"/>
      <c r="D50" s="358"/>
      <c r="E50" s="358"/>
      <c r="F50" s="358"/>
      <c r="G50" s="358"/>
      <c r="H50" s="358"/>
      <c r="I50" s="358"/>
      <c r="J50" s="358"/>
      <c r="K50" s="358"/>
      <c r="L50" s="358"/>
      <c r="M50" s="360"/>
      <c r="N50" s="357"/>
      <c r="O50" s="358"/>
      <c r="P50" s="358"/>
      <c r="Q50" s="358"/>
      <c r="R50" s="358"/>
      <c r="S50" s="358"/>
      <c r="T50" s="358"/>
      <c r="U50" s="358"/>
      <c r="V50" s="358"/>
      <c r="W50" s="358"/>
      <c r="X50" s="358"/>
      <c r="Y50" s="360"/>
      <c r="Z50" s="357"/>
      <c r="AA50" s="358"/>
      <c r="AB50" s="358"/>
      <c r="AC50" s="358"/>
      <c r="AD50" s="358"/>
      <c r="AE50" s="358"/>
      <c r="AF50" s="358"/>
      <c r="AG50" s="358"/>
      <c r="AH50" s="358"/>
      <c r="AI50" s="358"/>
      <c r="AJ50" s="358"/>
      <c r="AK50" s="352"/>
      <c r="AL50" s="400"/>
      <c r="AM50" s="401"/>
      <c r="AN50" s="401"/>
      <c r="AO50" s="401"/>
      <c r="AP50" s="401"/>
      <c r="AQ50" s="401"/>
      <c r="AR50" s="401"/>
      <c r="AS50" s="401"/>
      <c r="AT50" s="401"/>
      <c r="AU50" s="401"/>
      <c r="AV50" s="401"/>
    </row>
    <row r="51" spans="2:48" ht="16" thickBot="1">
      <c r="B51" s="381" t="s">
        <v>502</v>
      </c>
      <c r="C51" s="393">
        <f>C43/C17/1000*Euro</f>
        <v>0.12389349999999999</v>
      </c>
      <c r="D51" s="393">
        <f>D43/D17/1000*Euro</f>
        <v>0.12104745137212751</v>
      </c>
      <c r="E51" s="393">
        <f>E43/E17/1000*Euro</f>
        <v>0.11708745441647805</v>
      </c>
      <c r="F51" s="393">
        <f>F43/F17/1000*Euro</f>
        <v>0.10641146235617312</v>
      </c>
      <c r="G51" s="358"/>
      <c r="H51" s="358"/>
      <c r="I51" s="358"/>
      <c r="J51" s="358"/>
      <c r="K51" s="358"/>
      <c r="L51" s="358"/>
      <c r="M51" s="360"/>
      <c r="N51" s="381" t="s">
        <v>502</v>
      </c>
      <c r="O51" s="393">
        <f>O43/O17/1000*Euro</f>
        <v>1.6697844398291747E-2</v>
      </c>
      <c r="P51" s="393">
        <f>P43/P17/1000*Euro</f>
        <v>1.6377393039193201E-2</v>
      </c>
      <c r="Q51" s="393">
        <f>Q43/Q17/1000*Euro</f>
        <v>1.5951694196157291E-2</v>
      </c>
      <c r="R51" s="393">
        <f>R43/R17/1000*Euro</f>
        <v>1.5004104842386044E-2</v>
      </c>
      <c r="S51" s="358"/>
      <c r="T51" s="358"/>
      <c r="U51" s="358"/>
      <c r="V51" s="358"/>
      <c r="W51" s="358"/>
      <c r="X51" s="358"/>
      <c r="Y51" s="360"/>
      <c r="Z51" s="381" t="s">
        <v>502</v>
      </c>
      <c r="AA51" s="393">
        <f>AA43/AA17/1000*Euro</f>
        <v>0.25312758506211136</v>
      </c>
      <c r="AB51" s="393">
        <f>AB43/AB17/1000*Euro</f>
        <v>0.24828983098047269</v>
      </c>
      <c r="AC51" s="393">
        <f>AC43/AC17/1000*Euro</f>
        <v>0.24002799477350797</v>
      </c>
      <c r="AD51" s="393">
        <f>AD43/AD17/1000*Euro</f>
        <v>0.21845142510710319</v>
      </c>
      <c r="AE51" s="358"/>
      <c r="AF51" s="358"/>
      <c r="AG51" s="358"/>
      <c r="AH51" s="358"/>
      <c r="AI51" s="358"/>
      <c r="AJ51" s="358"/>
      <c r="AK51" s="352"/>
      <c r="AL51" s="418" t="s">
        <v>502</v>
      </c>
      <c r="AM51" s="426">
        <f>AM43/AM17/1000*Euro</f>
        <v>4.024640733048624E-2</v>
      </c>
      <c r="AN51" s="426">
        <f>AN43/AN17/1000*Euro</f>
        <v>3.9295101689342589E-2</v>
      </c>
      <c r="AO51" s="426">
        <f>AO43/AO17/1000*Euro</f>
        <v>3.7024942128548191E-2</v>
      </c>
      <c r="AP51" s="426">
        <f>AP43/AP17/1000*Euro</f>
        <v>3.4950335151467789E-2</v>
      </c>
      <c r="AQ51" s="401"/>
      <c r="AR51" s="401"/>
      <c r="AS51" s="401"/>
      <c r="AT51" s="401"/>
      <c r="AU51" s="401"/>
      <c r="AV51" s="401"/>
    </row>
    <row r="52" spans="2:48" ht="16" thickBot="1">
      <c r="B52" s="377" t="s">
        <v>505</v>
      </c>
      <c r="C52" s="359">
        <f>C46/3.6*Euro</f>
        <v>0</v>
      </c>
      <c r="D52" s="514">
        <f>D46/3.6*Euro</f>
        <v>0</v>
      </c>
      <c r="E52" s="514">
        <f>E46/3.6*Euro</f>
        <v>0</v>
      </c>
      <c r="F52" s="514">
        <f>F46/3.6*Euro</f>
        <v>0</v>
      </c>
      <c r="G52" s="359"/>
      <c r="H52" s="359"/>
      <c r="I52" s="359"/>
      <c r="J52" s="359"/>
      <c r="K52" s="359"/>
      <c r="L52" s="359"/>
      <c r="M52" s="360"/>
      <c r="N52" s="374" t="s">
        <v>505</v>
      </c>
      <c r="O52" s="514">
        <f>O46/3.6*Euro</f>
        <v>52.15</v>
      </c>
      <c r="P52" s="514">
        <f>P46/3.6*Euro</f>
        <v>44.7</v>
      </c>
      <c r="Q52" s="514">
        <f>Q46/3.6*Euro</f>
        <v>37.25</v>
      </c>
      <c r="R52" s="514">
        <f>R46/3.6*Euro</f>
        <v>29.8</v>
      </c>
      <c r="S52" s="358"/>
      <c r="T52" s="358"/>
      <c r="U52" s="358"/>
      <c r="V52" s="358"/>
      <c r="W52" s="358"/>
      <c r="X52" s="358"/>
      <c r="Y52" s="360"/>
      <c r="Z52" s="374" t="s">
        <v>505</v>
      </c>
      <c r="AA52" s="514">
        <f>AA46/3.6*Euro</f>
        <v>0</v>
      </c>
      <c r="AB52" s="514">
        <f>AB46/3.6*Euro</f>
        <v>0</v>
      </c>
      <c r="AC52" s="514">
        <f>AC46/3.6*Euro</f>
        <v>0</v>
      </c>
      <c r="AD52" s="514">
        <f>AD46/3.6*Euro</f>
        <v>0</v>
      </c>
      <c r="AE52" s="358"/>
      <c r="AF52" s="358"/>
      <c r="AG52" s="358"/>
      <c r="AH52" s="358"/>
      <c r="AI52" s="358"/>
      <c r="AJ52" s="358"/>
      <c r="AK52" s="352"/>
      <c r="AL52" s="414" t="s">
        <v>505</v>
      </c>
      <c r="AM52" s="514">
        <f>AM46/3.6*Euro</f>
        <v>52.15</v>
      </c>
      <c r="AN52" s="514">
        <f>AN46/3.6*Euro</f>
        <v>44.7</v>
      </c>
      <c r="AO52" s="514">
        <f>AO46/3.6*Euro</f>
        <v>37.25</v>
      </c>
      <c r="AP52" s="514">
        <f>AP46/3.6*Euro</f>
        <v>29.8</v>
      </c>
      <c r="AQ52" s="401"/>
      <c r="AR52" s="401"/>
      <c r="AS52" s="401"/>
      <c r="AT52" s="401"/>
      <c r="AU52" s="401"/>
      <c r="AV52" s="401"/>
    </row>
    <row r="54" spans="2:48">
      <c r="O54">
        <f>O46*Euro</f>
        <v>187.74</v>
      </c>
      <c r="P54" t="s">
        <v>659</v>
      </c>
    </row>
    <row r="55" spans="2:48">
      <c r="O55">
        <f>O17*8760*0.2/1000</f>
        <v>700.8</v>
      </c>
      <c r="AM55">
        <f>0.16*AM46*Euro</f>
        <v>30.038399999999999</v>
      </c>
    </row>
    <row r="56" spans="2:48">
      <c r="O56">
        <f>O55*O54</f>
        <v>131568.19200000001</v>
      </c>
      <c r="P56">
        <f>O56/15</f>
        <v>8771.2128000000012</v>
      </c>
      <c r="AM56">
        <f>AM55*8750/5</f>
        <v>52567.199999999997</v>
      </c>
    </row>
    <row r="58" spans="2:48">
      <c r="B58" s="8" t="s">
        <v>580</v>
      </c>
      <c r="C58" s="764"/>
      <c r="D58" s="764"/>
      <c r="E58" s="764"/>
      <c r="F58" s="764"/>
      <c r="G58" s="764"/>
      <c r="H58" s="764"/>
      <c r="I58" s="764"/>
    </row>
    <row r="59" spans="2:48">
      <c r="B59" s="792">
        <v>1</v>
      </c>
      <c r="C59" s="439" t="s">
        <v>664</v>
      </c>
      <c r="D59" s="764"/>
      <c r="E59" s="764"/>
      <c r="F59" s="764"/>
      <c r="G59" s="764"/>
      <c r="H59" s="764"/>
      <c r="I59" s="764"/>
    </row>
    <row r="60" spans="2:48">
      <c r="B60" s="792">
        <v>2</v>
      </c>
      <c r="C60" s="70" t="s">
        <v>665</v>
      </c>
      <c r="D60" s="764"/>
      <c r="E60" s="764"/>
      <c r="F60" s="764"/>
      <c r="G60" s="764"/>
      <c r="H60" s="764"/>
      <c r="I60" s="764"/>
    </row>
    <row r="61" spans="2:48">
      <c r="B61" s="792">
        <v>3</v>
      </c>
      <c r="C61" s="70" t="s">
        <v>666</v>
      </c>
      <c r="D61" s="764"/>
      <c r="E61" s="764"/>
      <c r="F61" s="764"/>
      <c r="G61" s="764"/>
      <c r="H61" s="764"/>
      <c r="I61" s="764"/>
    </row>
    <row r="62" spans="2:48">
      <c r="B62" s="792">
        <v>4</v>
      </c>
      <c r="C62" s="70" t="s">
        <v>667</v>
      </c>
      <c r="D62" s="764"/>
      <c r="E62" s="764"/>
      <c r="F62" s="764"/>
      <c r="G62" s="764"/>
      <c r="H62" s="764"/>
      <c r="I62" s="764"/>
    </row>
    <row r="63" spans="2:48">
      <c r="B63" s="792">
        <v>5</v>
      </c>
      <c r="C63" s="793" t="s">
        <v>668</v>
      </c>
      <c r="D63" s="764"/>
      <c r="E63" s="764"/>
      <c r="F63" s="764"/>
      <c r="G63" s="764"/>
      <c r="H63" s="764"/>
      <c r="I63" s="764"/>
    </row>
    <row r="64" spans="2:48">
      <c r="B64" s="792">
        <v>7</v>
      </c>
      <c r="C64" s="439" t="s">
        <v>669</v>
      </c>
      <c r="D64" s="764"/>
      <c r="E64" s="764"/>
      <c r="F64" s="764"/>
      <c r="G64" s="764"/>
      <c r="H64" s="764"/>
      <c r="I64" s="764"/>
    </row>
    <row r="65" spans="2:9">
      <c r="B65" s="792">
        <v>11</v>
      </c>
      <c r="C65" s="70" t="s">
        <v>670</v>
      </c>
      <c r="D65" s="764"/>
      <c r="E65" s="764"/>
      <c r="F65" s="764"/>
      <c r="G65" s="764"/>
      <c r="H65" s="764"/>
      <c r="I65" s="764"/>
    </row>
    <row r="66" spans="2:9">
      <c r="B66" s="792"/>
      <c r="C66" s="794"/>
      <c r="D66" s="764"/>
      <c r="E66" s="764"/>
      <c r="F66" s="764"/>
      <c r="G66" s="764"/>
      <c r="H66" s="764"/>
      <c r="I66" s="764"/>
    </row>
    <row r="67" spans="2:9" ht="16">
      <c r="B67" s="795"/>
      <c r="C67" s="796"/>
      <c r="D67" s="764"/>
      <c r="E67" s="764"/>
      <c r="F67" s="764"/>
      <c r="G67" s="764"/>
      <c r="H67" s="764"/>
      <c r="I67" s="764"/>
    </row>
    <row r="68" spans="2:9">
      <c r="B68" s="675" t="s">
        <v>589</v>
      </c>
      <c r="C68" s="764"/>
      <c r="D68" s="764"/>
      <c r="E68" s="764"/>
      <c r="F68" s="764"/>
      <c r="G68" s="764"/>
      <c r="H68" s="764"/>
      <c r="I68" s="764"/>
    </row>
    <row r="69" spans="2:9">
      <c r="B69" s="792" t="s">
        <v>6</v>
      </c>
      <c r="C69" s="439" t="s">
        <v>671</v>
      </c>
      <c r="D69" s="764"/>
      <c r="E69" s="764"/>
      <c r="F69" s="764"/>
      <c r="G69" s="764"/>
      <c r="H69" s="764"/>
      <c r="I69" s="764"/>
    </row>
    <row r="70" spans="2:9">
      <c r="B70" s="792" t="s">
        <v>42</v>
      </c>
      <c r="C70" s="439" t="s">
        <v>672</v>
      </c>
      <c r="D70" s="764"/>
      <c r="E70" s="764"/>
      <c r="F70" s="764"/>
      <c r="G70" s="764"/>
      <c r="H70" s="764"/>
      <c r="I70" s="764"/>
    </row>
    <row r="71" spans="2:9">
      <c r="B71" s="792" t="s">
        <v>15</v>
      </c>
      <c r="C71" s="439" t="s">
        <v>673</v>
      </c>
      <c r="D71" s="764"/>
      <c r="E71" s="764"/>
      <c r="F71" s="764"/>
      <c r="G71" s="764"/>
      <c r="H71" s="764"/>
      <c r="I71" s="764"/>
    </row>
    <row r="72" spans="2:9">
      <c r="B72" s="792" t="s">
        <v>19</v>
      </c>
      <c r="C72" s="439" t="s">
        <v>674</v>
      </c>
      <c r="D72" s="764"/>
      <c r="E72" s="764"/>
      <c r="F72" s="764"/>
      <c r="G72" s="764"/>
      <c r="H72" s="764"/>
      <c r="I72" s="764"/>
    </row>
    <row r="73" spans="2:9">
      <c r="B73" s="792" t="s">
        <v>52</v>
      </c>
      <c r="C73" s="439" t="s">
        <v>675</v>
      </c>
      <c r="D73" s="764"/>
      <c r="E73" s="764"/>
      <c r="F73" s="764"/>
      <c r="G73" s="764"/>
      <c r="H73" s="764"/>
      <c r="I73" s="764"/>
    </row>
    <row r="74" spans="2:9">
      <c r="B74" s="792" t="s">
        <v>23</v>
      </c>
      <c r="C74" s="439" t="s">
        <v>676</v>
      </c>
      <c r="D74" s="764"/>
      <c r="E74" s="764"/>
      <c r="F74" s="764"/>
      <c r="G74" s="764"/>
      <c r="H74" s="764"/>
      <c r="I74" s="764"/>
    </row>
    <row r="75" spans="2:9">
      <c r="B75" s="792" t="s">
        <v>31</v>
      </c>
      <c r="C75" s="439" t="s">
        <v>677</v>
      </c>
      <c r="D75" s="764"/>
      <c r="E75" s="764"/>
      <c r="F75" s="764"/>
      <c r="G75" s="764"/>
      <c r="H75" s="764"/>
      <c r="I75" s="764"/>
    </row>
    <row r="76" spans="2:9">
      <c r="B76" s="792" t="s">
        <v>39</v>
      </c>
      <c r="C76" s="439" t="s">
        <v>678</v>
      </c>
      <c r="D76" s="764"/>
      <c r="E76" s="764"/>
      <c r="F76" s="764"/>
      <c r="G76" s="764"/>
      <c r="H76" s="764"/>
      <c r="I76" s="764"/>
    </row>
    <row r="77" spans="2:9">
      <c r="B77" s="792" t="s">
        <v>40</v>
      </c>
      <c r="C77" s="439" t="s">
        <v>679</v>
      </c>
      <c r="D77" s="764"/>
      <c r="E77" s="764"/>
      <c r="F77" s="764"/>
      <c r="G77" s="764"/>
      <c r="H77" s="764"/>
      <c r="I77" s="764"/>
    </row>
    <row r="78" spans="2:9">
      <c r="B78" s="764"/>
      <c r="C78" s="439" t="s">
        <v>680</v>
      </c>
      <c r="D78" s="764"/>
      <c r="E78" s="764"/>
      <c r="F78" s="764"/>
      <c r="G78" s="764"/>
      <c r="H78" s="764"/>
      <c r="I78" s="764"/>
    </row>
    <row r="79" spans="2:9">
      <c r="B79" s="792" t="s">
        <v>41</v>
      </c>
      <c r="C79" s="439" t="s">
        <v>681</v>
      </c>
      <c r="D79" s="764"/>
      <c r="E79" s="764"/>
      <c r="F79" s="764"/>
      <c r="G79" s="764"/>
      <c r="H79" s="764"/>
      <c r="I79" s="764"/>
    </row>
    <row r="80" spans="2:9">
      <c r="B80" s="792" t="s">
        <v>37</v>
      </c>
      <c r="C80" s="439" t="s">
        <v>682</v>
      </c>
      <c r="D80" s="764"/>
      <c r="E80" s="764"/>
      <c r="F80" s="764"/>
      <c r="G80" s="764"/>
      <c r="H80" s="764"/>
      <c r="I80" s="764"/>
    </row>
    <row r="81" spans="2:9">
      <c r="B81" s="792" t="s">
        <v>279</v>
      </c>
      <c r="C81" s="439" t="s">
        <v>683</v>
      </c>
      <c r="D81" s="764"/>
      <c r="E81" s="764"/>
      <c r="F81" s="764"/>
      <c r="G81" s="764"/>
      <c r="H81" s="764"/>
      <c r="I81" s="764"/>
    </row>
    <row r="82" spans="2:9">
      <c r="B82" s="792" t="s">
        <v>523</v>
      </c>
      <c r="C82" s="449" t="s">
        <v>596</v>
      </c>
      <c r="D82" s="764"/>
      <c r="E82" s="764"/>
      <c r="F82" s="764"/>
      <c r="G82" s="764"/>
      <c r="H82" s="764"/>
      <c r="I82" s="764"/>
    </row>
  </sheetData>
  <mergeCells count="44">
    <mergeCell ref="AV14:AV15"/>
    <mergeCell ref="AJ14:AJ15"/>
    <mergeCell ref="AL14:AL15"/>
    <mergeCell ref="AM14:AM15"/>
    <mergeCell ref="AN14:AN15"/>
    <mergeCell ref="AO14:AO15"/>
    <mergeCell ref="AP14:AP15"/>
    <mergeCell ref="AU14:AU15"/>
    <mergeCell ref="N14:N15"/>
    <mergeCell ref="O14:O15"/>
    <mergeCell ref="P14:P15"/>
    <mergeCell ref="Q14:Q15"/>
    <mergeCell ref="AI14:AI15"/>
    <mergeCell ref="S14:T15"/>
    <mergeCell ref="U14:V15"/>
    <mergeCell ref="W14:W15"/>
    <mergeCell ref="X14:X15"/>
    <mergeCell ref="Z14:Z15"/>
    <mergeCell ref="AA14:AA15"/>
    <mergeCell ref="AB14:AB15"/>
    <mergeCell ref="AC14:AC15"/>
    <mergeCell ref="AD14:AD15"/>
    <mergeCell ref="AE14:AF15"/>
    <mergeCell ref="B14:B15"/>
    <mergeCell ref="B2:G2"/>
    <mergeCell ref="B3:G3"/>
    <mergeCell ref="AQ14:AR15"/>
    <mergeCell ref="AS14:AT15"/>
    <mergeCell ref="AG14:AH15"/>
    <mergeCell ref="AL2:AQ2"/>
    <mergeCell ref="AL3:AQ3"/>
    <mergeCell ref="AM13:AV13"/>
    <mergeCell ref="O13:X13"/>
    <mergeCell ref="AA13:AJ13"/>
    <mergeCell ref="R14:R15"/>
    <mergeCell ref="C14:C15"/>
    <mergeCell ref="D14:D15"/>
    <mergeCell ref="E14:E15"/>
    <mergeCell ref="F14:F15"/>
    <mergeCell ref="C13:L13"/>
    <mergeCell ref="G14:H15"/>
    <mergeCell ref="I14:J15"/>
    <mergeCell ref="K14:K15"/>
    <mergeCell ref="L14:L15"/>
  </mergeCells>
  <hyperlinks>
    <hyperlink ref="C63" r:id="rId1" xr:uid="{00000000-0004-0000-0900-000000000000}"/>
  </hyperlinks>
  <pageMargins left="0.7" right="0.7" top="0.75" bottom="0.75" header="0.3" footer="0.3"/>
  <pageSetup paperSize="9"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4"/>
  </sheetPr>
  <dimension ref="B1:AO97"/>
  <sheetViews>
    <sheetView workbookViewId="0">
      <selection activeCell="M44" sqref="M44"/>
    </sheetView>
  </sheetViews>
  <sheetFormatPr baseColWidth="10" defaultColWidth="8.83203125" defaultRowHeight="15"/>
  <cols>
    <col min="2" max="2" width="36.6640625" customWidth="1"/>
    <col min="3" max="6" width="11" bestFit="1" customWidth="1"/>
    <col min="9" max="12" width="9.1640625" style="111"/>
    <col min="14" max="14" width="36.5" customWidth="1"/>
    <col min="15" max="15" width="10" bestFit="1" customWidth="1"/>
    <col min="26" max="26" width="28.5" customWidth="1"/>
  </cols>
  <sheetData>
    <row r="1" spans="2:41" s="111" customFormat="1">
      <c r="B1" s="8" t="s">
        <v>235</v>
      </c>
    </row>
    <row r="2" spans="2:41" s="111" customFormat="1"/>
    <row r="3" spans="2:41" s="232" customFormat="1" ht="16" thickBot="1">
      <c r="B3" s="34"/>
      <c r="C3"/>
      <c r="D3"/>
      <c r="E3"/>
      <c r="F3"/>
      <c r="G3"/>
      <c r="H3"/>
      <c r="I3"/>
      <c r="J3" s="821" t="s">
        <v>783</v>
      </c>
      <c r="K3"/>
      <c r="L3"/>
      <c r="M3"/>
      <c r="N3"/>
      <c r="O3"/>
      <c r="Y3" s="1263">
        <f>C44</f>
        <v>9.4499999999999993</v>
      </c>
      <c r="Z3" s="1264"/>
      <c r="AA3" s="1264"/>
      <c r="AB3" s="1264"/>
      <c r="AC3" s="1265"/>
      <c r="AD3"/>
      <c r="AE3"/>
      <c r="AF3"/>
      <c r="AG3" s="113"/>
      <c r="AH3" s="113"/>
      <c r="AI3" s="113"/>
      <c r="AJ3" s="113"/>
      <c r="AK3" s="113"/>
      <c r="AL3" s="113"/>
      <c r="AM3" s="113"/>
      <c r="AN3" s="113"/>
      <c r="AO3" s="113"/>
    </row>
    <row r="4" spans="2:41" s="232" customFormat="1">
      <c r="B4" s="34" t="s">
        <v>273</v>
      </c>
      <c r="C4" s="291"/>
      <c r="D4" s="291"/>
      <c r="E4" s="291"/>
      <c r="F4" s="291"/>
      <c r="G4" s="291"/>
      <c r="H4" s="291"/>
      <c r="I4" s="291"/>
      <c r="J4" s="821">
        <v>0.2</v>
      </c>
      <c r="Z4" s="34" t="s">
        <v>273</v>
      </c>
      <c r="AA4" s="291"/>
      <c r="AB4" s="291"/>
      <c r="AC4" s="291"/>
      <c r="AD4" s="291"/>
      <c r="AE4" s="291"/>
      <c r="AF4" s="291"/>
      <c r="AG4" s="147"/>
      <c r="AH4" s="147"/>
      <c r="AI4" s="147"/>
      <c r="AJ4" s="147"/>
      <c r="AK4" s="147"/>
      <c r="AL4" s="147"/>
      <c r="AM4" s="147"/>
      <c r="AN4" s="147"/>
      <c r="AO4" s="113"/>
    </row>
    <row r="5" spans="2:41" s="232"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s="148"/>
      <c r="AO5" s="113"/>
    </row>
    <row r="6" spans="2:41" s="232" customFormat="1" ht="16" thickBot="1">
      <c r="B6" s="31"/>
      <c r="C6" s="31"/>
      <c r="D6" s="32"/>
      <c r="E6" s="32"/>
      <c r="F6" s="33"/>
      <c r="G6" s="31"/>
      <c r="H6" s="31"/>
      <c r="I6" s="31"/>
      <c r="J6" s="31"/>
      <c r="K6" s="31"/>
      <c r="L6" s="31"/>
      <c r="M6" s="31"/>
      <c r="N6" s="31"/>
      <c r="O6" s="31"/>
      <c r="Z6" s="31"/>
      <c r="AA6" s="31"/>
      <c r="AB6" s="32"/>
      <c r="AC6" s="32"/>
      <c r="AD6" s="33"/>
      <c r="AE6" s="31"/>
      <c r="AF6" s="31"/>
      <c r="AG6" s="31"/>
      <c r="AH6" s="31"/>
      <c r="AI6" s="31"/>
      <c r="AJ6" s="31"/>
      <c r="AK6" s="31"/>
      <c r="AL6" s="31"/>
      <c r="AM6" s="31"/>
      <c r="AN6" s="149"/>
      <c r="AO6" s="113"/>
    </row>
    <row r="7" spans="2:41" s="232" customFormat="1">
      <c r="B7" s="37"/>
      <c r="C7" s="37"/>
      <c r="D7" s="38"/>
      <c r="E7" s="38"/>
      <c r="F7" s="38" t="s">
        <v>353</v>
      </c>
      <c r="G7" s="38" t="s">
        <v>354</v>
      </c>
      <c r="H7" s="38" t="s">
        <v>355</v>
      </c>
      <c r="I7" s="38"/>
      <c r="J7" s="37" t="s">
        <v>271</v>
      </c>
      <c r="K7" s="37" t="s">
        <v>272</v>
      </c>
      <c r="L7" s="37" t="s">
        <v>272</v>
      </c>
      <c r="M7" s="37" t="s">
        <v>272</v>
      </c>
      <c r="N7" s="37" t="s">
        <v>272</v>
      </c>
      <c r="O7" s="37" t="s">
        <v>272</v>
      </c>
      <c r="P7"/>
      <c r="Z7" s="37"/>
      <c r="AA7" s="37"/>
      <c r="AB7" s="38"/>
      <c r="AC7" s="38"/>
      <c r="AD7" s="38" t="s">
        <v>353</v>
      </c>
      <c r="AE7" s="38" t="s">
        <v>354</v>
      </c>
      <c r="AF7" s="38" t="s">
        <v>355</v>
      </c>
      <c r="AG7" s="38"/>
      <c r="AH7" s="37" t="s">
        <v>271</v>
      </c>
      <c r="AI7" s="37" t="s">
        <v>272</v>
      </c>
      <c r="AJ7" s="37" t="s">
        <v>272</v>
      </c>
      <c r="AK7" s="37" t="s">
        <v>272</v>
      </c>
      <c r="AL7" s="37" t="s">
        <v>272</v>
      </c>
      <c r="AM7" s="37" t="s">
        <v>272</v>
      </c>
      <c r="AN7" s="151"/>
      <c r="AO7" s="113"/>
    </row>
    <row r="8" spans="2:41">
      <c r="B8" s="39">
        <f>C14</f>
        <v>2015</v>
      </c>
      <c r="C8" s="39">
        <f>B8</f>
        <v>2015</v>
      </c>
      <c r="D8" s="39">
        <f>C22/100</f>
        <v>0.97</v>
      </c>
      <c r="E8" s="39">
        <f>C25</f>
        <v>20</v>
      </c>
      <c r="F8" s="226">
        <f>C48</f>
        <v>2.3839999999999999</v>
      </c>
      <c r="G8" s="226">
        <f>C51</f>
        <v>0.15604025000000002</v>
      </c>
      <c r="H8" s="226">
        <f>C52</f>
        <v>0</v>
      </c>
      <c r="I8" s="39"/>
      <c r="J8" s="39">
        <f>$J$4*E19/100</f>
        <v>0.2</v>
      </c>
      <c r="K8" s="39">
        <f>C33</f>
        <v>0</v>
      </c>
      <c r="L8" s="303">
        <f>C34</f>
        <v>20</v>
      </c>
      <c r="M8" s="303">
        <f>C35</f>
        <v>2</v>
      </c>
      <c r="N8" s="350">
        <f>C36</f>
        <v>0</v>
      </c>
      <c r="O8" s="303">
        <f>C37</f>
        <v>0</v>
      </c>
      <c r="Z8" s="39">
        <f>AA14</f>
        <v>2015</v>
      </c>
      <c r="AA8" s="39">
        <f>Z8</f>
        <v>2015</v>
      </c>
      <c r="AB8" s="39">
        <f>AA22/100</f>
        <v>1.02</v>
      </c>
      <c r="AC8" s="39">
        <f>AA25</f>
        <v>22</v>
      </c>
      <c r="AD8" s="226">
        <f>AA48</f>
        <v>0.60531250000000003</v>
      </c>
      <c r="AE8" s="226">
        <f>AA51</f>
        <v>2.0941062932194495E-2</v>
      </c>
      <c r="AF8" s="228">
        <f>AA52</f>
        <v>0</v>
      </c>
      <c r="AG8" s="39"/>
      <c r="AH8" s="39"/>
      <c r="AI8" s="39">
        <f>AA33</f>
        <v>0</v>
      </c>
      <c r="AJ8" s="363">
        <f>AA34</f>
        <v>20</v>
      </c>
      <c r="AK8" s="363">
        <f>AA35</f>
        <v>2</v>
      </c>
      <c r="AL8" s="350">
        <f>AA36</f>
        <v>0</v>
      </c>
      <c r="AM8" s="363">
        <f>AA37</f>
        <v>0</v>
      </c>
      <c r="AN8" s="151"/>
      <c r="AO8" s="113"/>
    </row>
    <row r="9" spans="2:41">
      <c r="B9" s="39">
        <f>D14</f>
        <v>2020</v>
      </c>
      <c r="C9" s="39"/>
      <c r="D9" s="39">
        <f>D22/100</f>
        <v>0.97</v>
      </c>
      <c r="E9" s="39">
        <f>D25</f>
        <v>20</v>
      </c>
      <c r="F9" s="226">
        <f>D48</f>
        <v>2.3249930274425501</v>
      </c>
      <c r="G9" s="226">
        <f>D51</f>
        <v>0.15250876421515935</v>
      </c>
      <c r="H9" s="226">
        <f>D52</f>
        <v>0</v>
      </c>
      <c r="I9" s="39"/>
      <c r="J9" s="39">
        <f>$J$4*D19/100</f>
        <v>0.2</v>
      </c>
      <c r="K9" s="39">
        <f>D33</f>
        <v>0</v>
      </c>
      <c r="L9" s="303">
        <f>D34</f>
        <v>10</v>
      </c>
      <c r="M9" s="303">
        <f>D35</f>
        <v>1</v>
      </c>
      <c r="N9" s="350">
        <f>D36</f>
        <v>0</v>
      </c>
      <c r="O9" s="303">
        <f>D37</f>
        <v>0</v>
      </c>
      <c r="Z9" s="39">
        <f>AB14</f>
        <v>2020</v>
      </c>
      <c r="AA9" s="39"/>
      <c r="AB9" s="39">
        <f>AB22/100</f>
        <v>1.03</v>
      </c>
      <c r="AC9" s="39">
        <f>AB25</f>
        <v>22</v>
      </c>
      <c r="AD9" s="226">
        <f>AB48</f>
        <v>0.60531250000000003</v>
      </c>
      <c r="AE9" s="226">
        <f>AB51</f>
        <v>2.0265903545184247E-2</v>
      </c>
      <c r="AF9" s="228">
        <f>AB52</f>
        <v>0</v>
      </c>
      <c r="AG9" s="39"/>
      <c r="AH9" s="39"/>
      <c r="AI9" s="39">
        <f>AB33</f>
        <v>0</v>
      </c>
      <c r="AJ9" s="363">
        <f>AB34</f>
        <v>10</v>
      </c>
      <c r="AK9" s="363">
        <f>AB35</f>
        <v>1</v>
      </c>
      <c r="AL9" s="350">
        <f>AB36</f>
        <v>0</v>
      </c>
      <c r="AM9" s="363">
        <f>AB37</f>
        <v>0</v>
      </c>
      <c r="AN9" s="151"/>
      <c r="AO9" s="113"/>
    </row>
    <row r="10" spans="2:41" s="232" customFormat="1">
      <c r="B10" s="39">
        <f>E14</f>
        <v>2030</v>
      </c>
      <c r="C10" s="39"/>
      <c r="D10" s="39">
        <f>E22/100</f>
        <v>0.98</v>
      </c>
      <c r="E10" s="39">
        <f>E25</f>
        <v>20</v>
      </c>
      <c r="F10" s="226">
        <f>E48</f>
        <v>2.2113244216628942</v>
      </c>
      <c r="G10" s="226">
        <f>E51</f>
        <v>0.14798962635393087</v>
      </c>
      <c r="H10" s="226">
        <f>E52</f>
        <v>0</v>
      </c>
      <c r="I10" s="39"/>
      <c r="J10" s="39">
        <f>$J$4*E19/100</f>
        <v>0.2</v>
      </c>
      <c r="K10" s="39">
        <f>E33</f>
        <v>0</v>
      </c>
      <c r="L10" s="303">
        <f>E34</f>
        <v>5</v>
      </c>
      <c r="M10" s="303">
        <f>E35</f>
        <v>0.5</v>
      </c>
      <c r="N10" s="350">
        <f>E36</f>
        <v>0</v>
      </c>
      <c r="O10" s="303">
        <f>E37</f>
        <v>0</v>
      </c>
      <c r="Z10" s="39">
        <f>AC14</f>
        <v>2030</v>
      </c>
      <c r="AA10" s="39"/>
      <c r="AB10" s="39">
        <f>AC22/100</f>
        <v>1.04</v>
      </c>
      <c r="AC10" s="39">
        <f>AC25</f>
        <v>22</v>
      </c>
      <c r="AD10" s="226">
        <f>AC48</f>
        <v>0.55874999999999997</v>
      </c>
      <c r="AE10" s="226">
        <f>AC51</f>
        <v>1.9296778092332878E-2</v>
      </c>
      <c r="AF10" s="228">
        <f>AC52</f>
        <v>0</v>
      </c>
      <c r="AG10" s="39"/>
      <c r="AH10" s="39"/>
      <c r="AI10" s="39">
        <f>AC33</f>
        <v>0</v>
      </c>
      <c r="AJ10" s="363">
        <f>AC34</f>
        <v>5</v>
      </c>
      <c r="AK10" s="363">
        <f>AC35</f>
        <v>0.5</v>
      </c>
      <c r="AL10" s="350">
        <f>AC36</f>
        <v>0</v>
      </c>
      <c r="AM10" s="363">
        <f>AC37</f>
        <v>0</v>
      </c>
      <c r="AN10" s="151"/>
      <c r="AO10" s="113"/>
    </row>
    <row r="11" spans="2:41" s="232" customFormat="1">
      <c r="B11" s="39">
        <f>F14</f>
        <v>2050</v>
      </c>
      <c r="C11" s="39"/>
      <c r="D11" s="39">
        <f>F22/100</f>
        <v>0.99</v>
      </c>
      <c r="E11" s="39">
        <f>F25</f>
        <v>20</v>
      </c>
      <c r="F11" s="226">
        <f>F48</f>
        <v>2.0003872471234621</v>
      </c>
      <c r="G11" s="226">
        <f>F51</f>
        <v>0.1346123529452164</v>
      </c>
      <c r="H11" s="226">
        <f>F52</f>
        <v>0</v>
      </c>
      <c r="I11" s="39"/>
      <c r="J11" s="39">
        <f>$J$4*F19/100</f>
        <v>0.2</v>
      </c>
      <c r="K11" s="39">
        <f>F33</f>
        <v>0</v>
      </c>
      <c r="L11" s="303">
        <f>F34</f>
        <v>3</v>
      </c>
      <c r="M11" s="303">
        <f>F35</f>
        <v>0.25</v>
      </c>
      <c r="N11" s="350">
        <f>F36</f>
        <v>0</v>
      </c>
      <c r="O11" s="303">
        <f>F37</f>
        <v>0</v>
      </c>
      <c r="Z11" s="39">
        <f>AD14</f>
        <v>2050</v>
      </c>
      <c r="AA11" s="39"/>
      <c r="AB11" s="39">
        <f>AD22/100</f>
        <v>1.04</v>
      </c>
      <c r="AC11" s="39">
        <f>AD25</f>
        <v>22</v>
      </c>
      <c r="AD11" s="226">
        <f>AD48</f>
        <v>0.51218750000000002</v>
      </c>
      <c r="AE11" s="226">
        <f>AD51</f>
        <v>1.8184017586492435E-2</v>
      </c>
      <c r="AF11" s="228">
        <f>AD52</f>
        <v>0</v>
      </c>
      <c r="AG11" s="39"/>
      <c r="AH11" s="39"/>
      <c r="AI11" s="39">
        <f>AD33</f>
        <v>0</v>
      </c>
      <c r="AJ11" s="363">
        <f>AD34</f>
        <v>3</v>
      </c>
      <c r="AK11" s="363">
        <f>AD35</f>
        <v>0.25</v>
      </c>
      <c r="AL11" s="350">
        <f>AD36</f>
        <v>0</v>
      </c>
      <c r="AM11" s="363">
        <f>AD37</f>
        <v>0</v>
      </c>
      <c r="AN11" s="113"/>
      <c r="AO11" s="113"/>
    </row>
    <row r="12" spans="2:41" ht="16" thickBot="1">
      <c r="G12" s="25"/>
    </row>
    <row r="13" spans="2:41" ht="15" customHeight="1" thickBot="1">
      <c r="B13" s="885" t="s">
        <v>0</v>
      </c>
      <c r="C13" s="1289" t="s">
        <v>830</v>
      </c>
      <c r="D13" s="1290"/>
      <c r="E13" s="1290"/>
      <c r="F13" s="1290"/>
      <c r="G13" s="1290"/>
      <c r="H13" s="1290"/>
      <c r="I13" s="1290"/>
      <c r="J13" s="1290"/>
      <c r="K13" s="1290"/>
      <c r="L13" s="1291"/>
      <c r="M13" s="821"/>
      <c r="N13" s="428" t="s">
        <v>0</v>
      </c>
      <c r="O13" s="1269" t="s">
        <v>520</v>
      </c>
      <c r="P13" s="1270"/>
      <c r="Q13" s="1270"/>
      <c r="R13" s="1270"/>
      <c r="S13" s="1270"/>
      <c r="T13" s="1270"/>
      <c r="U13" s="1270"/>
      <c r="V13" s="1270"/>
      <c r="W13" s="1270"/>
      <c r="X13" s="1271"/>
      <c r="Y13" s="821"/>
      <c r="Z13" s="428" t="s">
        <v>0</v>
      </c>
      <c r="AA13" s="1269" t="s">
        <v>521</v>
      </c>
      <c r="AB13" s="1270"/>
      <c r="AC13" s="1270"/>
      <c r="AD13" s="1270"/>
      <c r="AE13" s="1270"/>
      <c r="AF13" s="1270"/>
      <c r="AG13" s="1270"/>
      <c r="AH13" s="1270"/>
      <c r="AI13" s="1270"/>
      <c r="AJ13" s="1271"/>
    </row>
    <row r="14" spans="2:41" ht="15.75" customHeight="1">
      <c r="B14" s="1280"/>
      <c r="C14" s="1282">
        <v>2015</v>
      </c>
      <c r="D14" s="1282">
        <v>2020</v>
      </c>
      <c r="E14" s="1282">
        <v>2030</v>
      </c>
      <c r="F14" s="1282">
        <v>2050</v>
      </c>
      <c r="G14" s="1285" t="s">
        <v>467</v>
      </c>
      <c r="H14" s="1286"/>
      <c r="I14" s="1285" t="s">
        <v>468</v>
      </c>
      <c r="J14" s="1286"/>
      <c r="K14" s="1282" t="s">
        <v>2</v>
      </c>
      <c r="L14" s="1282" t="s">
        <v>3</v>
      </c>
      <c r="M14" s="821"/>
      <c r="N14" s="1280"/>
      <c r="O14" s="1282">
        <v>2015</v>
      </c>
      <c r="P14" s="1282">
        <v>2020</v>
      </c>
      <c r="Q14" s="1282">
        <v>2030</v>
      </c>
      <c r="R14" s="1282">
        <v>2050</v>
      </c>
      <c r="S14" s="1285" t="s">
        <v>467</v>
      </c>
      <c r="T14" s="1286"/>
      <c r="U14" s="1285" t="s">
        <v>468</v>
      </c>
      <c r="V14" s="1286"/>
      <c r="W14" s="1282" t="s">
        <v>2</v>
      </c>
      <c r="X14" s="1282" t="s">
        <v>3</v>
      </c>
      <c r="Y14" s="821"/>
      <c r="Z14" s="1280"/>
      <c r="AA14" s="1282">
        <v>2015</v>
      </c>
      <c r="AB14" s="1282">
        <v>2020</v>
      </c>
      <c r="AC14" s="1282">
        <v>2030</v>
      </c>
      <c r="AD14" s="1282">
        <v>2050</v>
      </c>
      <c r="AE14" s="1285" t="s">
        <v>467</v>
      </c>
      <c r="AF14" s="1286"/>
      <c r="AG14" s="1285" t="s">
        <v>468</v>
      </c>
      <c r="AH14" s="1286"/>
      <c r="AI14" s="1282" t="s">
        <v>2</v>
      </c>
      <c r="AJ14" s="1282" t="s">
        <v>3</v>
      </c>
    </row>
    <row r="15" spans="2:41" ht="16" thickBot="1">
      <c r="B15" s="1281"/>
      <c r="C15" s="1283"/>
      <c r="D15" s="1283"/>
      <c r="E15" s="1283"/>
      <c r="F15" s="1283"/>
      <c r="G15" s="1287"/>
      <c r="H15" s="1288"/>
      <c r="I15" s="1287"/>
      <c r="J15" s="1288"/>
      <c r="K15" s="1283"/>
      <c r="L15" s="1283"/>
      <c r="M15" s="821"/>
      <c r="N15" s="1281"/>
      <c r="O15" s="1283"/>
      <c r="P15" s="1283"/>
      <c r="Q15" s="1283"/>
      <c r="R15" s="1283"/>
      <c r="S15" s="1287"/>
      <c r="T15" s="1288"/>
      <c r="U15" s="1287"/>
      <c r="V15" s="1288"/>
      <c r="W15" s="1283"/>
      <c r="X15" s="1283"/>
      <c r="Y15" s="821"/>
      <c r="Z15" s="1281"/>
      <c r="AA15" s="1283"/>
      <c r="AB15" s="1283"/>
      <c r="AC15" s="1283"/>
      <c r="AD15" s="1283"/>
      <c r="AE15" s="1287"/>
      <c r="AF15" s="1288"/>
      <c r="AG15" s="1287"/>
      <c r="AH15" s="1288"/>
      <c r="AI15" s="1283"/>
      <c r="AJ15" s="1283"/>
    </row>
    <row r="16" spans="2:41" ht="16" thickBot="1">
      <c r="B16" s="882" t="s">
        <v>4</v>
      </c>
      <c r="C16" s="883"/>
      <c r="D16" s="883"/>
      <c r="E16" s="883"/>
      <c r="F16" s="883"/>
      <c r="G16" s="888" t="s">
        <v>469</v>
      </c>
      <c r="H16" s="888" t="s">
        <v>470</v>
      </c>
      <c r="I16" s="888" t="s">
        <v>469</v>
      </c>
      <c r="J16" s="888" t="s">
        <v>470</v>
      </c>
      <c r="K16" s="883"/>
      <c r="L16" s="884"/>
      <c r="M16" s="821"/>
      <c r="N16" s="429" t="s">
        <v>4</v>
      </c>
      <c r="O16" s="430"/>
      <c r="P16" s="430"/>
      <c r="Q16" s="430"/>
      <c r="R16" s="430"/>
      <c r="S16" s="431" t="s">
        <v>469</v>
      </c>
      <c r="T16" s="431" t="s">
        <v>470</v>
      </c>
      <c r="U16" s="431" t="s">
        <v>469</v>
      </c>
      <c r="V16" s="431" t="s">
        <v>470</v>
      </c>
      <c r="W16" s="430"/>
      <c r="X16" s="432"/>
      <c r="Y16" s="821"/>
      <c r="Z16" s="429" t="s">
        <v>4</v>
      </c>
      <c r="AA16" s="430"/>
      <c r="AB16" s="430"/>
      <c r="AC16" s="430"/>
      <c r="AD16" s="430"/>
      <c r="AE16" s="431" t="s">
        <v>469</v>
      </c>
      <c r="AF16" s="431" t="s">
        <v>470</v>
      </c>
      <c r="AG16" s="431" t="s">
        <v>469</v>
      </c>
      <c r="AH16" s="431" t="s">
        <v>470</v>
      </c>
      <c r="AI16" s="430"/>
      <c r="AJ16" s="432"/>
    </row>
    <row r="17" spans="2:36" ht="16" thickBot="1">
      <c r="B17" s="887" t="s">
        <v>5</v>
      </c>
      <c r="C17" s="874">
        <v>10</v>
      </c>
      <c r="D17" s="874">
        <v>10</v>
      </c>
      <c r="E17" s="874">
        <v>10</v>
      </c>
      <c r="F17" s="874">
        <v>10</v>
      </c>
      <c r="G17" s="874">
        <v>5</v>
      </c>
      <c r="H17" s="874">
        <v>35</v>
      </c>
      <c r="I17" s="874">
        <v>5</v>
      </c>
      <c r="J17" s="874">
        <v>35</v>
      </c>
      <c r="K17" s="886" t="s">
        <v>471</v>
      </c>
      <c r="L17" s="886"/>
      <c r="M17" s="821"/>
      <c r="N17" s="864" t="s">
        <v>5</v>
      </c>
      <c r="O17" s="321">
        <v>400</v>
      </c>
      <c r="P17" s="321">
        <v>400</v>
      </c>
      <c r="Q17" s="321">
        <v>400</v>
      </c>
      <c r="R17" s="321">
        <v>400</v>
      </c>
      <c r="S17" s="322">
        <v>70</v>
      </c>
      <c r="T17" s="322">
        <v>750</v>
      </c>
      <c r="U17" s="322">
        <v>70</v>
      </c>
      <c r="V17" s="322">
        <v>750</v>
      </c>
      <c r="W17" s="322"/>
      <c r="X17" s="322"/>
      <c r="Y17" s="449"/>
      <c r="Z17" s="864" t="s">
        <v>5</v>
      </c>
      <c r="AA17" s="321">
        <v>160</v>
      </c>
      <c r="AB17" s="321">
        <v>160</v>
      </c>
      <c r="AC17" s="321">
        <v>160</v>
      </c>
      <c r="AD17" s="321">
        <v>160</v>
      </c>
      <c r="AE17" s="322">
        <v>35</v>
      </c>
      <c r="AF17" s="322">
        <v>500</v>
      </c>
      <c r="AG17" s="322">
        <v>35</v>
      </c>
      <c r="AH17" s="322">
        <v>500</v>
      </c>
      <c r="AI17" s="299"/>
      <c r="AJ17" s="299"/>
    </row>
    <row r="18" spans="2:36" ht="15.75" customHeight="1" thickBot="1">
      <c r="B18" s="887" t="s">
        <v>77</v>
      </c>
      <c r="C18" s="874" t="s">
        <v>487</v>
      </c>
      <c r="D18" s="874" t="s">
        <v>487</v>
      </c>
      <c r="E18" s="874" t="s">
        <v>487</v>
      </c>
      <c r="F18" s="874" t="s">
        <v>487</v>
      </c>
      <c r="G18" s="874" t="s">
        <v>487</v>
      </c>
      <c r="H18" s="874" t="s">
        <v>487</v>
      </c>
      <c r="I18" s="874" t="s">
        <v>487</v>
      </c>
      <c r="J18" s="874" t="s">
        <v>487</v>
      </c>
      <c r="K18" s="886"/>
      <c r="L18" s="886"/>
      <c r="M18" s="821"/>
      <c r="N18" s="864" t="s">
        <v>77</v>
      </c>
      <c r="O18" s="865" t="s">
        <v>487</v>
      </c>
      <c r="P18" s="865" t="s">
        <v>487</v>
      </c>
      <c r="Q18" s="865" t="s">
        <v>487</v>
      </c>
      <c r="R18" s="865" t="s">
        <v>487</v>
      </c>
      <c r="S18" s="865" t="s">
        <v>487</v>
      </c>
      <c r="T18" s="865" t="s">
        <v>487</v>
      </c>
      <c r="U18" s="865" t="s">
        <v>487</v>
      </c>
      <c r="V18" s="865" t="s">
        <v>487</v>
      </c>
      <c r="W18" s="865"/>
      <c r="X18" s="865"/>
      <c r="Y18" s="449"/>
      <c r="Z18" s="864" t="s">
        <v>77</v>
      </c>
      <c r="AA18" s="865" t="s">
        <v>487</v>
      </c>
      <c r="AB18" s="865" t="s">
        <v>487</v>
      </c>
      <c r="AC18" s="865" t="s">
        <v>487</v>
      </c>
      <c r="AD18" s="865" t="s">
        <v>487</v>
      </c>
      <c r="AE18" s="865" t="s">
        <v>487</v>
      </c>
      <c r="AF18" s="865" t="s">
        <v>487</v>
      </c>
      <c r="AG18" s="865" t="s">
        <v>487</v>
      </c>
      <c r="AH18" s="865" t="s">
        <v>487</v>
      </c>
      <c r="AI18" s="866"/>
      <c r="AJ18" s="866"/>
    </row>
    <row r="19" spans="2:36" ht="25" thickBot="1">
      <c r="B19" s="887" t="s">
        <v>7</v>
      </c>
      <c r="C19" s="874">
        <v>100</v>
      </c>
      <c r="D19" s="874">
        <v>100</v>
      </c>
      <c r="E19" s="874">
        <v>100</v>
      </c>
      <c r="F19" s="874">
        <v>100</v>
      </c>
      <c r="G19" s="874">
        <v>100</v>
      </c>
      <c r="H19" s="874">
        <v>100</v>
      </c>
      <c r="I19" s="874">
        <v>100</v>
      </c>
      <c r="J19" s="874">
        <v>100</v>
      </c>
      <c r="K19" s="886"/>
      <c r="L19" s="886"/>
      <c r="M19" s="821"/>
      <c r="N19" s="864" t="s">
        <v>7</v>
      </c>
      <c r="O19" s="865">
        <v>100</v>
      </c>
      <c r="P19" s="865">
        <v>100</v>
      </c>
      <c r="Q19" s="865">
        <v>100</v>
      </c>
      <c r="R19" s="865">
        <v>100</v>
      </c>
      <c r="S19" s="865">
        <v>100</v>
      </c>
      <c r="T19" s="865">
        <v>100</v>
      </c>
      <c r="U19" s="865">
        <v>100</v>
      </c>
      <c r="V19" s="865">
        <v>100</v>
      </c>
      <c r="W19" s="865"/>
      <c r="X19" s="865"/>
      <c r="Y19" s="449"/>
      <c r="Z19" s="864" t="s">
        <v>7</v>
      </c>
      <c r="AA19" s="865">
        <v>100</v>
      </c>
      <c r="AB19" s="865">
        <v>100</v>
      </c>
      <c r="AC19" s="865">
        <v>100</v>
      </c>
      <c r="AD19" s="865">
        <v>100</v>
      </c>
      <c r="AE19" s="865">
        <v>100</v>
      </c>
      <c r="AF19" s="865">
        <v>100</v>
      </c>
      <c r="AG19" s="865">
        <v>100</v>
      </c>
      <c r="AH19" s="865">
        <v>100</v>
      </c>
      <c r="AI19" s="866"/>
      <c r="AJ19" s="866"/>
    </row>
    <row r="20" spans="2:36" ht="15.75" customHeight="1" thickBot="1">
      <c r="B20" s="887" t="s">
        <v>8</v>
      </c>
      <c r="C20" s="874">
        <v>100</v>
      </c>
      <c r="D20" s="874">
        <v>100</v>
      </c>
      <c r="E20" s="874">
        <v>100</v>
      </c>
      <c r="F20" s="874">
        <v>100</v>
      </c>
      <c r="G20" s="874">
        <v>100</v>
      </c>
      <c r="H20" s="874">
        <v>100</v>
      </c>
      <c r="I20" s="874">
        <v>100</v>
      </c>
      <c r="J20" s="874">
        <v>100</v>
      </c>
      <c r="K20" s="886"/>
      <c r="L20" s="886"/>
      <c r="M20" s="821"/>
      <c r="N20" s="864" t="s">
        <v>8</v>
      </c>
      <c r="O20" s="865">
        <v>100</v>
      </c>
      <c r="P20" s="865">
        <v>100</v>
      </c>
      <c r="Q20" s="865">
        <v>100</v>
      </c>
      <c r="R20" s="865">
        <v>100</v>
      </c>
      <c r="S20" s="865">
        <v>100</v>
      </c>
      <c r="T20" s="865">
        <v>100</v>
      </c>
      <c r="U20" s="865">
        <v>100</v>
      </c>
      <c r="V20" s="865">
        <v>100</v>
      </c>
      <c r="W20" s="865"/>
      <c r="X20" s="865"/>
      <c r="Y20" s="449"/>
      <c r="Z20" s="864" t="s">
        <v>8</v>
      </c>
      <c r="AA20" s="865">
        <v>100</v>
      </c>
      <c r="AB20" s="865">
        <v>100</v>
      </c>
      <c r="AC20" s="865">
        <v>100</v>
      </c>
      <c r="AD20" s="865">
        <v>100</v>
      </c>
      <c r="AE20" s="865">
        <v>100</v>
      </c>
      <c r="AF20" s="865">
        <v>100</v>
      </c>
      <c r="AG20" s="865">
        <v>100</v>
      </c>
      <c r="AH20" s="865">
        <v>100</v>
      </c>
      <c r="AI20" s="866"/>
      <c r="AJ20" s="866"/>
    </row>
    <row r="21" spans="2:36" ht="16" thickBot="1">
      <c r="B21" s="887" t="s">
        <v>82</v>
      </c>
      <c r="C21" s="874" t="s">
        <v>487</v>
      </c>
      <c r="D21" s="874" t="s">
        <v>487</v>
      </c>
      <c r="E21" s="874" t="s">
        <v>487</v>
      </c>
      <c r="F21" s="874" t="s">
        <v>487</v>
      </c>
      <c r="G21" s="874" t="s">
        <v>487</v>
      </c>
      <c r="H21" s="874" t="s">
        <v>487</v>
      </c>
      <c r="I21" s="874" t="s">
        <v>487</v>
      </c>
      <c r="J21" s="874" t="s">
        <v>487</v>
      </c>
      <c r="K21" s="886"/>
      <c r="L21" s="886"/>
      <c r="M21" s="821"/>
      <c r="N21" s="864" t="s">
        <v>82</v>
      </c>
      <c r="O21" s="865" t="s">
        <v>487</v>
      </c>
      <c r="P21" s="865" t="s">
        <v>487</v>
      </c>
      <c r="Q21" s="865" t="s">
        <v>487</v>
      </c>
      <c r="R21" s="865" t="s">
        <v>487</v>
      </c>
      <c r="S21" s="865" t="s">
        <v>487</v>
      </c>
      <c r="T21" s="865" t="s">
        <v>487</v>
      </c>
      <c r="U21" s="865" t="s">
        <v>487</v>
      </c>
      <c r="V21" s="865" t="s">
        <v>487</v>
      </c>
      <c r="W21" s="865"/>
      <c r="X21" s="865"/>
      <c r="Y21" s="449"/>
      <c r="Z21" s="864" t="s">
        <v>82</v>
      </c>
      <c r="AA21" s="865" t="s">
        <v>487</v>
      </c>
      <c r="AB21" s="865" t="s">
        <v>487</v>
      </c>
      <c r="AC21" s="865" t="s">
        <v>487</v>
      </c>
      <c r="AD21" s="865" t="s">
        <v>487</v>
      </c>
      <c r="AE21" s="865" t="s">
        <v>487</v>
      </c>
      <c r="AF21" s="865" t="s">
        <v>487</v>
      </c>
      <c r="AG21" s="865" t="s">
        <v>487</v>
      </c>
      <c r="AH21" s="865" t="s">
        <v>487</v>
      </c>
      <c r="AI21" s="866"/>
      <c r="AJ21" s="866"/>
    </row>
    <row r="22" spans="2:36" ht="16" thickBot="1">
      <c r="B22" s="887" t="s">
        <v>86</v>
      </c>
      <c r="C22" s="874">
        <v>97</v>
      </c>
      <c r="D22" s="874">
        <v>97</v>
      </c>
      <c r="E22" s="874">
        <v>98</v>
      </c>
      <c r="F22" s="874">
        <v>99</v>
      </c>
      <c r="G22" s="874">
        <v>95</v>
      </c>
      <c r="H22" s="874">
        <v>100</v>
      </c>
      <c r="I22" s="874">
        <v>98</v>
      </c>
      <c r="J22" s="874">
        <v>102</v>
      </c>
      <c r="K22" s="886" t="s">
        <v>63</v>
      </c>
      <c r="L22" s="874">
        <v>1.28</v>
      </c>
      <c r="M22" s="821"/>
      <c r="N22" s="864" t="s">
        <v>86</v>
      </c>
      <c r="O22" s="865">
        <v>102</v>
      </c>
      <c r="P22" s="865">
        <v>103</v>
      </c>
      <c r="Q22" s="865">
        <v>104</v>
      </c>
      <c r="R22" s="865">
        <v>104</v>
      </c>
      <c r="S22" s="865">
        <v>100</v>
      </c>
      <c r="T22" s="865">
        <v>104</v>
      </c>
      <c r="U22" s="865">
        <v>103</v>
      </c>
      <c r="V22" s="865">
        <v>105</v>
      </c>
      <c r="W22" s="865" t="s">
        <v>522</v>
      </c>
      <c r="X22" s="865">
        <v>1.28</v>
      </c>
      <c r="Y22" s="449"/>
      <c r="Z22" s="864" t="s">
        <v>86</v>
      </c>
      <c r="AA22" s="865">
        <v>102</v>
      </c>
      <c r="AB22" s="865">
        <v>103</v>
      </c>
      <c r="AC22" s="865">
        <v>104</v>
      </c>
      <c r="AD22" s="865">
        <v>104</v>
      </c>
      <c r="AE22" s="865">
        <v>100</v>
      </c>
      <c r="AF22" s="865">
        <v>104</v>
      </c>
      <c r="AG22" s="865">
        <v>103</v>
      </c>
      <c r="AH22" s="865">
        <v>105</v>
      </c>
      <c r="AI22" s="344" t="s">
        <v>522</v>
      </c>
      <c r="AJ22" s="865">
        <v>1.28</v>
      </c>
    </row>
    <row r="23" spans="2:36" ht="16" thickBot="1">
      <c r="B23" s="887" t="s">
        <v>9</v>
      </c>
      <c r="C23" s="874">
        <v>97</v>
      </c>
      <c r="D23" s="874">
        <v>97</v>
      </c>
      <c r="E23" s="874">
        <v>98</v>
      </c>
      <c r="F23" s="874">
        <v>99</v>
      </c>
      <c r="G23" s="874">
        <v>95</v>
      </c>
      <c r="H23" s="874">
        <v>100</v>
      </c>
      <c r="I23" s="874">
        <v>98</v>
      </c>
      <c r="J23" s="874">
        <v>102</v>
      </c>
      <c r="K23" s="886" t="s">
        <v>63</v>
      </c>
      <c r="L23" s="886">
        <v>1</v>
      </c>
      <c r="M23" s="821"/>
      <c r="N23" s="864" t="s">
        <v>9</v>
      </c>
      <c r="O23" s="865">
        <v>102</v>
      </c>
      <c r="P23" s="865">
        <v>103</v>
      </c>
      <c r="Q23" s="865">
        <v>104</v>
      </c>
      <c r="R23" s="865">
        <v>104</v>
      </c>
      <c r="S23" s="865">
        <v>100</v>
      </c>
      <c r="T23" s="865">
        <v>104</v>
      </c>
      <c r="U23" s="865">
        <v>103</v>
      </c>
      <c r="V23" s="865">
        <v>105</v>
      </c>
      <c r="W23" s="865" t="s">
        <v>522</v>
      </c>
      <c r="X23" s="865">
        <v>1</v>
      </c>
      <c r="Y23" s="449"/>
      <c r="Z23" s="864" t="s">
        <v>9</v>
      </c>
      <c r="AA23" s="865">
        <v>102</v>
      </c>
      <c r="AB23" s="865">
        <v>103</v>
      </c>
      <c r="AC23" s="865">
        <v>104</v>
      </c>
      <c r="AD23" s="865">
        <v>104</v>
      </c>
      <c r="AE23" s="865">
        <v>100</v>
      </c>
      <c r="AF23" s="865">
        <v>104</v>
      </c>
      <c r="AG23" s="865">
        <v>103</v>
      </c>
      <c r="AH23" s="865">
        <v>105</v>
      </c>
      <c r="AI23" s="344" t="s">
        <v>522</v>
      </c>
      <c r="AJ23" s="865">
        <v>1</v>
      </c>
    </row>
    <row r="24" spans="2:36" ht="16" thickBot="1">
      <c r="B24" s="887" t="s">
        <v>472</v>
      </c>
      <c r="C24" s="874">
        <v>150</v>
      </c>
      <c r="D24" s="874">
        <v>140</v>
      </c>
      <c r="E24" s="874">
        <v>130</v>
      </c>
      <c r="F24" s="874">
        <v>110</v>
      </c>
      <c r="G24" s="874">
        <v>100</v>
      </c>
      <c r="H24" s="874">
        <v>160</v>
      </c>
      <c r="I24" s="874">
        <v>90</v>
      </c>
      <c r="J24" s="874">
        <v>150</v>
      </c>
      <c r="K24" s="886" t="s">
        <v>473</v>
      </c>
      <c r="L24" s="886">
        <v>28</v>
      </c>
      <c r="M24" s="291"/>
      <c r="N24" s="320" t="s">
        <v>472</v>
      </c>
      <c r="O24" s="321">
        <v>400</v>
      </c>
      <c r="P24" s="322">
        <v>300</v>
      </c>
      <c r="Q24" s="322">
        <v>200</v>
      </c>
      <c r="R24" s="322">
        <v>100</v>
      </c>
      <c r="S24" s="322">
        <v>250</v>
      </c>
      <c r="T24" s="322">
        <v>350</v>
      </c>
      <c r="U24" s="322">
        <v>50</v>
      </c>
      <c r="V24" s="322">
        <v>150</v>
      </c>
      <c r="W24" s="322" t="s">
        <v>473</v>
      </c>
      <c r="X24" s="307"/>
      <c r="Y24" s="319"/>
      <c r="Z24" s="320" t="s">
        <v>472</v>
      </c>
      <c r="AA24" s="321">
        <v>400</v>
      </c>
      <c r="AB24" s="322">
        <v>300</v>
      </c>
      <c r="AC24" s="322">
        <v>200</v>
      </c>
      <c r="AD24" s="322">
        <v>100</v>
      </c>
      <c r="AE24" s="322">
        <v>250</v>
      </c>
      <c r="AF24" s="322">
        <v>350</v>
      </c>
      <c r="AG24" s="322">
        <v>50</v>
      </c>
      <c r="AH24" s="322">
        <v>150</v>
      </c>
      <c r="AI24" s="322" t="s">
        <v>473</v>
      </c>
      <c r="AJ24" s="307"/>
    </row>
    <row r="25" spans="2:36" ht="16" thickBot="1">
      <c r="B25" s="887" t="s">
        <v>10</v>
      </c>
      <c r="C25" s="874">
        <v>20</v>
      </c>
      <c r="D25" s="874">
        <v>20</v>
      </c>
      <c r="E25" s="874">
        <v>20</v>
      </c>
      <c r="F25" s="874">
        <v>20</v>
      </c>
      <c r="G25" s="874">
        <v>15</v>
      </c>
      <c r="H25" s="874">
        <v>25</v>
      </c>
      <c r="I25" s="874">
        <v>15</v>
      </c>
      <c r="J25" s="874">
        <v>25</v>
      </c>
      <c r="K25" s="886"/>
      <c r="L25" s="886">
        <v>2</v>
      </c>
      <c r="M25" s="291"/>
      <c r="N25" s="320" t="s">
        <v>10</v>
      </c>
      <c r="O25" s="313">
        <v>22</v>
      </c>
      <c r="P25" s="307">
        <v>22</v>
      </c>
      <c r="Q25" s="307">
        <v>22</v>
      </c>
      <c r="R25" s="307">
        <v>22</v>
      </c>
      <c r="S25" s="307">
        <v>15</v>
      </c>
      <c r="T25" s="307">
        <v>25</v>
      </c>
      <c r="U25" s="307">
        <v>15</v>
      </c>
      <c r="V25" s="307">
        <v>25</v>
      </c>
      <c r="W25" s="307"/>
      <c r="X25" s="307">
        <v>2</v>
      </c>
      <c r="Y25" s="319"/>
      <c r="Z25" s="320" t="s">
        <v>10</v>
      </c>
      <c r="AA25" s="313">
        <v>22</v>
      </c>
      <c r="AB25" s="307">
        <v>22</v>
      </c>
      <c r="AC25" s="307">
        <v>22</v>
      </c>
      <c r="AD25" s="307">
        <v>22</v>
      </c>
      <c r="AE25" s="307">
        <v>15</v>
      </c>
      <c r="AF25" s="307">
        <v>25</v>
      </c>
      <c r="AG25" s="307">
        <v>15</v>
      </c>
      <c r="AH25" s="307">
        <v>25</v>
      </c>
      <c r="AI25" s="307"/>
      <c r="AJ25" s="307">
        <v>2</v>
      </c>
    </row>
    <row r="26" spans="2:36" ht="16" thickBot="1">
      <c r="B26" s="882" t="s">
        <v>488</v>
      </c>
      <c r="C26" s="873"/>
      <c r="D26" s="873"/>
      <c r="E26" s="873"/>
      <c r="F26" s="873"/>
      <c r="G26" s="873"/>
      <c r="H26" s="873"/>
      <c r="I26" s="873"/>
      <c r="J26" s="873"/>
      <c r="K26" s="890"/>
      <c r="L26" s="886"/>
      <c r="M26" s="291"/>
      <c r="N26" s="323" t="s">
        <v>488</v>
      </c>
      <c r="O26" s="308"/>
      <c r="P26" s="308"/>
      <c r="Q26" s="308"/>
      <c r="R26" s="308"/>
      <c r="S26" s="308"/>
      <c r="T26" s="308"/>
      <c r="U26" s="308"/>
      <c r="V26" s="308"/>
      <c r="W26" s="308"/>
      <c r="X26" s="307"/>
      <c r="Y26" s="319"/>
      <c r="Z26" s="323" t="s">
        <v>488</v>
      </c>
      <c r="AA26" s="308"/>
      <c r="AB26" s="308"/>
      <c r="AC26" s="308"/>
      <c r="AD26" s="308"/>
      <c r="AE26" s="308"/>
      <c r="AF26" s="308"/>
      <c r="AG26" s="308"/>
      <c r="AH26" s="308"/>
      <c r="AI26" s="308"/>
      <c r="AJ26" s="307"/>
    </row>
    <row r="27" spans="2:36" ht="16" thickBot="1">
      <c r="B27" s="887" t="s">
        <v>489</v>
      </c>
      <c r="C27" s="874" t="s">
        <v>487</v>
      </c>
      <c r="D27" s="874" t="s">
        <v>487</v>
      </c>
      <c r="E27" s="874" t="s">
        <v>487</v>
      </c>
      <c r="F27" s="874" t="s">
        <v>487</v>
      </c>
      <c r="G27" s="874" t="s">
        <v>487</v>
      </c>
      <c r="H27" s="874" t="s">
        <v>487</v>
      </c>
      <c r="I27" s="874" t="s">
        <v>487</v>
      </c>
      <c r="J27" s="874" t="s">
        <v>487</v>
      </c>
      <c r="K27" s="891" t="s">
        <v>279</v>
      </c>
      <c r="L27" s="892"/>
      <c r="M27" s="291"/>
      <c r="N27" s="320" t="s">
        <v>489</v>
      </c>
      <c r="O27" s="307" t="s">
        <v>487</v>
      </c>
      <c r="P27" s="307" t="s">
        <v>487</v>
      </c>
      <c r="Q27" s="307" t="s">
        <v>487</v>
      </c>
      <c r="R27" s="307" t="s">
        <v>487</v>
      </c>
      <c r="S27" s="307" t="s">
        <v>487</v>
      </c>
      <c r="T27" s="307" t="s">
        <v>487</v>
      </c>
      <c r="U27" s="307" t="s">
        <v>487</v>
      </c>
      <c r="V27" s="307" t="s">
        <v>487</v>
      </c>
      <c r="W27" s="321" t="s">
        <v>279</v>
      </c>
      <c r="X27" s="307"/>
      <c r="Y27" s="319"/>
      <c r="Z27" s="320" t="s">
        <v>489</v>
      </c>
      <c r="AA27" s="307" t="s">
        <v>487</v>
      </c>
      <c r="AB27" s="307" t="s">
        <v>487</v>
      </c>
      <c r="AC27" s="307" t="s">
        <v>487</v>
      </c>
      <c r="AD27" s="307" t="s">
        <v>487</v>
      </c>
      <c r="AE27" s="307" t="s">
        <v>487</v>
      </c>
      <c r="AF27" s="307" t="s">
        <v>487</v>
      </c>
      <c r="AG27" s="307" t="s">
        <v>487</v>
      </c>
      <c r="AH27" s="307" t="s">
        <v>487</v>
      </c>
      <c r="AI27" s="321" t="s">
        <v>279</v>
      </c>
      <c r="AJ27" s="307"/>
    </row>
    <row r="28" spans="2:36" ht="16" thickBot="1">
      <c r="B28" s="887" t="s">
        <v>490</v>
      </c>
      <c r="C28" s="874" t="s">
        <v>487</v>
      </c>
      <c r="D28" s="874" t="s">
        <v>487</v>
      </c>
      <c r="E28" s="874" t="s">
        <v>487</v>
      </c>
      <c r="F28" s="874" t="s">
        <v>487</v>
      </c>
      <c r="G28" s="874" t="s">
        <v>487</v>
      </c>
      <c r="H28" s="874" t="s">
        <v>487</v>
      </c>
      <c r="I28" s="874" t="s">
        <v>487</v>
      </c>
      <c r="J28" s="874" t="s">
        <v>487</v>
      </c>
      <c r="K28" s="891" t="s">
        <v>279</v>
      </c>
      <c r="L28" s="892"/>
      <c r="M28" s="291"/>
      <c r="N28" s="320" t="s">
        <v>490</v>
      </c>
      <c r="O28" s="307" t="s">
        <v>487</v>
      </c>
      <c r="P28" s="307" t="s">
        <v>487</v>
      </c>
      <c r="Q28" s="307" t="s">
        <v>487</v>
      </c>
      <c r="R28" s="307" t="s">
        <v>487</v>
      </c>
      <c r="S28" s="307" t="s">
        <v>487</v>
      </c>
      <c r="T28" s="307" t="s">
        <v>487</v>
      </c>
      <c r="U28" s="307" t="s">
        <v>487</v>
      </c>
      <c r="V28" s="307" t="s">
        <v>487</v>
      </c>
      <c r="W28" s="321" t="s">
        <v>279</v>
      </c>
      <c r="X28" s="307"/>
      <c r="Y28" s="319"/>
      <c r="Z28" s="320" t="s">
        <v>490</v>
      </c>
      <c r="AA28" s="307" t="s">
        <v>487</v>
      </c>
      <c r="AB28" s="307" t="s">
        <v>487</v>
      </c>
      <c r="AC28" s="307" t="s">
        <v>487</v>
      </c>
      <c r="AD28" s="307" t="s">
        <v>487</v>
      </c>
      <c r="AE28" s="307" t="s">
        <v>487</v>
      </c>
      <c r="AF28" s="307" t="s">
        <v>487</v>
      </c>
      <c r="AG28" s="307" t="s">
        <v>487</v>
      </c>
      <c r="AH28" s="307" t="s">
        <v>487</v>
      </c>
      <c r="AI28" s="321" t="s">
        <v>279</v>
      </c>
      <c r="AJ28" s="307"/>
    </row>
    <row r="29" spans="2:36" ht="16" thickBot="1">
      <c r="B29" s="887" t="s">
        <v>491</v>
      </c>
      <c r="C29" s="874" t="s">
        <v>487</v>
      </c>
      <c r="D29" s="874" t="s">
        <v>487</v>
      </c>
      <c r="E29" s="874" t="s">
        <v>487</v>
      </c>
      <c r="F29" s="874" t="s">
        <v>487</v>
      </c>
      <c r="G29" s="874" t="s">
        <v>487</v>
      </c>
      <c r="H29" s="874" t="s">
        <v>487</v>
      </c>
      <c r="I29" s="874" t="s">
        <v>487</v>
      </c>
      <c r="J29" s="874" t="s">
        <v>487</v>
      </c>
      <c r="K29" s="891" t="s">
        <v>279</v>
      </c>
      <c r="L29" s="892"/>
      <c r="M29" s="291"/>
      <c r="N29" s="320" t="s">
        <v>491</v>
      </c>
      <c r="O29" s="307" t="s">
        <v>487</v>
      </c>
      <c r="P29" s="307" t="s">
        <v>487</v>
      </c>
      <c r="Q29" s="307" t="s">
        <v>487</v>
      </c>
      <c r="R29" s="307" t="s">
        <v>487</v>
      </c>
      <c r="S29" s="307" t="s">
        <v>487</v>
      </c>
      <c r="T29" s="307" t="s">
        <v>487</v>
      </c>
      <c r="U29" s="307" t="s">
        <v>487</v>
      </c>
      <c r="V29" s="307" t="s">
        <v>487</v>
      </c>
      <c r="W29" s="321" t="s">
        <v>279</v>
      </c>
      <c r="X29" s="307"/>
      <c r="Y29" s="319"/>
      <c r="Z29" s="320" t="s">
        <v>491</v>
      </c>
      <c r="AA29" s="307" t="s">
        <v>487</v>
      </c>
      <c r="AB29" s="307" t="s">
        <v>487</v>
      </c>
      <c r="AC29" s="307" t="s">
        <v>487</v>
      </c>
      <c r="AD29" s="307" t="s">
        <v>487</v>
      </c>
      <c r="AE29" s="307" t="s">
        <v>487</v>
      </c>
      <c r="AF29" s="307" t="s">
        <v>487</v>
      </c>
      <c r="AG29" s="307" t="s">
        <v>487</v>
      </c>
      <c r="AH29" s="307" t="s">
        <v>487</v>
      </c>
      <c r="AI29" s="321" t="s">
        <v>279</v>
      </c>
      <c r="AJ29" s="307"/>
    </row>
    <row r="30" spans="2:36" ht="16" thickBot="1">
      <c r="B30" s="887" t="s">
        <v>492</v>
      </c>
      <c r="C30" s="874" t="s">
        <v>487</v>
      </c>
      <c r="D30" s="874" t="s">
        <v>487</v>
      </c>
      <c r="E30" s="874" t="s">
        <v>487</v>
      </c>
      <c r="F30" s="874" t="s">
        <v>487</v>
      </c>
      <c r="G30" s="874" t="s">
        <v>487</v>
      </c>
      <c r="H30" s="874" t="s">
        <v>487</v>
      </c>
      <c r="I30" s="874" t="s">
        <v>487</v>
      </c>
      <c r="J30" s="874" t="s">
        <v>487</v>
      </c>
      <c r="K30" s="891" t="s">
        <v>279</v>
      </c>
      <c r="L30" s="892"/>
      <c r="M30" s="291"/>
      <c r="N30" s="320" t="s">
        <v>492</v>
      </c>
      <c r="O30" s="307" t="s">
        <v>487</v>
      </c>
      <c r="P30" s="307" t="s">
        <v>487</v>
      </c>
      <c r="Q30" s="307" t="s">
        <v>487</v>
      </c>
      <c r="R30" s="307" t="s">
        <v>487</v>
      </c>
      <c r="S30" s="307" t="s">
        <v>487</v>
      </c>
      <c r="T30" s="307" t="s">
        <v>487</v>
      </c>
      <c r="U30" s="307" t="s">
        <v>487</v>
      </c>
      <c r="V30" s="307" t="s">
        <v>487</v>
      </c>
      <c r="W30" s="321" t="s">
        <v>279</v>
      </c>
      <c r="X30" s="307"/>
      <c r="Y30" s="319"/>
      <c r="Z30" s="320" t="s">
        <v>492</v>
      </c>
      <c r="AA30" s="307" t="s">
        <v>487</v>
      </c>
      <c r="AB30" s="307" t="s">
        <v>487</v>
      </c>
      <c r="AC30" s="307" t="s">
        <v>487</v>
      </c>
      <c r="AD30" s="307" t="s">
        <v>487</v>
      </c>
      <c r="AE30" s="307" t="s">
        <v>487</v>
      </c>
      <c r="AF30" s="307" t="s">
        <v>487</v>
      </c>
      <c r="AG30" s="307" t="s">
        <v>487</v>
      </c>
      <c r="AH30" s="307" t="s">
        <v>487</v>
      </c>
      <c r="AI30" s="321" t="s">
        <v>279</v>
      </c>
      <c r="AJ30" s="307"/>
    </row>
    <row r="31" spans="2:36" ht="16" thickBot="1">
      <c r="B31" s="887" t="s">
        <v>493</v>
      </c>
      <c r="C31" s="874" t="s">
        <v>487</v>
      </c>
      <c r="D31" s="874" t="s">
        <v>487</v>
      </c>
      <c r="E31" s="874" t="s">
        <v>487</v>
      </c>
      <c r="F31" s="874" t="s">
        <v>487</v>
      </c>
      <c r="G31" s="874" t="s">
        <v>487</v>
      </c>
      <c r="H31" s="874" t="s">
        <v>487</v>
      </c>
      <c r="I31" s="874" t="s">
        <v>487</v>
      </c>
      <c r="J31" s="874" t="s">
        <v>487</v>
      </c>
      <c r="K31" s="891" t="s">
        <v>279</v>
      </c>
      <c r="L31" s="892"/>
      <c r="M31" s="291"/>
      <c r="N31" s="320" t="s">
        <v>493</v>
      </c>
      <c r="O31" s="307" t="s">
        <v>487</v>
      </c>
      <c r="P31" s="307" t="s">
        <v>487</v>
      </c>
      <c r="Q31" s="307" t="s">
        <v>487</v>
      </c>
      <c r="R31" s="307" t="s">
        <v>487</v>
      </c>
      <c r="S31" s="307" t="s">
        <v>487</v>
      </c>
      <c r="T31" s="307" t="s">
        <v>487</v>
      </c>
      <c r="U31" s="307" t="s">
        <v>487</v>
      </c>
      <c r="V31" s="307" t="s">
        <v>487</v>
      </c>
      <c r="W31" s="321" t="s">
        <v>279</v>
      </c>
      <c r="X31" s="307"/>
      <c r="Y31" s="319"/>
      <c r="Z31" s="320" t="s">
        <v>493</v>
      </c>
      <c r="AA31" s="307" t="s">
        <v>487</v>
      </c>
      <c r="AB31" s="307" t="s">
        <v>487</v>
      </c>
      <c r="AC31" s="307" t="s">
        <v>487</v>
      </c>
      <c r="AD31" s="307" t="s">
        <v>487</v>
      </c>
      <c r="AE31" s="307" t="s">
        <v>487</v>
      </c>
      <c r="AF31" s="307" t="s">
        <v>487</v>
      </c>
      <c r="AG31" s="307" t="s">
        <v>487</v>
      </c>
      <c r="AH31" s="307" t="s">
        <v>487</v>
      </c>
      <c r="AI31" s="321" t="s">
        <v>279</v>
      </c>
      <c r="AJ31" s="307"/>
    </row>
    <row r="32" spans="2:36" ht="16" thickBot="1">
      <c r="B32" s="882" t="s">
        <v>11</v>
      </c>
      <c r="C32" s="872"/>
      <c r="D32" s="872"/>
      <c r="E32" s="872"/>
      <c r="F32" s="872"/>
      <c r="G32" s="872"/>
      <c r="H32" s="872"/>
      <c r="I32" s="872"/>
      <c r="J32" s="872"/>
      <c r="K32" s="883"/>
      <c r="L32" s="884"/>
      <c r="M32" s="291"/>
      <c r="N32" s="323" t="s">
        <v>11</v>
      </c>
      <c r="O32" s="309"/>
      <c r="P32" s="309"/>
      <c r="Q32" s="309"/>
      <c r="R32" s="309"/>
      <c r="S32" s="309"/>
      <c r="T32" s="309"/>
      <c r="U32" s="309"/>
      <c r="V32" s="309"/>
      <c r="W32" s="309"/>
      <c r="X32" s="324"/>
      <c r="Y32" s="319"/>
      <c r="Z32" s="323" t="s">
        <v>11</v>
      </c>
      <c r="AA32" s="309"/>
      <c r="AB32" s="309"/>
      <c r="AC32" s="309"/>
      <c r="AD32" s="309"/>
      <c r="AE32" s="309"/>
      <c r="AF32" s="309"/>
      <c r="AG32" s="309"/>
      <c r="AH32" s="309"/>
      <c r="AI32" s="309"/>
      <c r="AJ32" s="324"/>
    </row>
    <row r="33" spans="2:36" ht="16" thickBot="1">
      <c r="B33" s="887" t="s">
        <v>474</v>
      </c>
      <c r="C33" s="874">
        <v>0</v>
      </c>
      <c r="D33" s="874">
        <v>0</v>
      </c>
      <c r="E33" s="874">
        <v>0</v>
      </c>
      <c r="F33" s="874">
        <v>0</v>
      </c>
      <c r="G33" s="874">
        <v>0</v>
      </c>
      <c r="H33" s="874">
        <v>0.3</v>
      </c>
      <c r="I33" s="874">
        <v>0</v>
      </c>
      <c r="J33" s="874">
        <v>0.3</v>
      </c>
      <c r="K33" s="889"/>
      <c r="L33" s="889">
        <v>5</v>
      </c>
      <c r="M33" s="291"/>
      <c r="N33" s="320" t="s">
        <v>494</v>
      </c>
      <c r="O33" s="321">
        <v>0</v>
      </c>
      <c r="P33" s="322">
        <v>0</v>
      </c>
      <c r="Q33" s="322">
        <v>0</v>
      </c>
      <c r="R33" s="322">
        <v>0</v>
      </c>
      <c r="S33" s="307">
        <v>0</v>
      </c>
      <c r="T33" s="307">
        <v>0.3</v>
      </c>
      <c r="U33" s="307">
        <v>0</v>
      </c>
      <c r="V33" s="307">
        <v>0.3</v>
      </c>
      <c r="W33" s="322" t="s">
        <v>523</v>
      </c>
      <c r="X33" s="322">
        <v>5</v>
      </c>
      <c r="Y33" s="319"/>
      <c r="Z33" s="320" t="s">
        <v>494</v>
      </c>
      <c r="AA33" s="321">
        <v>0</v>
      </c>
      <c r="AB33" s="322">
        <v>0</v>
      </c>
      <c r="AC33" s="322">
        <v>0</v>
      </c>
      <c r="AD33" s="322">
        <v>0</v>
      </c>
      <c r="AE33" s="307">
        <v>0</v>
      </c>
      <c r="AF33" s="307">
        <v>0.3</v>
      </c>
      <c r="AG33" s="307">
        <v>0</v>
      </c>
      <c r="AH33" s="307">
        <v>0.3</v>
      </c>
      <c r="AI33" s="322" t="s">
        <v>523</v>
      </c>
      <c r="AJ33" s="322">
        <v>5</v>
      </c>
    </row>
    <row r="34" spans="2:36" ht="16" thickBot="1">
      <c r="B34" s="887" t="s">
        <v>475</v>
      </c>
      <c r="C34" s="874">
        <v>20</v>
      </c>
      <c r="D34" s="874">
        <v>10</v>
      </c>
      <c r="E34" s="874">
        <v>5</v>
      </c>
      <c r="F34" s="874">
        <v>3</v>
      </c>
      <c r="G34" s="874">
        <v>5</v>
      </c>
      <c r="H34" s="874">
        <v>15</v>
      </c>
      <c r="I34" s="874">
        <v>0.2</v>
      </c>
      <c r="J34" s="874">
        <v>0.3</v>
      </c>
      <c r="K34" s="886" t="s">
        <v>36</v>
      </c>
      <c r="L34" s="886">
        <v>3.7</v>
      </c>
      <c r="M34" s="291"/>
      <c r="N34" s="320" t="s">
        <v>495</v>
      </c>
      <c r="O34" s="313">
        <v>20</v>
      </c>
      <c r="P34" s="307">
        <v>10</v>
      </c>
      <c r="Q34" s="307">
        <v>5</v>
      </c>
      <c r="R34" s="307">
        <v>3</v>
      </c>
      <c r="S34" s="307">
        <v>5</v>
      </c>
      <c r="T34" s="307">
        <v>15</v>
      </c>
      <c r="U34" s="307">
        <v>0.2</v>
      </c>
      <c r="V34" s="307">
        <v>0.3</v>
      </c>
      <c r="W34" s="307" t="s">
        <v>523</v>
      </c>
      <c r="X34" s="307">
        <v>3.7</v>
      </c>
      <c r="Y34" s="319"/>
      <c r="Z34" s="320" t="s">
        <v>495</v>
      </c>
      <c r="AA34" s="313">
        <v>20</v>
      </c>
      <c r="AB34" s="307">
        <v>10</v>
      </c>
      <c r="AC34" s="307">
        <v>5</v>
      </c>
      <c r="AD34" s="307">
        <v>3</v>
      </c>
      <c r="AE34" s="307">
        <v>5</v>
      </c>
      <c r="AF34" s="307">
        <v>15</v>
      </c>
      <c r="AG34" s="307">
        <v>0.2</v>
      </c>
      <c r="AH34" s="307">
        <v>0.3</v>
      </c>
      <c r="AI34" s="307" t="s">
        <v>523</v>
      </c>
      <c r="AJ34" s="307">
        <v>3.7</v>
      </c>
    </row>
    <row r="35" spans="2:36" ht="16" thickBot="1">
      <c r="B35" s="887" t="s">
        <v>476</v>
      </c>
      <c r="C35" s="874">
        <v>2</v>
      </c>
      <c r="D35" s="874">
        <v>1</v>
      </c>
      <c r="E35" s="874">
        <v>0.5</v>
      </c>
      <c r="F35" s="874">
        <v>0.25</v>
      </c>
      <c r="G35" s="874">
        <v>0.5</v>
      </c>
      <c r="H35" s="874">
        <v>2</v>
      </c>
      <c r="I35" s="874">
        <v>0.1</v>
      </c>
      <c r="J35" s="874">
        <v>0.5</v>
      </c>
      <c r="K35" s="886" t="s">
        <v>23</v>
      </c>
      <c r="L35" s="886">
        <v>5</v>
      </c>
      <c r="M35" s="291"/>
      <c r="N35" s="320" t="s">
        <v>496</v>
      </c>
      <c r="O35" s="313">
        <v>2</v>
      </c>
      <c r="P35" s="307">
        <v>1</v>
      </c>
      <c r="Q35" s="325">
        <v>0.5</v>
      </c>
      <c r="R35" s="307">
        <v>0.25</v>
      </c>
      <c r="S35" s="307">
        <v>0.5</v>
      </c>
      <c r="T35" s="307">
        <v>2</v>
      </c>
      <c r="U35" s="307">
        <v>0.1</v>
      </c>
      <c r="V35" s="307">
        <v>0.5</v>
      </c>
      <c r="W35" s="307" t="s">
        <v>524</v>
      </c>
      <c r="X35" s="307">
        <v>5</v>
      </c>
      <c r="Y35" s="319"/>
      <c r="Z35" s="320" t="s">
        <v>496</v>
      </c>
      <c r="AA35" s="313">
        <v>2</v>
      </c>
      <c r="AB35" s="307">
        <v>1</v>
      </c>
      <c r="AC35" s="325">
        <v>0.5</v>
      </c>
      <c r="AD35" s="307">
        <v>0.25</v>
      </c>
      <c r="AE35" s="307">
        <v>0.5</v>
      </c>
      <c r="AF35" s="307">
        <v>2</v>
      </c>
      <c r="AG35" s="307">
        <v>0.1</v>
      </c>
      <c r="AH35" s="307">
        <v>0.5</v>
      </c>
      <c r="AI35" s="307" t="s">
        <v>524</v>
      </c>
      <c r="AJ35" s="307">
        <v>5</v>
      </c>
    </row>
    <row r="36" spans="2:36" s="182" customFormat="1" ht="16" thickBot="1">
      <c r="B36" s="887" t="s">
        <v>477</v>
      </c>
      <c r="C36" s="874">
        <v>0</v>
      </c>
      <c r="D36" s="874">
        <v>0</v>
      </c>
      <c r="E36" s="874">
        <v>0</v>
      </c>
      <c r="F36" s="874">
        <v>0</v>
      </c>
      <c r="G36" s="874">
        <v>0</v>
      </c>
      <c r="H36" s="874">
        <v>1</v>
      </c>
      <c r="I36" s="874">
        <v>0</v>
      </c>
      <c r="J36" s="874">
        <v>1</v>
      </c>
      <c r="K36" s="886"/>
      <c r="L36" s="886"/>
      <c r="M36" s="291"/>
      <c r="N36" s="320" t="s">
        <v>497</v>
      </c>
      <c r="O36" s="313">
        <v>0</v>
      </c>
      <c r="P36" s="313">
        <v>0</v>
      </c>
      <c r="Q36" s="313">
        <v>0</v>
      </c>
      <c r="R36" s="313">
        <v>0</v>
      </c>
      <c r="S36" s="307">
        <v>0</v>
      </c>
      <c r="T36" s="307">
        <v>1</v>
      </c>
      <c r="U36" s="307">
        <v>0</v>
      </c>
      <c r="V36" s="307">
        <v>1</v>
      </c>
      <c r="W36" s="307" t="s">
        <v>523</v>
      </c>
      <c r="X36" s="307"/>
      <c r="Y36" s="319"/>
      <c r="Z36" s="320" t="s">
        <v>497</v>
      </c>
      <c r="AA36" s="313">
        <v>0</v>
      </c>
      <c r="AB36" s="313">
        <v>0</v>
      </c>
      <c r="AC36" s="313">
        <v>0</v>
      </c>
      <c r="AD36" s="313">
        <v>0</v>
      </c>
      <c r="AE36" s="307">
        <v>0</v>
      </c>
      <c r="AF36" s="307">
        <v>1</v>
      </c>
      <c r="AG36" s="307">
        <v>0</v>
      </c>
      <c r="AH36" s="307">
        <v>1</v>
      </c>
      <c r="AI36" s="307" t="s">
        <v>523</v>
      </c>
      <c r="AJ36" s="307"/>
    </row>
    <row r="37" spans="2:36" s="182" customFormat="1" ht="16" thickBot="1">
      <c r="B37" s="887" t="s">
        <v>18</v>
      </c>
      <c r="C37" s="874">
        <v>0</v>
      </c>
      <c r="D37" s="874">
        <v>0</v>
      </c>
      <c r="E37" s="874">
        <v>0</v>
      </c>
      <c r="F37" s="874">
        <v>0</v>
      </c>
      <c r="G37" s="874">
        <v>0</v>
      </c>
      <c r="H37" s="874">
        <v>0.1</v>
      </c>
      <c r="I37" s="874">
        <v>0</v>
      </c>
      <c r="J37" s="874">
        <v>0.1</v>
      </c>
      <c r="K37" s="886"/>
      <c r="L37" s="886"/>
      <c r="M37" s="291"/>
      <c r="N37" s="320" t="s">
        <v>18</v>
      </c>
      <c r="O37" s="313">
        <v>0</v>
      </c>
      <c r="P37" s="313">
        <v>0</v>
      </c>
      <c r="Q37" s="313">
        <v>0</v>
      </c>
      <c r="R37" s="313">
        <v>0</v>
      </c>
      <c r="S37" s="307">
        <v>0</v>
      </c>
      <c r="T37" s="307">
        <v>0.1</v>
      </c>
      <c r="U37" s="307">
        <v>0</v>
      </c>
      <c r="V37" s="307">
        <v>0.1</v>
      </c>
      <c r="W37" s="307" t="s">
        <v>523</v>
      </c>
      <c r="X37" s="307"/>
      <c r="Y37" s="319"/>
      <c r="Z37" s="320" t="s">
        <v>18</v>
      </c>
      <c r="AA37" s="313">
        <v>0</v>
      </c>
      <c r="AB37" s="313">
        <v>0</v>
      </c>
      <c r="AC37" s="313">
        <v>0</v>
      </c>
      <c r="AD37" s="313">
        <v>0</v>
      </c>
      <c r="AE37" s="307">
        <v>0</v>
      </c>
      <c r="AF37" s="307">
        <v>0.1</v>
      </c>
      <c r="AG37" s="307">
        <v>0</v>
      </c>
      <c r="AH37" s="307">
        <v>0.1</v>
      </c>
      <c r="AI37" s="307" t="s">
        <v>523</v>
      </c>
      <c r="AJ37" s="307"/>
    </row>
    <row r="38" spans="2:36" ht="16" thickBot="1">
      <c r="B38" s="882" t="s">
        <v>20</v>
      </c>
      <c r="C38" s="872"/>
      <c r="D38" s="872"/>
      <c r="E38" s="872"/>
      <c r="F38" s="872"/>
      <c r="G38" s="872"/>
      <c r="H38" s="872"/>
      <c r="I38" s="872"/>
      <c r="J38" s="872"/>
      <c r="K38" s="883"/>
      <c r="L38" s="884"/>
      <c r="M38" s="291"/>
      <c r="N38" s="323" t="s">
        <v>20</v>
      </c>
      <c r="O38" s="309"/>
      <c r="P38" s="309"/>
      <c r="Q38" s="309"/>
      <c r="R38" s="309"/>
      <c r="S38" s="326"/>
      <c r="T38" s="326"/>
      <c r="U38" s="326"/>
      <c r="V38" s="326"/>
      <c r="W38" s="326"/>
      <c r="X38" s="324"/>
      <c r="Y38" s="319"/>
      <c r="Z38" s="323" t="s">
        <v>20</v>
      </c>
      <c r="AA38" s="309"/>
      <c r="AB38" s="309"/>
      <c r="AC38" s="309"/>
      <c r="AD38" s="309"/>
      <c r="AE38" s="309"/>
      <c r="AF38" s="309"/>
      <c r="AG38" s="309"/>
      <c r="AH38" s="309"/>
      <c r="AI38" s="309"/>
      <c r="AJ38" s="324"/>
    </row>
    <row r="39" spans="2:36">
      <c r="B39" s="893" t="s">
        <v>22</v>
      </c>
      <c r="C39" s="905">
        <v>3.2</v>
      </c>
      <c r="D39" s="895">
        <v>3.1207960099900003</v>
      </c>
      <c r="E39" s="906">
        <v>2.9682207002186498</v>
      </c>
      <c r="F39" s="895">
        <v>2.685083553185855</v>
      </c>
      <c r="G39" s="906">
        <v>3</v>
      </c>
      <c r="H39" s="895">
        <v>4.5</v>
      </c>
      <c r="I39" s="895">
        <v>2.5</v>
      </c>
      <c r="J39" s="875">
        <v>4</v>
      </c>
      <c r="K39" s="894" t="s">
        <v>831</v>
      </c>
      <c r="L39" s="894">
        <v>32</v>
      </c>
      <c r="M39" s="291"/>
      <c r="N39" s="327" t="s">
        <v>22</v>
      </c>
      <c r="O39" s="310">
        <v>23</v>
      </c>
      <c r="P39" s="310">
        <v>22</v>
      </c>
      <c r="Q39" s="310">
        <v>21</v>
      </c>
      <c r="R39" s="328">
        <v>20</v>
      </c>
      <c r="S39" s="329">
        <v>17.600000000000001</v>
      </c>
      <c r="T39" s="315">
        <v>26.4</v>
      </c>
      <c r="U39" s="330">
        <v>16</v>
      </c>
      <c r="V39" s="315">
        <v>24</v>
      </c>
      <c r="W39" s="311" t="s">
        <v>525</v>
      </c>
      <c r="X39" s="301"/>
      <c r="Y39" s="319"/>
      <c r="Z39" s="327" t="s">
        <v>22</v>
      </c>
      <c r="AA39" s="310">
        <v>13</v>
      </c>
      <c r="AB39" s="310">
        <v>13</v>
      </c>
      <c r="AC39" s="310">
        <v>12</v>
      </c>
      <c r="AD39" s="310">
        <v>11</v>
      </c>
      <c r="AE39" s="331">
        <v>10.4</v>
      </c>
      <c r="AF39" s="315">
        <v>15.6</v>
      </c>
      <c r="AG39" s="331">
        <v>8.8000000000000007</v>
      </c>
      <c r="AH39" s="315">
        <v>13.2</v>
      </c>
      <c r="AI39" s="310" t="s">
        <v>525</v>
      </c>
      <c r="AJ39" s="301"/>
    </row>
    <row r="40" spans="2:36">
      <c r="B40" s="893" t="s">
        <v>24</v>
      </c>
      <c r="C40" s="880">
        <v>63</v>
      </c>
      <c r="D40" s="876">
        <v>63</v>
      </c>
      <c r="E40" s="876">
        <v>63</v>
      </c>
      <c r="F40" s="876">
        <v>63</v>
      </c>
      <c r="G40" s="876">
        <v>50</v>
      </c>
      <c r="H40" s="876">
        <v>75</v>
      </c>
      <c r="I40" s="876">
        <v>50</v>
      </c>
      <c r="J40" s="876">
        <v>75</v>
      </c>
      <c r="K40" s="898"/>
      <c r="L40" s="898"/>
      <c r="M40" s="291"/>
      <c r="N40" s="327" t="s">
        <v>24</v>
      </c>
      <c r="O40" s="312">
        <v>84</v>
      </c>
      <c r="P40" s="312">
        <v>84</v>
      </c>
      <c r="Q40" s="312">
        <v>84</v>
      </c>
      <c r="R40" s="332">
        <v>84</v>
      </c>
      <c r="S40" s="332">
        <v>84</v>
      </c>
      <c r="T40" s="312">
        <v>84</v>
      </c>
      <c r="U40" s="333">
        <v>84</v>
      </c>
      <c r="V40" s="312">
        <v>84</v>
      </c>
      <c r="W40" s="301" t="s">
        <v>39</v>
      </c>
      <c r="X40" s="301"/>
      <c r="Y40" s="319"/>
      <c r="Z40" s="327" t="s">
        <v>24</v>
      </c>
      <c r="AA40" s="312">
        <v>80</v>
      </c>
      <c r="AB40" s="312">
        <v>80</v>
      </c>
      <c r="AC40" s="312">
        <v>80</v>
      </c>
      <c r="AD40" s="312">
        <v>80</v>
      </c>
      <c r="AE40" s="333">
        <v>80</v>
      </c>
      <c r="AF40" s="312">
        <v>80</v>
      </c>
      <c r="AG40" s="333">
        <v>80</v>
      </c>
      <c r="AH40" s="312">
        <v>80</v>
      </c>
      <c r="AI40" s="300" t="s">
        <v>39</v>
      </c>
      <c r="AJ40" s="297"/>
    </row>
    <row r="41" spans="2:36" ht="16" thickBot="1">
      <c r="B41" s="887" t="s">
        <v>26</v>
      </c>
      <c r="C41" s="881">
        <v>37</v>
      </c>
      <c r="D41" s="874">
        <v>37</v>
      </c>
      <c r="E41" s="874">
        <v>37</v>
      </c>
      <c r="F41" s="874">
        <v>37</v>
      </c>
      <c r="G41" s="874">
        <v>25</v>
      </c>
      <c r="H41" s="874">
        <v>50</v>
      </c>
      <c r="I41" s="874">
        <v>25</v>
      </c>
      <c r="J41" s="874">
        <v>50</v>
      </c>
      <c r="K41" s="886"/>
      <c r="L41" s="886"/>
      <c r="M41" s="291"/>
      <c r="N41" s="320" t="s">
        <v>26</v>
      </c>
      <c r="O41" s="313">
        <v>16</v>
      </c>
      <c r="P41" s="313">
        <v>16</v>
      </c>
      <c r="Q41" s="313">
        <v>16</v>
      </c>
      <c r="R41" s="334">
        <v>16</v>
      </c>
      <c r="S41" s="334">
        <v>16</v>
      </c>
      <c r="T41" s="313">
        <v>16</v>
      </c>
      <c r="U41" s="308">
        <v>16</v>
      </c>
      <c r="V41" s="313">
        <v>16</v>
      </c>
      <c r="W41" s="307"/>
      <c r="X41" s="307"/>
      <c r="Y41" s="319"/>
      <c r="Z41" s="320" t="s">
        <v>26</v>
      </c>
      <c r="AA41" s="313">
        <v>20</v>
      </c>
      <c r="AB41" s="313">
        <v>20</v>
      </c>
      <c r="AC41" s="313">
        <v>20</v>
      </c>
      <c r="AD41" s="313">
        <v>20</v>
      </c>
      <c r="AE41" s="308">
        <v>20</v>
      </c>
      <c r="AF41" s="313">
        <v>20</v>
      </c>
      <c r="AG41" s="308">
        <v>20</v>
      </c>
      <c r="AH41" s="313">
        <v>20</v>
      </c>
      <c r="AI41" s="304"/>
      <c r="AJ41" s="296"/>
    </row>
    <row r="42" spans="2:36" ht="25" thickBot="1">
      <c r="B42" s="893" t="s">
        <v>832</v>
      </c>
      <c r="C42" s="880">
        <v>2</v>
      </c>
      <c r="D42" s="878">
        <v>1.9504975062437502</v>
      </c>
      <c r="E42" s="878">
        <v>1.8551379376366561</v>
      </c>
      <c r="F42" s="878">
        <v>1.6781772207411594</v>
      </c>
      <c r="G42" s="876">
        <v>1</v>
      </c>
      <c r="H42" s="876">
        <v>3</v>
      </c>
      <c r="I42" s="876">
        <v>1</v>
      </c>
      <c r="J42" s="876">
        <v>3</v>
      </c>
      <c r="K42" s="898" t="s">
        <v>37</v>
      </c>
      <c r="L42" s="898">
        <v>6</v>
      </c>
      <c r="M42" s="291"/>
      <c r="N42" s="327" t="s">
        <v>28</v>
      </c>
      <c r="O42" s="312">
        <v>2</v>
      </c>
      <c r="P42" s="314">
        <v>1.9504975062437502</v>
      </c>
      <c r="Q42" s="314">
        <v>1.8551379376366561</v>
      </c>
      <c r="R42" s="314">
        <v>1.6781772207411594</v>
      </c>
      <c r="S42" s="301">
        <v>1</v>
      </c>
      <c r="T42" s="301">
        <v>3</v>
      </c>
      <c r="U42" s="301">
        <v>1</v>
      </c>
      <c r="V42" s="301">
        <v>3</v>
      </c>
      <c r="W42" s="301" t="s">
        <v>481</v>
      </c>
      <c r="X42" s="301">
        <v>6</v>
      </c>
      <c r="Y42" s="319"/>
      <c r="Z42" s="320" t="s">
        <v>28</v>
      </c>
      <c r="AA42" s="313">
        <v>2</v>
      </c>
      <c r="AB42" s="314">
        <v>1.9504975062437502</v>
      </c>
      <c r="AC42" s="314">
        <v>1.8551379376366561</v>
      </c>
      <c r="AD42" s="314">
        <v>1.6781772207411594</v>
      </c>
      <c r="AE42" s="307">
        <v>1</v>
      </c>
      <c r="AF42" s="307">
        <v>3</v>
      </c>
      <c r="AG42" s="307">
        <v>1</v>
      </c>
      <c r="AH42" s="307">
        <v>3</v>
      </c>
      <c r="AI42" s="297" t="s">
        <v>481</v>
      </c>
      <c r="AJ42" s="297">
        <v>6</v>
      </c>
    </row>
    <row r="43" spans="2:36" ht="15.75" customHeight="1">
      <c r="B43" s="899" t="s">
        <v>44</v>
      </c>
      <c r="C43" s="877">
        <v>209.45</v>
      </c>
      <c r="D43" s="896">
        <v>204.709750624375</v>
      </c>
      <c r="E43" s="897">
        <v>198.6437937636656</v>
      </c>
      <c r="F43" s="896">
        <v>180.68772207411595</v>
      </c>
      <c r="G43" s="897">
        <v>186.9</v>
      </c>
      <c r="H43" s="896">
        <v>261.04000000000002</v>
      </c>
      <c r="I43" s="896">
        <v>140.53</v>
      </c>
      <c r="J43" s="896">
        <v>217.55</v>
      </c>
      <c r="K43" s="900"/>
      <c r="L43" s="894"/>
      <c r="M43" s="291"/>
      <c r="N43" s="336" t="s">
        <v>44</v>
      </c>
      <c r="O43" s="315">
        <v>661.74094887934484</v>
      </c>
      <c r="P43" s="315">
        <v>642.24088150731268</v>
      </c>
      <c r="Q43" s="315">
        <v>610.42744896285376</v>
      </c>
      <c r="R43" s="315">
        <v>577.52923675688453</v>
      </c>
      <c r="S43" s="315">
        <v>514.50073458942722</v>
      </c>
      <c r="T43" s="315">
        <v>769.98102842519825</v>
      </c>
      <c r="U43" s="315">
        <v>457.06461837844228</v>
      </c>
      <c r="V43" s="315">
        <v>697.99385513532684</v>
      </c>
      <c r="W43" s="335"/>
      <c r="X43" s="337"/>
      <c r="Y43" s="319"/>
      <c r="Z43" s="336" t="s">
        <v>44</v>
      </c>
      <c r="AA43" s="329">
        <v>449.74094887934484</v>
      </c>
      <c r="AB43" s="315">
        <v>435.24088150731274</v>
      </c>
      <c r="AC43" s="315">
        <v>414.42744896285376</v>
      </c>
      <c r="AD43" s="314">
        <v>390.52923675688453</v>
      </c>
      <c r="AE43" s="314">
        <v>348.90073458942726</v>
      </c>
      <c r="AF43" s="315">
        <v>521.58102842519816</v>
      </c>
      <c r="AG43" s="315">
        <v>307.46461837844225</v>
      </c>
      <c r="AH43" s="329">
        <v>473.59385513532681</v>
      </c>
      <c r="AI43" s="305"/>
      <c r="AJ43" s="302"/>
    </row>
    <row r="44" spans="2:36" ht="15.75" customHeight="1">
      <c r="B44" s="901" t="s">
        <v>479</v>
      </c>
      <c r="C44" s="902">
        <v>9.4499999999999993</v>
      </c>
      <c r="D44" s="902">
        <v>9.66</v>
      </c>
      <c r="E44" s="902">
        <v>13.13</v>
      </c>
      <c r="F44" s="902">
        <v>12.870000000000001</v>
      </c>
      <c r="G44" s="902">
        <v>6.9</v>
      </c>
      <c r="H44" s="902">
        <v>11.040000000000001</v>
      </c>
      <c r="I44" s="902">
        <v>10.530000000000001</v>
      </c>
      <c r="J44" s="879">
        <v>17.55</v>
      </c>
      <c r="K44" s="898" t="s">
        <v>473</v>
      </c>
      <c r="L44" s="898"/>
      <c r="M44" s="291"/>
      <c r="N44" s="338" t="s">
        <v>479</v>
      </c>
      <c r="O44" s="316">
        <v>25.740948879344856</v>
      </c>
      <c r="P44" s="316">
        <v>21.240881507312711</v>
      </c>
      <c r="Q44" s="316">
        <v>20.427448962853742</v>
      </c>
      <c r="R44" s="316">
        <v>16.529236756884536</v>
      </c>
      <c r="S44" s="316">
        <v>17.70073458942726</v>
      </c>
      <c r="T44" s="316">
        <v>24.781028425198162</v>
      </c>
      <c r="U44" s="316">
        <v>8.2646183784422682</v>
      </c>
      <c r="V44" s="316">
        <v>24.793855135326801</v>
      </c>
      <c r="W44" s="312" t="s">
        <v>473</v>
      </c>
      <c r="X44" s="301"/>
      <c r="Y44" s="319"/>
      <c r="Z44" s="338" t="s">
        <v>479</v>
      </c>
      <c r="AA44" s="339">
        <v>25.740948879344856</v>
      </c>
      <c r="AB44" s="340">
        <v>21.240881507312711</v>
      </c>
      <c r="AC44" s="340">
        <v>20.427448962853742</v>
      </c>
      <c r="AD44" s="316">
        <v>16.529236756884536</v>
      </c>
      <c r="AE44" s="316">
        <v>17.70073458942726</v>
      </c>
      <c r="AF44" s="316">
        <v>24.781028425198162</v>
      </c>
      <c r="AG44" s="316">
        <v>8.2646183784422682</v>
      </c>
      <c r="AH44" s="331">
        <v>24.793855135326801</v>
      </c>
      <c r="AI44" s="306" t="s">
        <v>473</v>
      </c>
      <c r="AJ44" s="297"/>
    </row>
    <row r="45" spans="2:36" ht="16" thickBot="1">
      <c r="B45" s="903" t="s">
        <v>480</v>
      </c>
      <c r="C45" s="904">
        <v>200</v>
      </c>
      <c r="D45" s="870">
        <v>195.04975062437501</v>
      </c>
      <c r="E45" s="871">
        <v>185.5137937636656</v>
      </c>
      <c r="F45" s="870">
        <v>167.81772207411595</v>
      </c>
      <c r="G45" s="871">
        <v>180</v>
      </c>
      <c r="H45" s="870">
        <v>250</v>
      </c>
      <c r="I45" s="870">
        <v>130</v>
      </c>
      <c r="J45" s="870">
        <v>200</v>
      </c>
      <c r="K45" s="886" t="s">
        <v>41</v>
      </c>
      <c r="L45" s="886">
        <v>33</v>
      </c>
      <c r="M45" s="291"/>
      <c r="N45" s="341" t="s">
        <v>480</v>
      </c>
      <c r="O45" s="313">
        <v>636</v>
      </c>
      <c r="P45" s="317">
        <v>621</v>
      </c>
      <c r="Q45" s="318">
        <v>590</v>
      </c>
      <c r="R45" s="317">
        <v>561</v>
      </c>
      <c r="S45" s="318">
        <v>496.8</v>
      </c>
      <c r="T45" s="317">
        <v>745.2</v>
      </c>
      <c r="U45" s="318">
        <v>448.8</v>
      </c>
      <c r="V45" s="317">
        <v>673.2</v>
      </c>
      <c r="W45" s="313" t="s">
        <v>526</v>
      </c>
      <c r="X45" s="307"/>
      <c r="Y45" s="319"/>
      <c r="Z45" s="341" t="s">
        <v>480</v>
      </c>
      <c r="AA45" s="334">
        <v>424</v>
      </c>
      <c r="AB45" s="318">
        <v>414</v>
      </c>
      <c r="AC45" s="318">
        <v>394</v>
      </c>
      <c r="AD45" s="342">
        <v>374</v>
      </c>
      <c r="AE45" s="316">
        <v>331.2</v>
      </c>
      <c r="AF45" s="342">
        <v>496.8</v>
      </c>
      <c r="AG45" s="342">
        <v>299.2</v>
      </c>
      <c r="AH45" s="317">
        <v>448.8</v>
      </c>
      <c r="AI45" s="345" t="s">
        <v>526</v>
      </c>
      <c r="AJ45" s="296"/>
    </row>
    <row r="46" spans="2:36" ht="16" thickBot="1">
      <c r="B46" s="887" t="s">
        <v>482</v>
      </c>
      <c r="C46" s="870">
        <v>0</v>
      </c>
      <c r="D46" s="870">
        <v>0</v>
      </c>
      <c r="E46" s="870">
        <v>0</v>
      </c>
      <c r="F46" s="870">
        <v>0</v>
      </c>
      <c r="G46" s="870">
        <v>0</v>
      </c>
      <c r="H46" s="870">
        <v>0</v>
      </c>
      <c r="I46" s="870">
        <v>0</v>
      </c>
      <c r="J46" s="870">
        <v>0</v>
      </c>
      <c r="K46" s="886"/>
      <c r="L46" s="886"/>
      <c r="M46" s="291"/>
      <c r="N46" s="320" t="s">
        <v>482</v>
      </c>
      <c r="O46" s="785">
        <v>2.6921898746507071E-2</v>
      </c>
      <c r="P46" s="785">
        <v>2.2215376127229295E-2</v>
      </c>
      <c r="Q46" s="785">
        <v>2.1364624715473436E-2</v>
      </c>
      <c r="R46" s="785">
        <v>1.7287569328221838E-2</v>
      </c>
      <c r="S46" s="318">
        <v>1.8512813439357744E-2</v>
      </c>
      <c r="T46" s="318">
        <v>2.5917938815100842E-2</v>
      </c>
      <c r="U46" s="318">
        <v>8.6437846641109189E-3</v>
      </c>
      <c r="V46" s="318">
        <v>2.5931353992332755E-2</v>
      </c>
      <c r="W46" s="307" t="s">
        <v>527</v>
      </c>
      <c r="X46" s="307"/>
      <c r="Y46" s="319"/>
      <c r="Z46" s="320" t="s">
        <v>482</v>
      </c>
      <c r="AA46" s="318">
        <v>0</v>
      </c>
      <c r="AB46" s="318">
        <v>0</v>
      </c>
      <c r="AC46" s="318">
        <v>0</v>
      </c>
      <c r="AD46" s="318">
        <v>0</v>
      </c>
      <c r="AE46" s="343">
        <v>0</v>
      </c>
      <c r="AF46" s="318">
        <v>0</v>
      </c>
      <c r="AG46" s="318">
        <v>0</v>
      </c>
      <c r="AH46" s="318">
        <v>0</v>
      </c>
      <c r="AI46" s="296" t="s">
        <v>527</v>
      </c>
      <c r="AJ46" s="296"/>
    </row>
    <row r="47" spans="2:36" ht="16" thickBot="1">
      <c r="B47" s="429" t="s">
        <v>499</v>
      </c>
      <c r="C47" s="430"/>
      <c r="D47" s="430"/>
      <c r="E47" s="430"/>
      <c r="F47" s="430"/>
      <c r="G47" s="430"/>
      <c r="H47" s="430"/>
      <c r="I47" s="430"/>
      <c r="J47" s="430"/>
      <c r="K47" s="430"/>
      <c r="L47" s="432"/>
      <c r="M47" s="291"/>
      <c r="N47" s="292" t="s">
        <v>499</v>
      </c>
      <c r="O47" s="293"/>
      <c r="P47" s="293"/>
      <c r="Q47" s="293"/>
      <c r="R47" s="293"/>
      <c r="S47" s="293"/>
      <c r="T47" s="293"/>
      <c r="U47" s="293"/>
      <c r="V47" s="293"/>
      <c r="W47" s="293"/>
      <c r="X47" s="294"/>
      <c r="Y47" s="291"/>
      <c r="Z47" s="292" t="s">
        <v>499</v>
      </c>
      <c r="AA47" s="293"/>
      <c r="AB47" s="293"/>
      <c r="AC47" s="293"/>
      <c r="AD47" s="293"/>
      <c r="AE47" s="293"/>
      <c r="AF47" s="293"/>
      <c r="AG47" s="293"/>
      <c r="AH47" s="293"/>
      <c r="AI47" s="293"/>
      <c r="AJ47" s="294"/>
    </row>
    <row r="48" spans="2:36" ht="16" thickBot="1">
      <c r="B48" s="295" t="s">
        <v>503</v>
      </c>
      <c r="C48" s="348">
        <f>C39/C$17*Euro</f>
        <v>2.3839999999999999</v>
      </c>
      <c r="D48" s="348">
        <f>D39/D$17*Euro</f>
        <v>2.3249930274425501</v>
      </c>
      <c r="E48" s="348">
        <f>E39/E$17*Euro</f>
        <v>2.2113244216628942</v>
      </c>
      <c r="F48" s="348">
        <f>F39/F$17*Euro</f>
        <v>2.0003872471234621</v>
      </c>
      <c r="G48" s="296"/>
      <c r="H48" s="296"/>
      <c r="I48" s="296"/>
      <c r="J48" s="296"/>
      <c r="K48" s="296"/>
      <c r="L48" s="296"/>
      <c r="M48" s="298"/>
      <c r="N48" s="295" t="s">
        <v>503</v>
      </c>
      <c r="O48" s="348">
        <f>O39/O$17*Euro</f>
        <v>0.42837500000000001</v>
      </c>
      <c r="P48" s="348">
        <f>P39/P$17*Euro</f>
        <v>0.40975</v>
      </c>
      <c r="Q48" s="348">
        <f>Q39/Q$17*Euro</f>
        <v>0.391125</v>
      </c>
      <c r="R48" s="348">
        <f>R39/R$17*Euro</f>
        <v>0.37250000000000005</v>
      </c>
      <c r="S48" s="296"/>
      <c r="T48" s="296"/>
      <c r="U48" s="296"/>
      <c r="V48" s="296"/>
      <c r="W48" s="296"/>
      <c r="X48" s="296"/>
      <c r="Y48" s="298"/>
      <c r="Z48" s="295" t="s">
        <v>503</v>
      </c>
      <c r="AA48" s="348">
        <f>AA39/AA$17*Euro</f>
        <v>0.60531250000000003</v>
      </c>
      <c r="AB48" s="348">
        <f>AB39/AB$17*Euro</f>
        <v>0.60531250000000003</v>
      </c>
      <c r="AC48" s="348">
        <f>AC39/AC$17*Euro</f>
        <v>0.55874999999999997</v>
      </c>
      <c r="AD48" s="348">
        <f>AD39/AD$17*Euro</f>
        <v>0.51218750000000002</v>
      </c>
      <c r="AE48" s="296"/>
      <c r="AF48" s="296"/>
      <c r="AG48" s="296"/>
      <c r="AH48" s="296"/>
      <c r="AI48" s="296"/>
      <c r="AJ48" s="296"/>
    </row>
    <row r="49" spans="2:36" ht="25" thickBot="1">
      <c r="B49" s="295" t="s">
        <v>504</v>
      </c>
      <c r="C49" s="348">
        <f>C42/C$17*Euro</f>
        <v>1.4900000000000002</v>
      </c>
      <c r="D49" s="348">
        <f>D42/D$17*Euro</f>
        <v>1.4531206421515939</v>
      </c>
      <c r="E49" s="348">
        <f>E42/E$17*Euro</f>
        <v>1.3820777635393089</v>
      </c>
      <c r="F49" s="348">
        <f>F42/F$17*Euro</f>
        <v>1.2502420294521637</v>
      </c>
      <c r="G49" s="296"/>
      <c r="H49" s="296"/>
      <c r="I49" s="296"/>
      <c r="J49" s="296"/>
      <c r="K49" s="296"/>
      <c r="L49" s="296"/>
      <c r="M49" s="298"/>
      <c r="N49" s="295" t="s">
        <v>504</v>
      </c>
      <c r="O49" s="348">
        <f>O42/O$17*Euro</f>
        <v>3.7249999999999998E-2</v>
      </c>
      <c r="P49" s="348">
        <f>P42/P$17*Euro</f>
        <v>3.6328016053789845E-2</v>
      </c>
      <c r="Q49" s="348">
        <f>Q42/Q$17*Euro</f>
        <v>3.4551944088482722E-2</v>
      </c>
      <c r="R49" s="348">
        <f>R42/R$17*Euro</f>
        <v>3.1256050736304095E-2</v>
      </c>
      <c r="S49" s="296"/>
      <c r="T49" s="296"/>
      <c r="U49" s="296"/>
      <c r="V49" s="296"/>
      <c r="W49" s="296"/>
      <c r="X49" s="296"/>
      <c r="Y49" s="298"/>
      <c r="Z49" s="295" t="s">
        <v>504</v>
      </c>
      <c r="AA49" s="348">
        <f>AA42/AA$17*Euro</f>
        <v>9.3125000000000013E-2</v>
      </c>
      <c r="AB49" s="348">
        <f>AB42/AB$17*Euro</f>
        <v>9.0820040134474617E-2</v>
      </c>
      <c r="AC49" s="348">
        <f>AC42/AC$17*Euro</f>
        <v>8.6379860221206806E-2</v>
      </c>
      <c r="AD49" s="348">
        <f>AD42/AD$17*Euro</f>
        <v>7.814012684076023E-2</v>
      </c>
      <c r="AE49" s="296"/>
      <c r="AF49" s="296"/>
      <c r="AG49" s="296"/>
      <c r="AH49" s="296"/>
      <c r="AI49" s="296"/>
      <c r="AJ49" s="296"/>
    </row>
    <row r="50" spans="2:36" ht="16" thickBot="1">
      <c r="B50" s="295"/>
      <c r="C50" s="296"/>
      <c r="D50" s="296"/>
      <c r="E50" s="296"/>
      <c r="F50" s="296"/>
      <c r="G50" s="296"/>
      <c r="H50" s="296"/>
      <c r="I50" s="296"/>
      <c r="J50" s="296"/>
      <c r="K50" s="296"/>
      <c r="L50" s="296"/>
      <c r="M50" s="298"/>
      <c r="N50" s="295"/>
      <c r="O50" s="296"/>
      <c r="P50" s="296"/>
      <c r="Q50" s="296"/>
      <c r="R50" s="296"/>
      <c r="S50" s="296"/>
      <c r="T50" s="296"/>
      <c r="U50" s="296"/>
      <c r="V50" s="296"/>
      <c r="W50" s="296"/>
      <c r="X50" s="296"/>
      <c r="Y50" s="298"/>
      <c r="Z50" s="295"/>
      <c r="AA50" s="296"/>
      <c r="AB50" s="296"/>
      <c r="AC50" s="296"/>
      <c r="AD50" s="296"/>
      <c r="AE50" s="296"/>
      <c r="AF50" s="296"/>
      <c r="AG50" s="296"/>
      <c r="AH50" s="296"/>
      <c r="AI50" s="296"/>
      <c r="AJ50" s="296"/>
    </row>
    <row r="51" spans="2:36" ht="16" thickBot="1">
      <c r="B51" s="336" t="s">
        <v>502</v>
      </c>
      <c r="C51" s="348">
        <f>C43/C17/1000*Euro</f>
        <v>0.15604025000000002</v>
      </c>
      <c r="D51" s="348">
        <f>D43/D17/1000*Euro</f>
        <v>0.15250876421515935</v>
      </c>
      <c r="E51" s="348">
        <f>E43/E17/1000*Euro</f>
        <v>0.14798962635393087</v>
      </c>
      <c r="F51" s="348">
        <f>F43/F17/1000*Euro</f>
        <v>0.1346123529452164</v>
      </c>
      <c r="G51" s="296"/>
      <c r="H51" s="296"/>
      <c r="I51" s="296"/>
      <c r="J51" s="296"/>
      <c r="K51" s="296"/>
      <c r="L51" s="296"/>
      <c r="M51" s="298"/>
      <c r="N51" s="336" t="s">
        <v>502</v>
      </c>
      <c r="O51" s="348">
        <f>O43/O17/1000*Euro</f>
        <v>1.2324925172877799E-2</v>
      </c>
      <c r="P51" s="348">
        <f>P43/P17/1000*Euro</f>
        <v>1.19617364180737E-2</v>
      </c>
      <c r="Q51" s="348">
        <f>Q43/Q17/1000*Euro</f>
        <v>1.1369211236933153E-2</v>
      </c>
      <c r="R51" s="348">
        <f>R43/R17/1000*Euro</f>
        <v>1.0756482034596974E-2</v>
      </c>
      <c r="S51" s="296"/>
      <c r="T51" s="296"/>
      <c r="U51" s="296"/>
      <c r="V51" s="296"/>
      <c r="W51" s="296"/>
      <c r="X51" s="296"/>
      <c r="Y51" s="298"/>
      <c r="Z51" s="336" t="s">
        <v>502</v>
      </c>
      <c r="AA51" s="348">
        <f>AA43/AA17/1000*Euro</f>
        <v>2.0941062932194495E-2</v>
      </c>
      <c r="AB51" s="348">
        <f>AB43/AB17/1000*Euro</f>
        <v>2.0265903545184247E-2</v>
      </c>
      <c r="AC51" s="348">
        <f>AC43/AC17/1000*Euro</f>
        <v>1.9296778092332878E-2</v>
      </c>
      <c r="AD51" s="348">
        <f>AD43/AD17/1000*Euro</f>
        <v>1.8184017586492435E-2</v>
      </c>
      <c r="AE51" s="296"/>
      <c r="AF51" s="296"/>
      <c r="AG51" s="296"/>
      <c r="AH51" s="296"/>
      <c r="AI51" s="296"/>
      <c r="AJ51" s="296"/>
    </row>
    <row r="52" spans="2:36" ht="16" thickBot="1">
      <c r="B52" s="327" t="s">
        <v>505</v>
      </c>
      <c r="C52" s="297">
        <f>C46/3.6*Euro</f>
        <v>0</v>
      </c>
      <c r="D52" s="514">
        <f>D46/3.6*Euro</f>
        <v>0</v>
      </c>
      <c r="E52" s="514">
        <f>E46/3.6*Euro</f>
        <v>0</v>
      </c>
      <c r="F52" s="514">
        <f>F46/3.6*Euro</f>
        <v>0</v>
      </c>
      <c r="G52" s="297"/>
      <c r="H52" s="297"/>
      <c r="I52" s="297"/>
      <c r="J52" s="297"/>
      <c r="K52" s="297"/>
      <c r="L52" s="297"/>
      <c r="M52" s="298"/>
      <c r="N52" s="320" t="s">
        <v>505</v>
      </c>
      <c r="O52" s="514">
        <f>O46/3.6*Euro</f>
        <v>5.5713373794854908E-2</v>
      </c>
      <c r="P52" s="514">
        <f>P46/3.6*Euro</f>
        <v>4.5973486707738404E-2</v>
      </c>
      <c r="Q52" s="514">
        <f>Q46/3.6*Euro</f>
        <v>4.4212903925076971E-2</v>
      </c>
      <c r="R52" s="514">
        <f>R46/3.6*Euro</f>
        <v>3.5775664304236857E-2</v>
      </c>
      <c r="S52" s="296"/>
      <c r="T52" s="296"/>
      <c r="U52" s="296"/>
      <c r="V52" s="296"/>
      <c r="W52" s="296"/>
      <c r="X52" s="296"/>
      <c r="Y52" s="298"/>
      <c r="Z52" s="320" t="s">
        <v>505</v>
      </c>
      <c r="AA52" s="296">
        <f>AA46/3.6*Euro</f>
        <v>0</v>
      </c>
      <c r="AB52" s="693">
        <f>AB46/3.6*Euro</f>
        <v>0</v>
      </c>
      <c r="AC52" s="693">
        <f>AC46/3.6*Euro</f>
        <v>0</v>
      </c>
      <c r="AD52" s="693">
        <f>AD46/3.6*Euro</f>
        <v>0</v>
      </c>
      <c r="AE52" s="296"/>
      <c r="AF52" s="296"/>
      <c r="AG52" s="296"/>
      <c r="AH52" s="296"/>
      <c r="AI52" s="296"/>
      <c r="AJ52" s="296"/>
    </row>
    <row r="55" spans="2:36">
      <c r="B55" s="792">
        <v>1</v>
      </c>
      <c r="C55" s="439" t="s">
        <v>688</v>
      </c>
      <c r="D55" s="764"/>
      <c r="E55" s="764"/>
      <c r="F55" s="764"/>
      <c r="G55" s="764"/>
      <c r="H55" s="764"/>
      <c r="I55" s="764"/>
      <c r="J55" s="764"/>
      <c r="K55" s="764"/>
      <c r="L55" s="764"/>
      <c r="M55" s="764"/>
      <c r="N55" s="764"/>
      <c r="O55" s="764"/>
      <c r="P55" s="764"/>
      <c r="Q55" s="764"/>
      <c r="R55" s="764"/>
      <c r="S55" s="764"/>
      <c r="T55" s="764"/>
      <c r="U55" s="764"/>
      <c r="V55" s="764"/>
      <c r="W55" s="764"/>
      <c r="X55" s="764"/>
      <c r="Y55" s="764"/>
      <c r="Z55" s="764"/>
      <c r="AA55" s="764"/>
      <c r="AB55" s="764"/>
    </row>
    <row r="56" spans="2:36">
      <c r="B56" s="792">
        <v>2</v>
      </c>
      <c r="C56" s="70" t="s">
        <v>689</v>
      </c>
      <c r="D56" s="764"/>
      <c r="E56" s="764"/>
      <c r="F56" s="764"/>
      <c r="G56" s="764"/>
      <c r="H56" s="764"/>
      <c r="I56" s="764"/>
      <c r="J56" s="764"/>
      <c r="K56" s="764"/>
      <c r="L56" s="764"/>
      <c r="M56" s="764"/>
      <c r="N56" s="764"/>
      <c r="O56" s="764"/>
      <c r="P56" s="764"/>
      <c r="Q56" s="764"/>
      <c r="R56" s="764"/>
      <c r="S56" s="764"/>
      <c r="T56" s="764"/>
      <c r="U56" s="764"/>
      <c r="V56" s="764"/>
      <c r="W56" s="764"/>
      <c r="X56" s="764"/>
      <c r="Y56" s="764"/>
      <c r="Z56" s="764"/>
      <c r="AA56" s="764"/>
      <c r="AB56" s="764"/>
    </row>
    <row r="57" spans="2:36">
      <c r="B57" s="792">
        <v>3</v>
      </c>
      <c r="C57" s="70" t="s">
        <v>690</v>
      </c>
      <c r="D57" s="764"/>
      <c r="E57" s="764"/>
      <c r="F57" s="764"/>
      <c r="G57" s="764"/>
      <c r="H57" s="764"/>
      <c r="I57" s="764"/>
      <c r="J57" s="764"/>
      <c r="K57" s="764"/>
      <c r="L57" s="764"/>
      <c r="M57" s="764"/>
      <c r="N57" s="764"/>
      <c r="O57" s="764"/>
      <c r="P57" s="764"/>
      <c r="Q57" s="764"/>
      <c r="R57" s="764"/>
      <c r="S57" s="764"/>
      <c r="T57" s="764"/>
      <c r="U57" s="764"/>
      <c r="V57" s="764"/>
      <c r="W57" s="764"/>
      <c r="X57" s="764"/>
      <c r="Y57" s="764"/>
      <c r="Z57" s="764"/>
      <c r="AA57" s="764"/>
      <c r="AB57" s="764"/>
    </row>
    <row r="58" spans="2:36">
      <c r="B58" s="792">
        <v>5</v>
      </c>
      <c r="C58" s="70" t="s">
        <v>691</v>
      </c>
      <c r="D58" s="764"/>
      <c r="E58" s="764"/>
      <c r="F58" s="764"/>
      <c r="G58" s="764"/>
      <c r="H58" s="764"/>
      <c r="I58" s="764"/>
      <c r="J58" s="764"/>
      <c r="K58" s="764"/>
      <c r="L58" s="764"/>
      <c r="M58" s="764"/>
      <c r="N58" s="764"/>
      <c r="O58" s="764"/>
      <c r="P58" s="764"/>
      <c r="Q58" s="764"/>
      <c r="R58" s="764"/>
      <c r="S58" s="764"/>
      <c r="T58" s="764"/>
      <c r="U58" s="764"/>
      <c r="V58" s="764"/>
      <c r="W58" s="764"/>
      <c r="X58" s="764"/>
      <c r="Y58" s="764"/>
      <c r="Z58" s="764"/>
      <c r="AA58" s="764"/>
      <c r="AB58" s="764"/>
    </row>
    <row r="59" spans="2:36">
      <c r="B59" s="792">
        <v>6</v>
      </c>
      <c r="C59" s="794" t="s">
        <v>692</v>
      </c>
      <c r="D59" s="764"/>
      <c r="E59" s="764"/>
      <c r="F59" s="764"/>
      <c r="G59" s="764"/>
      <c r="H59" s="764"/>
      <c r="I59" s="764"/>
      <c r="J59" s="764"/>
      <c r="K59" s="764"/>
      <c r="L59" s="764"/>
      <c r="M59" s="764"/>
      <c r="N59" s="764"/>
      <c r="O59" s="764"/>
      <c r="P59" s="764"/>
      <c r="Q59" s="764"/>
      <c r="R59" s="764"/>
      <c r="S59" s="764"/>
      <c r="T59" s="764"/>
      <c r="U59" s="764"/>
      <c r="V59" s="764"/>
      <c r="W59" s="764"/>
      <c r="X59" s="764"/>
      <c r="Y59" s="764"/>
      <c r="Z59" s="764"/>
      <c r="AA59" s="764"/>
      <c r="AB59" s="764"/>
    </row>
    <row r="60" spans="2:36">
      <c r="B60" s="792">
        <v>7</v>
      </c>
      <c r="C60" s="70" t="s">
        <v>693</v>
      </c>
      <c r="D60" s="764"/>
      <c r="E60" s="764"/>
      <c r="F60" s="764"/>
      <c r="G60" s="764"/>
      <c r="H60" s="764"/>
      <c r="I60" s="764"/>
      <c r="J60" s="764"/>
      <c r="K60" s="764"/>
      <c r="L60" s="764"/>
      <c r="M60" s="764"/>
      <c r="N60" s="764"/>
      <c r="O60" s="764"/>
      <c r="P60" s="764"/>
      <c r="Q60" s="764"/>
      <c r="R60" s="764"/>
      <c r="S60" s="764"/>
      <c r="T60" s="764"/>
      <c r="U60" s="764"/>
      <c r="V60" s="764"/>
      <c r="W60" s="764"/>
      <c r="X60" s="764"/>
      <c r="Y60" s="764"/>
      <c r="Z60" s="764"/>
      <c r="AA60" s="764"/>
      <c r="AB60" s="764"/>
    </row>
    <row r="61" spans="2:36">
      <c r="B61" s="797">
        <v>28</v>
      </c>
      <c r="C61" s="449" t="s">
        <v>694</v>
      </c>
      <c r="D61" s="523"/>
      <c r="E61" s="523"/>
      <c r="F61" s="764"/>
      <c r="G61" s="764"/>
      <c r="H61" s="764"/>
      <c r="I61" s="764"/>
      <c r="J61" s="764"/>
      <c r="K61" s="764"/>
      <c r="L61" s="764"/>
      <c r="M61" s="764"/>
      <c r="N61" s="764"/>
      <c r="O61" s="764"/>
      <c r="P61" s="764"/>
      <c r="Q61" s="764"/>
      <c r="R61" s="764"/>
      <c r="S61" s="764"/>
      <c r="T61" s="764"/>
      <c r="U61" s="764"/>
      <c r="V61" s="764"/>
      <c r="W61" s="764"/>
      <c r="X61" s="764"/>
      <c r="Y61" s="764"/>
      <c r="Z61" s="764"/>
      <c r="AA61" s="764"/>
      <c r="AB61" s="764"/>
    </row>
    <row r="62" spans="2:36">
      <c r="B62" s="449"/>
      <c r="C62" s="449"/>
      <c r="D62" s="764"/>
      <c r="E62" s="764"/>
      <c r="F62" s="764"/>
      <c r="G62" s="764"/>
      <c r="H62" s="764"/>
      <c r="I62" s="764"/>
      <c r="J62" s="764"/>
      <c r="K62" s="764"/>
      <c r="L62" s="764"/>
      <c r="M62" s="764"/>
      <c r="N62" s="764"/>
      <c r="O62" s="764"/>
      <c r="P62" s="764"/>
      <c r="Q62" s="764"/>
      <c r="R62" s="764"/>
      <c r="S62" s="764"/>
      <c r="T62" s="764"/>
      <c r="U62" s="764"/>
      <c r="V62" s="764"/>
      <c r="W62" s="764"/>
      <c r="X62" s="764"/>
      <c r="Y62" s="764"/>
      <c r="Z62" s="764"/>
      <c r="AA62" s="764"/>
      <c r="AB62" s="764"/>
    </row>
    <row r="63" spans="2:36">
      <c r="B63" s="798" t="s">
        <v>589</v>
      </c>
      <c r="C63" s="449"/>
      <c r="D63" s="764"/>
      <c r="E63" s="764"/>
      <c r="F63" s="764"/>
      <c r="G63" s="764"/>
      <c r="H63" s="764"/>
      <c r="I63" s="764"/>
      <c r="J63" s="764"/>
      <c r="K63" s="764"/>
      <c r="L63" s="764"/>
      <c r="M63" s="764"/>
      <c r="N63" s="764"/>
      <c r="O63" s="764"/>
      <c r="P63" s="764"/>
      <c r="Q63" s="764"/>
      <c r="R63" s="764"/>
      <c r="S63" s="764"/>
      <c r="T63" s="764"/>
      <c r="U63" s="764"/>
      <c r="V63" s="764"/>
      <c r="W63" s="764"/>
      <c r="X63" s="764"/>
      <c r="Y63" s="764"/>
      <c r="Z63" s="764"/>
      <c r="AA63" s="764"/>
      <c r="AB63" s="764"/>
    </row>
    <row r="64" spans="2:36">
      <c r="B64" s="797" t="s">
        <v>6</v>
      </c>
      <c r="C64" s="799" t="s">
        <v>695</v>
      </c>
      <c r="D64" s="800"/>
      <c r="E64" s="800"/>
      <c r="F64" s="800"/>
      <c r="G64" s="764"/>
      <c r="H64" s="764"/>
      <c r="I64" s="764"/>
      <c r="J64" s="764"/>
      <c r="K64" s="764"/>
      <c r="L64" s="764"/>
      <c r="M64" s="764"/>
      <c r="N64" s="764"/>
      <c r="O64" s="764"/>
      <c r="P64" s="764"/>
      <c r="Q64" s="764"/>
      <c r="R64" s="764"/>
      <c r="S64" s="764"/>
      <c r="T64" s="764"/>
      <c r="U64" s="764"/>
      <c r="V64" s="764"/>
      <c r="W64" s="764"/>
      <c r="X64" s="764"/>
      <c r="Y64" s="764"/>
      <c r="Z64" s="764"/>
      <c r="AA64" s="764"/>
      <c r="AB64" s="764"/>
    </row>
    <row r="65" spans="2:28">
      <c r="B65" s="797" t="s">
        <v>42</v>
      </c>
      <c r="C65" s="799" t="s">
        <v>696</v>
      </c>
      <c r="D65" s="800"/>
      <c r="E65" s="800"/>
      <c r="F65" s="800"/>
      <c r="G65" s="764"/>
      <c r="H65" s="764"/>
      <c r="I65" s="764"/>
      <c r="J65" s="764"/>
      <c r="K65" s="764"/>
      <c r="L65" s="764"/>
      <c r="M65" s="764"/>
      <c r="N65" s="764"/>
      <c r="O65" s="764"/>
      <c r="P65" s="764"/>
      <c r="Q65" s="764"/>
      <c r="R65" s="764"/>
      <c r="S65" s="764"/>
      <c r="T65" s="764"/>
      <c r="U65" s="764"/>
      <c r="V65" s="764"/>
      <c r="W65" s="764"/>
      <c r="X65" s="764"/>
      <c r="Y65" s="764"/>
      <c r="Z65" s="764"/>
      <c r="AA65" s="764"/>
      <c r="AB65" s="764"/>
    </row>
    <row r="66" spans="2:28">
      <c r="B66" s="797" t="s">
        <v>15</v>
      </c>
      <c r="C66" s="799" t="s">
        <v>678</v>
      </c>
      <c r="D66" s="800"/>
      <c r="E66" s="800"/>
      <c r="F66" s="800"/>
      <c r="G66" s="764"/>
      <c r="H66" s="764"/>
      <c r="I66" s="764"/>
      <c r="J66" s="764"/>
      <c r="K66" s="764"/>
      <c r="L66" s="764"/>
      <c r="M66" s="764"/>
      <c r="N66" s="764"/>
      <c r="O66" s="764"/>
      <c r="P66" s="764"/>
      <c r="Q66" s="764"/>
      <c r="R66" s="764"/>
      <c r="S66" s="764"/>
      <c r="T66" s="764"/>
      <c r="U66" s="764"/>
      <c r="V66" s="764"/>
      <c r="W66" s="764"/>
      <c r="X66" s="764"/>
      <c r="Y66" s="764"/>
      <c r="Z66" s="764"/>
      <c r="AA66" s="764"/>
      <c r="AB66" s="764"/>
    </row>
    <row r="67" spans="2:28">
      <c r="B67" s="797" t="s">
        <v>19</v>
      </c>
      <c r="C67" s="799" t="s">
        <v>697</v>
      </c>
      <c r="D67" s="800"/>
      <c r="E67" s="800"/>
      <c r="F67" s="800"/>
      <c r="G67" s="764"/>
      <c r="H67" s="764"/>
      <c r="I67" s="764"/>
      <c r="J67" s="764"/>
      <c r="K67" s="764"/>
      <c r="L67" s="764"/>
      <c r="M67" s="764"/>
      <c r="N67" s="764"/>
      <c r="O67" s="764"/>
      <c r="P67" s="764"/>
      <c r="Q67" s="764"/>
      <c r="R67" s="764"/>
      <c r="S67" s="764"/>
      <c r="T67" s="764"/>
      <c r="U67" s="764"/>
      <c r="V67" s="764"/>
      <c r="W67" s="764"/>
      <c r="X67" s="764"/>
      <c r="Y67" s="764"/>
      <c r="Z67" s="764"/>
      <c r="AA67" s="764"/>
      <c r="AB67" s="764"/>
    </row>
    <row r="68" spans="2:28" ht="18">
      <c r="B68" s="797" t="s">
        <v>52</v>
      </c>
      <c r="C68" s="799" t="s">
        <v>698</v>
      </c>
      <c r="D68" s="800"/>
      <c r="E68" s="800"/>
      <c r="F68" s="800"/>
      <c r="G68" s="764"/>
      <c r="H68" s="764"/>
      <c r="I68" s="764"/>
      <c r="J68" s="764"/>
      <c r="K68" s="764"/>
      <c r="L68" s="764"/>
      <c r="M68" s="764"/>
      <c r="N68" s="764"/>
      <c r="O68" s="764"/>
      <c r="P68" s="764"/>
      <c r="Q68" s="764"/>
      <c r="R68" s="764"/>
      <c r="S68" s="764"/>
      <c r="T68" s="764"/>
      <c r="U68" s="764"/>
      <c r="V68" s="764"/>
      <c r="W68" s="764"/>
      <c r="X68" s="764"/>
      <c r="Y68" s="764"/>
      <c r="Z68" s="764"/>
      <c r="AA68" s="764"/>
      <c r="AB68" s="764"/>
    </row>
    <row r="69" spans="2:28">
      <c r="B69" s="797" t="s">
        <v>23</v>
      </c>
      <c r="C69" s="799" t="s">
        <v>699</v>
      </c>
      <c r="D69" s="800"/>
      <c r="E69" s="800"/>
      <c r="F69" s="800"/>
      <c r="G69" s="764"/>
      <c r="H69" s="764"/>
      <c r="I69" s="764"/>
      <c r="J69" s="764"/>
      <c r="K69" s="764"/>
      <c r="L69" s="764"/>
      <c r="M69" s="764"/>
      <c r="N69" s="764"/>
      <c r="O69" s="764"/>
      <c r="P69" s="764"/>
      <c r="Q69" s="764"/>
      <c r="R69" s="764"/>
      <c r="S69" s="764"/>
      <c r="T69" s="764"/>
      <c r="U69" s="764"/>
      <c r="V69" s="764"/>
      <c r="W69" s="764"/>
      <c r="X69" s="764"/>
      <c r="Y69" s="764"/>
      <c r="Z69" s="764"/>
      <c r="AA69" s="764"/>
      <c r="AB69" s="764"/>
    </row>
    <row r="70" spans="2:28">
      <c r="B70" s="801" t="s">
        <v>31</v>
      </c>
      <c r="C70" s="1284" t="s">
        <v>700</v>
      </c>
      <c r="D70" s="1284"/>
      <c r="E70" s="1284"/>
      <c r="F70" s="1284"/>
      <c r="G70" s="1284"/>
      <c r="H70" s="1284"/>
      <c r="I70" s="1284"/>
      <c r="J70" s="1284"/>
      <c r="K70" s="1284"/>
      <c r="L70" s="1284"/>
      <c r="M70" s="1284"/>
      <c r="N70" s="1284"/>
      <c r="O70" s="1284"/>
      <c r="P70" s="1284"/>
      <c r="Q70" s="1284"/>
      <c r="R70" s="1284"/>
      <c r="S70" s="1284"/>
      <c r="T70" s="1284"/>
      <c r="U70" s="1284"/>
      <c r="V70" s="1284"/>
      <c r="W70" s="1284"/>
      <c r="X70" s="1284"/>
      <c r="Y70" s="1284"/>
      <c r="Z70" s="1284"/>
      <c r="AA70" s="1284"/>
      <c r="AB70" s="1284"/>
    </row>
    <row r="71" spans="2:28">
      <c r="B71" s="797" t="s">
        <v>39</v>
      </c>
      <c r="C71" s="799" t="s">
        <v>701</v>
      </c>
      <c r="D71" s="800"/>
      <c r="E71" s="800"/>
      <c r="F71" s="800"/>
      <c r="G71" s="764"/>
      <c r="H71" s="764"/>
      <c r="I71" s="764"/>
      <c r="J71" s="764"/>
      <c r="K71" s="764"/>
      <c r="L71" s="764"/>
      <c r="M71" s="764"/>
      <c r="N71" s="764"/>
      <c r="O71" s="764"/>
      <c r="P71" s="764"/>
      <c r="Q71" s="764"/>
      <c r="R71" s="764"/>
      <c r="S71" s="764"/>
      <c r="T71" s="764"/>
      <c r="U71" s="764"/>
      <c r="V71" s="764"/>
      <c r="W71" s="764"/>
      <c r="X71" s="764"/>
      <c r="Y71" s="764"/>
      <c r="Z71" s="764"/>
      <c r="AA71" s="764"/>
      <c r="AB71" s="764"/>
    </row>
    <row r="72" spans="2:28">
      <c r="B72" s="797" t="s">
        <v>40</v>
      </c>
      <c r="C72" s="799" t="s">
        <v>702</v>
      </c>
      <c r="D72" s="800"/>
      <c r="E72" s="800"/>
      <c r="F72" s="800"/>
      <c r="G72" s="764"/>
      <c r="H72" s="764"/>
      <c r="I72" s="764"/>
      <c r="J72" s="764"/>
      <c r="K72" s="764"/>
      <c r="L72" s="764"/>
      <c r="M72" s="764"/>
      <c r="N72" s="764"/>
      <c r="O72" s="764"/>
      <c r="P72" s="764"/>
      <c r="Q72" s="764"/>
      <c r="R72" s="764"/>
      <c r="S72" s="764"/>
      <c r="T72" s="764"/>
      <c r="U72" s="764"/>
      <c r="V72" s="764"/>
      <c r="W72" s="764"/>
      <c r="X72" s="764"/>
      <c r="Y72" s="764"/>
      <c r="Z72" s="764"/>
      <c r="AA72" s="764"/>
      <c r="AB72" s="764"/>
    </row>
    <row r="73" spans="2:28" ht="16">
      <c r="B73" s="797" t="s">
        <v>41</v>
      </c>
      <c r="C73" s="799" t="s">
        <v>703</v>
      </c>
      <c r="D73" s="795"/>
      <c r="E73" s="800"/>
      <c r="F73" s="800"/>
      <c r="G73" s="764"/>
      <c r="H73" s="764"/>
      <c r="I73" s="764"/>
      <c r="J73" s="764"/>
      <c r="K73" s="764"/>
      <c r="L73" s="764"/>
      <c r="M73" s="764"/>
      <c r="N73" s="764"/>
      <c r="O73" s="764"/>
      <c r="P73" s="764"/>
      <c r="Q73" s="764"/>
      <c r="R73" s="764"/>
      <c r="S73" s="764"/>
      <c r="T73" s="764"/>
      <c r="U73" s="764"/>
      <c r="V73" s="764"/>
      <c r="W73" s="764"/>
      <c r="X73" s="764"/>
      <c r="Y73" s="764"/>
      <c r="Z73" s="764"/>
      <c r="AA73" s="764"/>
      <c r="AB73" s="764"/>
    </row>
    <row r="74" spans="2:28">
      <c r="B74" s="797" t="s">
        <v>37</v>
      </c>
      <c r="C74" s="799" t="s">
        <v>704</v>
      </c>
      <c r="D74" s="800"/>
      <c r="E74" s="800"/>
      <c r="F74" s="800"/>
      <c r="G74" s="764"/>
      <c r="H74" s="764"/>
      <c r="I74" s="764"/>
      <c r="J74" s="764"/>
      <c r="K74" s="764"/>
      <c r="L74" s="764"/>
      <c r="M74" s="764"/>
      <c r="N74" s="764"/>
      <c r="O74" s="764"/>
      <c r="P74" s="764"/>
      <c r="Q74" s="764"/>
      <c r="R74" s="764"/>
      <c r="S74" s="764"/>
      <c r="T74" s="764"/>
      <c r="U74" s="764"/>
      <c r="V74" s="764"/>
      <c r="W74" s="764"/>
      <c r="X74" s="764"/>
      <c r="Y74" s="764"/>
      <c r="Z74" s="764"/>
      <c r="AA74" s="764"/>
      <c r="AB74" s="764"/>
    </row>
    <row r="75" spans="2:28">
      <c r="B75" s="797" t="s">
        <v>279</v>
      </c>
      <c r="C75" s="799" t="s">
        <v>705</v>
      </c>
      <c r="D75" s="800"/>
      <c r="E75" s="800"/>
      <c r="F75" s="800"/>
      <c r="G75" s="764"/>
      <c r="H75" s="764"/>
      <c r="I75" s="764"/>
      <c r="J75" s="764"/>
      <c r="K75" s="764"/>
      <c r="L75" s="764"/>
      <c r="M75" s="764"/>
      <c r="N75" s="764"/>
      <c r="O75" s="764"/>
      <c r="P75" s="764"/>
      <c r="Q75" s="764"/>
      <c r="R75" s="764"/>
      <c r="S75" s="764"/>
      <c r="T75" s="764"/>
      <c r="U75" s="764"/>
      <c r="V75" s="764"/>
      <c r="W75" s="764"/>
      <c r="X75" s="764"/>
      <c r="Y75" s="764"/>
      <c r="Z75" s="764"/>
      <c r="AA75" s="764"/>
      <c r="AB75" s="764"/>
    </row>
    <row r="76" spans="2:28">
      <c r="B76" s="797" t="s">
        <v>523</v>
      </c>
      <c r="C76" s="799" t="s">
        <v>706</v>
      </c>
      <c r="D76" s="800"/>
      <c r="E76" s="800"/>
      <c r="F76" s="800"/>
      <c r="G76" s="764"/>
      <c r="H76" s="764"/>
      <c r="I76" s="764"/>
      <c r="J76" s="764"/>
      <c r="K76" s="764"/>
      <c r="L76" s="764"/>
      <c r="M76" s="764"/>
      <c r="N76" s="764"/>
      <c r="O76" s="764"/>
      <c r="P76" s="764"/>
      <c r="Q76" s="764"/>
      <c r="R76" s="764"/>
      <c r="S76" s="764"/>
      <c r="T76" s="764"/>
      <c r="U76" s="764"/>
      <c r="V76" s="764"/>
      <c r="W76" s="764"/>
      <c r="X76" s="764"/>
      <c r="Y76" s="764"/>
      <c r="Z76" s="764"/>
      <c r="AA76" s="764"/>
      <c r="AB76" s="764"/>
    </row>
    <row r="77" spans="2:28">
      <c r="B77" s="797" t="s">
        <v>707</v>
      </c>
      <c r="C77" s="799" t="s">
        <v>708</v>
      </c>
      <c r="D77" s="764"/>
      <c r="E77" s="764"/>
      <c r="F77" s="764"/>
      <c r="G77" s="764"/>
      <c r="H77" s="764"/>
      <c r="I77" s="764"/>
      <c r="J77" s="764"/>
      <c r="K77" s="764"/>
      <c r="L77" s="764"/>
      <c r="M77" s="764"/>
      <c r="N77" s="764"/>
      <c r="O77" s="764"/>
      <c r="P77" s="764"/>
      <c r="Q77" s="764"/>
      <c r="R77" s="764"/>
      <c r="S77" s="764"/>
      <c r="T77" s="764"/>
      <c r="U77" s="764"/>
      <c r="V77" s="764"/>
      <c r="W77" s="764"/>
      <c r="X77" s="764"/>
      <c r="Y77" s="764"/>
      <c r="Z77" s="764"/>
      <c r="AA77" s="764"/>
      <c r="AB77" s="764"/>
    </row>
    <row r="78" spans="2:28" ht="16">
      <c r="B78" s="797" t="s">
        <v>509</v>
      </c>
      <c r="C78" s="799" t="s">
        <v>709</v>
      </c>
      <c r="D78" s="764"/>
      <c r="E78" s="764"/>
      <c r="F78" s="764"/>
      <c r="G78" s="764"/>
      <c r="H78" s="764"/>
      <c r="I78" s="764"/>
      <c r="J78" s="764"/>
      <c r="K78" s="764"/>
      <c r="L78" s="764"/>
      <c r="M78" s="764"/>
      <c r="N78" s="764"/>
      <c r="O78" s="764"/>
      <c r="P78" s="764"/>
      <c r="Q78" s="764"/>
      <c r="R78" s="764"/>
      <c r="S78" s="764"/>
      <c r="T78" s="764"/>
      <c r="U78" s="764"/>
      <c r="V78" s="764"/>
      <c r="W78" s="764"/>
      <c r="X78" s="764"/>
      <c r="Y78" s="764"/>
      <c r="Z78" s="764"/>
      <c r="AA78" s="764"/>
      <c r="AB78" s="764"/>
    </row>
    <row r="79" spans="2:28">
      <c r="B79" s="797" t="s">
        <v>641</v>
      </c>
      <c r="C79" s="799" t="s">
        <v>710</v>
      </c>
      <c r="D79" s="764"/>
      <c r="E79" s="764"/>
      <c r="F79" s="764"/>
      <c r="G79" s="764"/>
      <c r="H79" s="764"/>
      <c r="I79" s="764"/>
      <c r="J79" s="764"/>
      <c r="K79" s="764"/>
      <c r="L79" s="764"/>
      <c r="M79" s="764"/>
      <c r="N79" s="764"/>
      <c r="O79" s="764"/>
      <c r="P79" s="764"/>
      <c r="Q79" s="764"/>
      <c r="R79" s="764"/>
      <c r="S79" s="764"/>
      <c r="T79" s="764"/>
      <c r="U79" s="764"/>
      <c r="V79" s="764"/>
      <c r="W79" s="764"/>
      <c r="X79" s="764"/>
      <c r="Y79" s="764"/>
      <c r="Z79" s="764"/>
      <c r="AA79" s="764"/>
      <c r="AB79" s="764"/>
    </row>
    <row r="80" spans="2:28">
      <c r="B80" s="797" t="s">
        <v>527</v>
      </c>
      <c r="C80" s="799" t="s">
        <v>711</v>
      </c>
      <c r="D80" s="764"/>
      <c r="E80" s="764"/>
      <c r="F80" s="764"/>
      <c r="G80" s="764"/>
      <c r="H80" s="764"/>
      <c r="I80" s="764"/>
      <c r="J80" s="764"/>
      <c r="K80" s="764"/>
      <c r="L80" s="764"/>
      <c r="M80" s="764"/>
      <c r="N80" s="764"/>
      <c r="O80" s="764"/>
      <c r="P80" s="764"/>
      <c r="Q80" s="764"/>
      <c r="R80" s="764"/>
      <c r="S80" s="764"/>
      <c r="T80" s="764"/>
      <c r="U80" s="764"/>
      <c r="V80" s="764"/>
      <c r="W80" s="764"/>
      <c r="X80" s="764"/>
      <c r="Y80" s="764"/>
      <c r="Z80" s="764"/>
      <c r="AA80" s="764"/>
      <c r="AB80" s="764"/>
    </row>
    <row r="81" spans="2:28">
      <c r="B81" s="797" t="s">
        <v>712</v>
      </c>
      <c r="C81" s="799" t="s">
        <v>713</v>
      </c>
      <c r="D81" s="523"/>
      <c r="E81" s="764"/>
      <c r="F81" s="764"/>
      <c r="G81" s="764"/>
      <c r="H81" s="764"/>
      <c r="I81" s="764"/>
      <c r="J81" s="764"/>
      <c r="K81" s="764"/>
      <c r="L81" s="764"/>
      <c r="M81" s="764"/>
      <c r="N81" s="764"/>
      <c r="O81" s="764"/>
      <c r="P81" s="764"/>
      <c r="Q81" s="764"/>
      <c r="R81" s="764"/>
      <c r="S81" s="764"/>
      <c r="T81" s="764"/>
      <c r="U81" s="764"/>
      <c r="V81" s="764"/>
      <c r="W81" s="764"/>
      <c r="X81" s="764"/>
      <c r="Y81" s="764"/>
      <c r="Z81" s="764"/>
      <c r="AA81" s="764"/>
      <c r="AB81" s="764"/>
    </row>
    <row r="82" spans="2:28">
      <c r="B82" s="797" t="s">
        <v>714</v>
      </c>
      <c r="C82" s="799" t="s">
        <v>715</v>
      </c>
      <c r="D82" s="523"/>
      <c r="E82" s="764"/>
      <c r="F82" s="764"/>
      <c r="G82" s="764"/>
      <c r="H82" s="764"/>
      <c r="I82" s="764"/>
      <c r="J82" s="764"/>
      <c r="K82" s="764"/>
      <c r="L82" s="764"/>
      <c r="M82" s="764"/>
      <c r="N82" s="764"/>
      <c r="O82" s="764"/>
      <c r="P82" s="764"/>
      <c r="Q82" s="764"/>
      <c r="R82" s="764"/>
      <c r="S82" s="764"/>
      <c r="T82" s="764"/>
      <c r="U82" s="764"/>
      <c r="V82" s="764"/>
      <c r="W82" s="764"/>
      <c r="X82" s="764"/>
      <c r="Y82" s="764"/>
      <c r="Z82" s="764"/>
      <c r="AA82" s="764"/>
      <c r="AB82" s="764"/>
    </row>
    <row r="83" spans="2:28">
      <c r="B83" s="797" t="s">
        <v>473</v>
      </c>
      <c r="C83" s="449" t="s">
        <v>596</v>
      </c>
      <c r="D83" s="764"/>
      <c r="E83" s="764"/>
      <c r="F83" s="764"/>
      <c r="G83" s="764"/>
      <c r="H83" s="764"/>
      <c r="I83" s="764"/>
      <c r="J83" s="764"/>
      <c r="K83" s="764"/>
      <c r="L83" s="764"/>
      <c r="M83" s="764"/>
      <c r="N83" s="764"/>
      <c r="O83" s="764"/>
      <c r="P83" s="764"/>
      <c r="Q83" s="764"/>
      <c r="R83" s="764"/>
      <c r="S83" s="764"/>
      <c r="T83" s="764"/>
      <c r="U83" s="764"/>
      <c r="V83" s="764"/>
      <c r="W83" s="764"/>
      <c r="X83" s="764"/>
      <c r="Y83" s="764"/>
      <c r="Z83" s="764"/>
      <c r="AA83" s="764"/>
      <c r="AB83" s="764"/>
    </row>
    <row r="84" spans="2:28">
      <c r="B84" s="792" t="s">
        <v>471</v>
      </c>
      <c r="C84" s="449" t="s">
        <v>716</v>
      </c>
      <c r="D84" s="764"/>
      <c r="E84" s="764"/>
      <c r="F84" s="764"/>
      <c r="G84" s="764"/>
      <c r="H84" s="764"/>
      <c r="I84" s="764"/>
      <c r="J84" s="764"/>
      <c r="K84" s="764"/>
      <c r="L84" s="764"/>
      <c r="M84" s="764"/>
      <c r="N84" s="764"/>
      <c r="O84" s="764"/>
      <c r="P84" s="764"/>
      <c r="Q84" s="764"/>
      <c r="R84" s="764"/>
      <c r="S84" s="764"/>
      <c r="T84" s="764"/>
      <c r="U84" s="764"/>
      <c r="V84" s="764"/>
      <c r="W84" s="764"/>
      <c r="X84" s="764"/>
      <c r="Y84" s="764"/>
      <c r="Z84" s="764"/>
      <c r="AA84" s="764"/>
      <c r="AB84" s="764"/>
    </row>
    <row r="85" spans="2:28">
      <c r="B85" s="764"/>
      <c r="C85" s="152" t="s">
        <v>717</v>
      </c>
      <c r="D85" s="764"/>
      <c r="E85" s="764"/>
      <c r="F85" s="764"/>
      <c r="G85" s="764"/>
      <c r="H85" s="764"/>
      <c r="I85" s="764"/>
      <c r="J85" s="764"/>
      <c r="K85" s="764"/>
      <c r="L85" s="764"/>
      <c r="M85" s="764"/>
      <c r="N85" s="764"/>
      <c r="O85" s="764"/>
      <c r="P85" s="764"/>
      <c r="Q85" s="764"/>
      <c r="R85" s="764"/>
      <c r="S85" s="764"/>
      <c r="T85" s="764"/>
      <c r="U85" s="764"/>
      <c r="V85" s="764"/>
      <c r="W85" s="764"/>
      <c r="X85" s="764"/>
      <c r="Y85" s="764"/>
      <c r="Z85" s="764"/>
      <c r="AA85" s="764"/>
      <c r="AB85" s="764"/>
    </row>
    <row r="86" spans="2:28">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c r="AA86" s="764"/>
      <c r="AB86" s="764"/>
    </row>
    <row r="87" spans="2:28">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c r="AA87" s="764"/>
      <c r="AB87" s="764"/>
    </row>
    <row r="88" spans="2:28">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c r="AA88" s="764"/>
      <c r="AB88" s="764"/>
    </row>
    <row r="89" spans="2:28">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c r="AA89" s="764"/>
      <c r="AB89" s="764"/>
    </row>
    <row r="90" spans="2:28">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c r="AA90" s="764"/>
      <c r="AB90" s="764"/>
    </row>
    <row r="91" spans="2:28">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c r="AA91" s="764"/>
      <c r="AB91" s="764"/>
    </row>
    <row r="92" spans="2:28">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c r="AA92" s="764"/>
      <c r="AB92" s="764"/>
    </row>
    <row r="93" spans="2:28">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c r="AA93" s="764"/>
      <c r="AB93" s="764"/>
    </row>
    <row r="94" spans="2:28">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c r="AA94" s="764"/>
      <c r="AB94" s="764"/>
    </row>
    <row r="95" spans="2:28">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c r="AA95" s="764"/>
      <c r="AB95" s="764"/>
    </row>
    <row r="96" spans="2:28">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c r="AA96" s="764"/>
      <c r="AB96" s="764"/>
    </row>
    <row r="97" spans="2:28">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c r="AA97" s="764"/>
      <c r="AB97" s="764"/>
    </row>
  </sheetData>
  <mergeCells count="32">
    <mergeCell ref="C13:L13"/>
    <mergeCell ref="Y3:AC3"/>
    <mergeCell ref="O13:X13"/>
    <mergeCell ref="AA13:AJ13"/>
    <mergeCell ref="Z14:Z15"/>
    <mergeCell ref="N14:N15"/>
    <mergeCell ref="O14:O15"/>
    <mergeCell ref="P14:P15"/>
    <mergeCell ref="S14:T15"/>
    <mergeCell ref="U14:V15"/>
    <mergeCell ref="W14:W15"/>
    <mergeCell ref="X14:X15"/>
    <mergeCell ref="Q14:Q15"/>
    <mergeCell ref="R14:R15"/>
    <mergeCell ref="C70:AB70"/>
    <mergeCell ref="AJ14:AJ15"/>
    <mergeCell ref="AA14:AA15"/>
    <mergeCell ref="AB14:AB15"/>
    <mergeCell ref="AC14:AC15"/>
    <mergeCell ref="AD14:AD15"/>
    <mergeCell ref="AE14:AF15"/>
    <mergeCell ref="AG14:AH15"/>
    <mergeCell ref="AI14:AI15"/>
    <mergeCell ref="G14:H15"/>
    <mergeCell ref="I14:J15"/>
    <mergeCell ref="K14:K15"/>
    <mergeCell ref="L14:L15"/>
    <mergeCell ref="B14:B15"/>
    <mergeCell ref="C14:C15"/>
    <mergeCell ref="D14:D15"/>
    <mergeCell ref="E14:E15"/>
    <mergeCell ref="F14:F15"/>
  </mergeCells>
  <hyperlinks>
    <hyperlink ref="C59" r:id="rId1" display="http://salg.naturgas.dk/" xr:uid="{00000000-0004-0000-0A00-000000000000}"/>
  </hyperlinks>
  <pageMargins left="0.7" right="0.7" top="0.75" bottom="0.75" header="0.3" footer="0.3"/>
  <pageSetup paperSize="9" orientation="portrait"/>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4"/>
  </sheetPr>
  <dimension ref="B3:AJ89"/>
  <sheetViews>
    <sheetView workbookViewId="0">
      <selection activeCell="F12" sqref="F12"/>
    </sheetView>
  </sheetViews>
  <sheetFormatPr baseColWidth="10" defaultColWidth="8.83203125" defaultRowHeight="15"/>
  <cols>
    <col min="2" max="2" width="36.6640625" customWidth="1"/>
    <col min="3" max="3" width="10" bestFit="1" customWidth="1"/>
    <col min="14" max="14" width="26.5" customWidth="1"/>
    <col min="15" max="15" width="10.83203125" bestFit="1" customWidth="1"/>
    <col min="26" max="26" width="30" customWidth="1"/>
    <col min="27" max="27" width="10" bestFit="1" customWidth="1"/>
  </cols>
  <sheetData>
    <row r="3" spans="2:36">
      <c r="B3" s="8" t="s">
        <v>236</v>
      </c>
      <c r="J3" s="821" t="s">
        <v>783</v>
      </c>
    </row>
    <row r="4" spans="2:36" s="186" customFormat="1">
      <c r="B4" s="34" t="s">
        <v>273</v>
      </c>
      <c r="J4" s="821">
        <v>0.2</v>
      </c>
      <c r="N4" s="34" t="s">
        <v>273</v>
      </c>
      <c r="Z4" s="34" t="s">
        <v>273</v>
      </c>
      <c r="AG4" s="113"/>
    </row>
    <row r="5" spans="2:36" s="186" customFormat="1">
      <c r="B5" s="27" t="s">
        <v>255</v>
      </c>
      <c r="C5" s="27" t="s">
        <v>256</v>
      </c>
      <c r="D5" s="28" t="s">
        <v>257</v>
      </c>
      <c r="E5" s="28" t="s">
        <v>259</v>
      </c>
      <c r="F5" s="29" t="s">
        <v>745</v>
      </c>
      <c r="G5" s="30" t="s">
        <v>261</v>
      </c>
      <c r="H5" s="30" t="s">
        <v>262</v>
      </c>
      <c r="J5" s="30" t="s">
        <v>264</v>
      </c>
      <c r="K5" s="147"/>
      <c r="L5" s="29" t="s">
        <v>744</v>
      </c>
      <c r="M5" s="147"/>
      <c r="N5" s="27" t="s">
        <v>255</v>
      </c>
      <c r="O5" s="27" t="s">
        <v>256</v>
      </c>
      <c r="P5" s="28" t="s">
        <v>257</v>
      </c>
      <c r="Q5" s="28" t="s">
        <v>259</v>
      </c>
      <c r="R5" s="29" t="s">
        <v>260</v>
      </c>
      <c r="S5" s="30" t="s">
        <v>261</v>
      </c>
      <c r="T5" s="30" t="s">
        <v>262</v>
      </c>
      <c r="U5" s="30"/>
      <c r="X5" s="29" t="s">
        <v>744</v>
      </c>
      <c r="Z5" s="27" t="s">
        <v>255</v>
      </c>
      <c r="AA5" s="27" t="s">
        <v>256</v>
      </c>
      <c r="AB5" s="28" t="s">
        <v>257</v>
      </c>
      <c r="AC5" s="28" t="s">
        <v>259</v>
      </c>
      <c r="AD5" s="29" t="s">
        <v>260</v>
      </c>
      <c r="AE5" s="30" t="s">
        <v>261</v>
      </c>
      <c r="AF5" s="30" t="s">
        <v>262</v>
      </c>
      <c r="AG5" s="147"/>
      <c r="AJ5" s="29" t="s">
        <v>744</v>
      </c>
    </row>
    <row r="6" spans="2:36" s="186" customFormat="1" ht="16" thickBot="1">
      <c r="B6" s="31"/>
      <c r="C6" s="31"/>
      <c r="D6" s="32"/>
      <c r="E6" s="32"/>
      <c r="F6" s="33"/>
      <c r="G6" s="31"/>
      <c r="H6" s="31"/>
      <c r="J6" s="31"/>
      <c r="K6" s="148"/>
      <c r="L6" s="33"/>
      <c r="M6" s="148"/>
      <c r="N6" s="31"/>
      <c r="O6" s="31"/>
      <c r="P6" s="32"/>
      <c r="Q6" s="32"/>
      <c r="R6" s="33"/>
      <c r="S6" s="31"/>
      <c r="T6" s="31"/>
      <c r="U6" s="31"/>
      <c r="X6" s="33"/>
      <c r="Z6" s="31"/>
      <c r="AA6" s="31"/>
      <c r="AB6" s="32"/>
      <c r="AC6" s="32"/>
      <c r="AD6" s="33"/>
      <c r="AE6" s="31"/>
      <c r="AF6" s="31"/>
      <c r="AG6" s="148"/>
      <c r="AJ6" s="33"/>
    </row>
    <row r="7" spans="2:36" s="186" customFormat="1">
      <c r="B7" s="37"/>
      <c r="C7" s="37"/>
      <c r="D7" s="38"/>
      <c r="E7" s="38"/>
      <c r="F7" s="38" t="s">
        <v>353</v>
      </c>
      <c r="G7" s="38" t="s">
        <v>354</v>
      </c>
      <c r="H7" s="38" t="s">
        <v>355</v>
      </c>
      <c r="J7" s="37" t="s">
        <v>271</v>
      </c>
      <c r="K7" s="150"/>
      <c r="L7" s="38" t="s">
        <v>353</v>
      </c>
      <c r="M7" s="150"/>
      <c r="N7" s="37"/>
      <c r="O7" s="37"/>
      <c r="P7" s="38"/>
      <c r="Q7" s="38"/>
      <c r="R7" s="38" t="s">
        <v>353</v>
      </c>
      <c r="S7" s="38" t="s">
        <v>354</v>
      </c>
      <c r="T7" s="38" t="s">
        <v>355</v>
      </c>
      <c r="U7" s="38"/>
      <c r="X7" s="38" t="s">
        <v>353</v>
      </c>
      <c r="Z7" s="37"/>
      <c r="AA7" s="37"/>
      <c r="AB7" s="38"/>
      <c r="AC7" s="38"/>
      <c r="AD7" s="38" t="s">
        <v>353</v>
      </c>
      <c r="AE7" s="38" t="s">
        <v>354</v>
      </c>
      <c r="AF7" s="38" t="s">
        <v>355</v>
      </c>
      <c r="AG7" s="150"/>
      <c r="AJ7" s="38" t="s">
        <v>353</v>
      </c>
    </row>
    <row r="8" spans="2:36" s="186" customFormat="1">
      <c r="B8" s="39">
        <f>C14</f>
        <v>2015</v>
      </c>
      <c r="C8" s="39">
        <f>B8</f>
        <v>2015</v>
      </c>
      <c r="D8" s="39">
        <f>C22/100</f>
        <v>1</v>
      </c>
      <c r="E8" s="39">
        <f>C25</f>
        <v>25</v>
      </c>
      <c r="F8" s="226">
        <f>C48</f>
        <v>1.4155</v>
      </c>
      <c r="G8" s="226">
        <f>C51</f>
        <v>3.5015000000000004E-2</v>
      </c>
      <c r="H8" s="226">
        <f>C52</f>
        <v>0</v>
      </c>
      <c r="J8" s="39">
        <f>$J$4*E19/100</f>
        <v>0.2</v>
      </c>
      <c r="L8" s="226">
        <f>C50</f>
        <v>3.6505000000000001</v>
      </c>
      <c r="M8" s="151"/>
      <c r="N8" s="39">
        <f>O14</f>
        <v>2015</v>
      </c>
      <c r="O8" s="39">
        <f>N8</f>
        <v>2015</v>
      </c>
      <c r="P8" s="39">
        <f>O22/100</f>
        <v>1</v>
      </c>
      <c r="Q8" s="39">
        <f>O25</f>
        <v>20</v>
      </c>
      <c r="R8" s="226">
        <f>O48</f>
        <v>0.52150000000000007</v>
      </c>
      <c r="S8" s="226">
        <f>O51</f>
        <v>2.7836924999999997E-3</v>
      </c>
      <c r="T8" s="226">
        <f>O52</f>
        <v>0</v>
      </c>
      <c r="U8" s="226"/>
      <c r="X8" s="226">
        <f>P50</f>
        <v>0.58124825686063752</v>
      </c>
      <c r="Z8" s="39">
        <f>AA14</f>
        <v>2015</v>
      </c>
      <c r="AA8" s="39">
        <f>Z8</f>
        <v>2015</v>
      </c>
      <c r="AB8" s="39">
        <f>AA22/100</f>
        <v>1</v>
      </c>
      <c r="AC8" s="39">
        <f>AA25</f>
        <v>20</v>
      </c>
      <c r="AD8" s="226">
        <f>AA48</f>
        <v>0.52149999999999996</v>
      </c>
      <c r="AE8" s="226">
        <f>AA51</f>
        <v>4.6394875E-3</v>
      </c>
      <c r="AF8" s="228">
        <f>AA52</f>
        <v>0</v>
      </c>
      <c r="AG8" s="229"/>
      <c r="AJ8" s="226">
        <f>AA50</f>
        <v>0.70774999999999999</v>
      </c>
    </row>
    <row r="9" spans="2:36" s="186" customFormat="1">
      <c r="B9" s="39">
        <f>D14</f>
        <v>2020</v>
      </c>
      <c r="C9" s="39"/>
      <c r="D9" s="39">
        <f>D22/100</f>
        <v>1</v>
      </c>
      <c r="E9" s="39">
        <f>D25</f>
        <v>25</v>
      </c>
      <c r="F9" s="226">
        <f>D48</f>
        <v>1.3804646100440141</v>
      </c>
      <c r="G9" s="226">
        <f>D51</f>
        <v>3.4148335090562455E-2</v>
      </c>
      <c r="H9" s="226">
        <f>D52</f>
        <v>0</v>
      </c>
      <c r="J9" s="39">
        <f>$J$4*D19/100</f>
        <v>0.2</v>
      </c>
      <c r="L9" s="226">
        <f>D50</f>
        <v>3.5601455732714049</v>
      </c>
      <c r="M9" s="151"/>
      <c r="N9" s="39">
        <f>P14</f>
        <v>2020</v>
      </c>
      <c r="O9" s="39"/>
      <c r="P9" s="39">
        <f>P22/100</f>
        <v>1</v>
      </c>
      <c r="Q9" s="39">
        <f>P25</f>
        <v>20</v>
      </c>
      <c r="R9" s="226">
        <f>P48</f>
        <v>0.50859222475305788</v>
      </c>
      <c r="S9" s="226">
        <f>P51</f>
        <v>2.718039375E-3</v>
      </c>
      <c r="T9" s="226">
        <f>P52</f>
        <v>0</v>
      </c>
      <c r="U9" s="226"/>
      <c r="X9" s="226">
        <f>Q50</f>
        <v>0.55283110541572356</v>
      </c>
      <c r="Z9" s="39">
        <f>AB14</f>
        <v>2020</v>
      </c>
      <c r="AA9" s="39"/>
      <c r="AB9" s="39">
        <f>AB22/100</f>
        <v>1</v>
      </c>
      <c r="AC9" s="39">
        <f>AB25</f>
        <v>20</v>
      </c>
      <c r="AD9" s="226">
        <f>AB48</f>
        <v>0.50859222475305776</v>
      </c>
      <c r="AE9" s="226">
        <f>AB51</f>
        <v>4.5300656250000012E-3</v>
      </c>
      <c r="AF9" s="228">
        <f>AB52</f>
        <v>0</v>
      </c>
      <c r="AG9" s="229"/>
      <c r="AJ9" s="226">
        <f>AB50</f>
        <v>0.69023230502200694</v>
      </c>
    </row>
    <row r="10" spans="2:36" s="186" customFormat="1">
      <c r="B10" s="39">
        <f>E14</f>
        <v>2030</v>
      </c>
      <c r="C10" s="39"/>
      <c r="D10" s="39">
        <f>E22/100</f>
        <v>1</v>
      </c>
      <c r="E10" s="39">
        <f>E25</f>
        <v>25</v>
      </c>
      <c r="F10" s="226">
        <f>E48</f>
        <v>1.3129738753623432</v>
      </c>
      <c r="G10" s="226">
        <f>E51</f>
        <v>3.2478827443173756E-2</v>
      </c>
      <c r="H10" s="226">
        <f>E52</f>
        <v>0</v>
      </c>
      <c r="J10" s="39">
        <f>$J$4*E19/100</f>
        <v>0.2</v>
      </c>
      <c r="L10" s="226">
        <f>E50</f>
        <v>3.3860905206713063</v>
      </c>
      <c r="M10" s="151"/>
      <c r="N10" s="39">
        <f>Q14</f>
        <v>2030</v>
      </c>
      <c r="O10" s="39"/>
      <c r="P10" s="39">
        <f>Q22/100</f>
        <v>1</v>
      </c>
      <c r="Q10" s="39">
        <f>Q25</f>
        <v>20</v>
      </c>
      <c r="R10" s="226">
        <f>Q48</f>
        <v>0.48372721723875817</v>
      </c>
      <c r="S10" s="226">
        <f>Q51</f>
        <v>2.5823562500000004E-3</v>
      </c>
      <c r="T10" s="226">
        <f>Q52</f>
        <v>0</v>
      </c>
      <c r="U10" s="226"/>
      <c r="X10" s="226">
        <f>R50</f>
        <v>0.50009681178086551</v>
      </c>
      <c r="Z10" s="39">
        <f>AC14</f>
        <v>2030</v>
      </c>
      <c r="AA10" s="39"/>
      <c r="AB10" s="39">
        <f>AC22/100</f>
        <v>1</v>
      </c>
      <c r="AC10" s="39">
        <f>AC25</f>
        <v>20</v>
      </c>
      <c r="AD10" s="226">
        <f>AC48</f>
        <v>0.48372721723875806</v>
      </c>
      <c r="AE10" s="226">
        <f>AC51</f>
        <v>4.311221875E-3</v>
      </c>
      <c r="AF10" s="228">
        <f>AC52</f>
        <v>0</v>
      </c>
      <c r="AG10" s="229"/>
      <c r="AJ10" s="226">
        <f>AC50</f>
        <v>0.65648693768117172</v>
      </c>
    </row>
    <row r="11" spans="2:36" s="186" customFormat="1">
      <c r="B11" s="39">
        <f>F14</f>
        <v>2050</v>
      </c>
      <c r="C11" s="39"/>
      <c r="D11" s="39">
        <f>F22/100</f>
        <v>1</v>
      </c>
      <c r="E11" s="39">
        <f>F25</f>
        <v>25</v>
      </c>
      <c r="F11" s="226">
        <f>F48</f>
        <v>1.1877299279795555</v>
      </c>
      <c r="G11" s="226">
        <f>F51</f>
        <v>2.9380687692125845E-2</v>
      </c>
      <c r="H11" s="226">
        <f>F52</f>
        <v>0</v>
      </c>
      <c r="J11" s="39">
        <f>$J$4*F19/100</f>
        <v>0.2</v>
      </c>
      <c r="K11" s="151"/>
      <c r="L11" s="226">
        <f>F50</f>
        <v>3.0630929721578011</v>
      </c>
      <c r="M11" s="151"/>
      <c r="N11" s="39">
        <f>R14</f>
        <v>2050</v>
      </c>
      <c r="O11" s="39"/>
      <c r="P11" s="39">
        <f>R22/100</f>
        <v>1</v>
      </c>
      <c r="Q11" s="39">
        <f>R25</f>
        <v>20</v>
      </c>
      <c r="R11" s="226">
        <f>R48</f>
        <v>0.43758471030825735</v>
      </c>
      <c r="S11" s="226">
        <f>R51</f>
        <v>2.4554268749999992E-3</v>
      </c>
      <c r="T11" s="226">
        <f>R52</f>
        <v>0</v>
      </c>
      <c r="U11" s="226"/>
      <c r="X11" s="226">
        <f>S50</f>
        <v>0</v>
      </c>
      <c r="Z11" s="39">
        <f>AD14</f>
        <v>2050</v>
      </c>
      <c r="AA11" s="39"/>
      <c r="AB11" s="39">
        <f>AD22/100</f>
        <v>1</v>
      </c>
      <c r="AC11" s="39">
        <f>AD25</f>
        <v>20</v>
      </c>
      <c r="AD11" s="226">
        <f>AD48</f>
        <v>0.43758471030825735</v>
      </c>
      <c r="AE11" s="226">
        <f>AD51</f>
        <v>4.0923781249999997E-3</v>
      </c>
      <c r="AF11" s="228">
        <f>AD52</f>
        <v>0</v>
      </c>
      <c r="AG11" s="229"/>
      <c r="AJ11" s="226">
        <f>AD50</f>
        <v>0.59386496398977784</v>
      </c>
    </row>
    <row r="12" spans="2:36" ht="16" thickBot="1"/>
    <row r="13" spans="2:36" ht="15" customHeight="1" thickBot="1">
      <c r="B13" s="197" t="s">
        <v>0</v>
      </c>
      <c r="C13" s="1269" t="s">
        <v>837</v>
      </c>
      <c r="D13" s="1270"/>
      <c r="E13" s="1270"/>
      <c r="F13" s="1270"/>
      <c r="G13" s="1270"/>
      <c r="H13" s="1270"/>
      <c r="I13" s="1270"/>
      <c r="J13" s="1270"/>
      <c r="K13" s="1270"/>
      <c r="L13" s="1271"/>
      <c r="M13" s="198"/>
      <c r="N13" s="197" t="s">
        <v>0</v>
      </c>
      <c r="O13" s="1269" t="s">
        <v>485</v>
      </c>
      <c r="P13" s="1270"/>
      <c r="Q13" s="1270"/>
      <c r="R13" s="1270"/>
      <c r="S13" s="1270"/>
      <c r="T13" s="1270"/>
      <c r="U13" s="1270"/>
      <c r="V13" s="1270"/>
      <c r="W13" s="1270"/>
      <c r="X13" s="1271"/>
      <c r="Y13" s="198"/>
      <c r="Z13" s="197" t="s">
        <v>0</v>
      </c>
      <c r="AA13" s="1269" t="s">
        <v>486</v>
      </c>
      <c r="AB13" s="1270"/>
      <c r="AC13" s="1270"/>
      <c r="AD13" s="1270"/>
      <c r="AE13" s="1270"/>
      <c r="AF13" s="1270"/>
      <c r="AG13" s="1270"/>
      <c r="AH13" s="1270"/>
      <c r="AI13" s="1270"/>
      <c r="AJ13" s="1271"/>
    </row>
    <row r="14" spans="2:36" ht="15.75" customHeight="1">
      <c r="B14" s="1278"/>
      <c r="C14" s="1276">
        <v>2015</v>
      </c>
      <c r="D14" s="1276">
        <v>2020</v>
      </c>
      <c r="E14" s="1276">
        <v>2030</v>
      </c>
      <c r="F14" s="1276">
        <v>2050</v>
      </c>
      <c r="G14" s="1272" t="s">
        <v>467</v>
      </c>
      <c r="H14" s="1273"/>
      <c r="I14" s="1272" t="s">
        <v>468</v>
      </c>
      <c r="J14" s="1273"/>
      <c r="K14" s="1276" t="s">
        <v>2</v>
      </c>
      <c r="L14" s="1276" t="s">
        <v>3</v>
      </c>
      <c r="M14" s="198"/>
      <c r="N14" s="1278"/>
      <c r="O14" s="1276">
        <v>2015</v>
      </c>
      <c r="P14" s="1276">
        <v>2020</v>
      </c>
      <c r="Q14" s="1276">
        <v>2030</v>
      </c>
      <c r="R14" s="1276">
        <v>2050</v>
      </c>
      <c r="S14" s="1272" t="s">
        <v>467</v>
      </c>
      <c r="T14" s="1273"/>
      <c r="U14" s="1272" t="s">
        <v>468</v>
      </c>
      <c r="V14" s="1273"/>
      <c r="W14" s="1276" t="s">
        <v>2</v>
      </c>
      <c r="X14" s="1276" t="s">
        <v>3</v>
      </c>
      <c r="Y14" s="198"/>
      <c r="Z14" s="1278"/>
      <c r="AA14" s="1276">
        <v>2015</v>
      </c>
      <c r="AB14" s="1276">
        <v>2020</v>
      </c>
      <c r="AC14" s="1276">
        <v>2030</v>
      </c>
      <c r="AD14" s="1276">
        <v>2050</v>
      </c>
      <c r="AE14" s="1272" t="s">
        <v>467</v>
      </c>
      <c r="AF14" s="1273"/>
      <c r="AG14" s="1272" t="s">
        <v>468</v>
      </c>
      <c r="AH14" s="1273"/>
      <c r="AI14" s="1276" t="s">
        <v>2</v>
      </c>
      <c r="AJ14" s="1276" t="s">
        <v>3</v>
      </c>
    </row>
    <row r="15" spans="2:36" ht="16" thickBot="1">
      <c r="B15" s="1279"/>
      <c r="C15" s="1277"/>
      <c r="D15" s="1277"/>
      <c r="E15" s="1277"/>
      <c r="F15" s="1277"/>
      <c r="G15" s="1274"/>
      <c r="H15" s="1275"/>
      <c r="I15" s="1274"/>
      <c r="J15" s="1275"/>
      <c r="K15" s="1277"/>
      <c r="L15" s="1277"/>
      <c r="M15" s="198"/>
      <c r="N15" s="1279"/>
      <c r="O15" s="1277"/>
      <c r="P15" s="1277"/>
      <c r="Q15" s="1277"/>
      <c r="R15" s="1277"/>
      <c r="S15" s="1274"/>
      <c r="T15" s="1275"/>
      <c r="U15" s="1274"/>
      <c r="V15" s="1275"/>
      <c r="W15" s="1277"/>
      <c r="X15" s="1277"/>
      <c r="Y15" s="198"/>
      <c r="Z15" s="1279"/>
      <c r="AA15" s="1277"/>
      <c r="AB15" s="1277"/>
      <c r="AC15" s="1277"/>
      <c r="AD15" s="1277"/>
      <c r="AE15" s="1274"/>
      <c r="AF15" s="1275"/>
      <c r="AG15" s="1274"/>
      <c r="AH15" s="1275"/>
      <c r="AI15" s="1277"/>
      <c r="AJ15" s="1277"/>
    </row>
    <row r="16" spans="2:36" ht="16" thickBot="1">
      <c r="B16" s="199" t="s">
        <v>4</v>
      </c>
      <c r="C16" s="179"/>
      <c r="D16" s="179"/>
      <c r="E16" s="179"/>
      <c r="F16" s="179"/>
      <c r="G16" s="192" t="s">
        <v>469</v>
      </c>
      <c r="H16" s="192" t="s">
        <v>470</v>
      </c>
      <c r="I16" s="192" t="s">
        <v>469</v>
      </c>
      <c r="J16" s="192" t="s">
        <v>470</v>
      </c>
      <c r="K16" s="179"/>
      <c r="L16" s="200"/>
      <c r="M16" s="198"/>
      <c r="N16" s="199" t="s">
        <v>4</v>
      </c>
      <c r="O16" s="179"/>
      <c r="P16" s="179"/>
      <c r="Q16" s="179"/>
      <c r="R16" s="179"/>
      <c r="S16" s="192" t="s">
        <v>469</v>
      </c>
      <c r="T16" s="192" t="s">
        <v>470</v>
      </c>
      <c r="U16" s="192" t="s">
        <v>469</v>
      </c>
      <c r="V16" s="192" t="s">
        <v>470</v>
      </c>
      <c r="W16" s="179"/>
      <c r="X16" s="200"/>
      <c r="Y16" s="198"/>
      <c r="Z16" s="199" t="s">
        <v>4</v>
      </c>
      <c r="AA16" s="179"/>
      <c r="AB16" s="179"/>
      <c r="AC16" s="179"/>
      <c r="AD16" s="179"/>
      <c r="AE16" s="192" t="s">
        <v>469</v>
      </c>
      <c r="AF16" s="192" t="s">
        <v>470</v>
      </c>
      <c r="AG16" s="192" t="s">
        <v>469</v>
      </c>
      <c r="AH16" s="192" t="s">
        <v>470</v>
      </c>
      <c r="AI16" s="179"/>
      <c r="AJ16" s="200"/>
    </row>
    <row r="17" spans="2:36" ht="16" thickBot="1">
      <c r="B17" s="201" t="s">
        <v>5</v>
      </c>
      <c r="C17" s="191">
        <v>10</v>
      </c>
      <c r="D17" s="191">
        <v>10</v>
      </c>
      <c r="E17" s="191">
        <v>10</v>
      </c>
      <c r="F17" s="191">
        <v>10</v>
      </c>
      <c r="G17" s="191">
        <v>5</v>
      </c>
      <c r="H17" s="191">
        <v>15</v>
      </c>
      <c r="I17" s="191">
        <v>5</v>
      </c>
      <c r="J17" s="191">
        <v>15</v>
      </c>
      <c r="K17" s="191" t="s">
        <v>39</v>
      </c>
      <c r="L17" s="191"/>
      <c r="M17" s="220"/>
      <c r="N17" s="201" t="s">
        <v>5</v>
      </c>
      <c r="O17" s="191">
        <v>400</v>
      </c>
      <c r="P17" s="191">
        <v>400</v>
      </c>
      <c r="Q17" s="191">
        <v>400</v>
      </c>
      <c r="R17" s="191">
        <v>400</v>
      </c>
      <c r="S17" s="191">
        <v>150</v>
      </c>
      <c r="T17" s="191">
        <v>500</v>
      </c>
      <c r="U17" s="191">
        <v>150</v>
      </c>
      <c r="V17" s="191">
        <v>500</v>
      </c>
      <c r="W17" s="191" t="s">
        <v>6</v>
      </c>
      <c r="X17" s="191"/>
      <c r="Y17" s="220"/>
      <c r="Z17" s="201" t="s">
        <v>5</v>
      </c>
      <c r="AA17" s="191">
        <v>160</v>
      </c>
      <c r="AB17" s="191">
        <v>160</v>
      </c>
      <c r="AC17" s="191">
        <v>160</v>
      </c>
      <c r="AD17" s="191">
        <v>160</v>
      </c>
      <c r="AE17" s="191">
        <v>150</v>
      </c>
      <c r="AF17" s="191">
        <v>500</v>
      </c>
      <c r="AG17" s="191">
        <v>150</v>
      </c>
      <c r="AH17" s="191">
        <v>500</v>
      </c>
      <c r="AI17" s="191" t="s">
        <v>6</v>
      </c>
      <c r="AJ17" s="191"/>
    </row>
    <row r="18" spans="2:36" ht="25" thickBot="1">
      <c r="B18" s="201" t="s">
        <v>77</v>
      </c>
      <c r="C18" s="191" t="s">
        <v>487</v>
      </c>
      <c r="D18" s="191" t="s">
        <v>487</v>
      </c>
      <c r="E18" s="191" t="s">
        <v>487</v>
      </c>
      <c r="F18" s="191" t="s">
        <v>487</v>
      </c>
      <c r="G18" s="191" t="s">
        <v>487</v>
      </c>
      <c r="H18" s="191" t="s">
        <v>487</v>
      </c>
      <c r="I18" s="191" t="s">
        <v>487</v>
      </c>
      <c r="J18" s="191" t="s">
        <v>487</v>
      </c>
      <c r="K18" s="191"/>
      <c r="L18" s="191"/>
      <c r="M18" s="220"/>
      <c r="N18" s="201" t="s">
        <v>77</v>
      </c>
      <c r="O18" s="191" t="s">
        <v>487</v>
      </c>
      <c r="P18" s="191" t="s">
        <v>487</v>
      </c>
      <c r="Q18" s="191" t="s">
        <v>487</v>
      </c>
      <c r="R18" s="191" t="s">
        <v>487</v>
      </c>
      <c r="S18" s="191" t="s">
        <v>487</v>
      </c>
      <c r="T18" s="191" t="s">
        <v>487</v>
      </c>
      <c r="U18" s="191" t="s">
        <v>487</v>
      </c>
      <c r="V18" s="191" t="s">
        <v>487</v>
      </c>
      <c r="W18" s="191"/>
      <c r="X18" s="191"/>
      <c r="Y18" s="220"/>
      <c r="Z18" s="201" t="s">
        <v>77</v>
      </c>
      <c r="AA18" s="191" t="s">
        <v>487</v>
      </c>
      <c r="AB18" s="191" t="s">
        <v>487</v>
      </c>
      <c r="AC18" s="191" t="s">
        <v>487</v>
      </c>
      <c r="AD18" s="191" t="s">
        <v>487</v>
      </c>
      <c r="AE18" s="191" t="s">
        <v>487</v>
      </c>
      <c r="AF18" s="191" t="s">
        <v>487</v>
      </c>
      <c r="AG18" s="191" t="s">
        <v>487</v>
      </c>
      <c r="AH18" s="191" t="s">
        <v>487</v>
      </c>
      <c r="AI18" s="191"/>
      <c r="AJ18" s="191"/>
    </row>
    <row r="19" spans="2:36" ht="30.75" customHeight="1" thickBot="1">
      <c r="B19" s="201" t="s">
        <v>7</v>
      </c>
      <c r="C19" s="191">
        <v>100</v>
      </c>
      <c r="D19" s="191">
        <v>100</v>
      </c>
      <c r="E19" s="191">
        <v>100</v>
      </c>
      <c r="F19" s="191">
        <v>100</v>
      </c>
      <c r="G19" s="191">
        <v>100</v>
      </c>
      <c r="H19" s="191">
        <v>100</v>
      </c>
      <c r="I19" s="191">
        <v>100</v>
      </c>
      <c r="J19" s="191">
        <v>100</v>
      </c>
      <c r="K19" s="191"/>
      <c r="L19" s="191"/>
      <c r="M19" s="220"/>
      <c r="N19" s="201" t="s">
        <v>7</v>
      </c>
      <c r="O19" s="191">
        <v>100</v>
      </c>
      <c r="P19" s="191">
        <v>100</v>
      </c>
      <c r="Q19" s="191">
        <v>100</v>
      </c>
      <c r="R19" s="191">
        <v>100</v>
      </c>
      <c r="S19" s="191">
        <v>100</v>
      </c>
      <c r="T19" s="191">
        <v>100</v>
      </c>
      <c r="U19" s="191">
        <v>100</v>
      </c>
      <c r="V19" s="191">
        <v>100</v>
      </c>
      <c r="W19" s="191"/>
      <c r="X19" s="191"/>
      <c r="Y19" s="220"/>
      <c r="Z19" s="201" t="s">
        <v>7</v>
      </c>
      <c r="AA19" s="191">
        <v>100</v>
      </c>
      <c r="AB19" s="191">
        <v>100</v>
      </c>
      <c r="AC19" s="191">
        <v>100</v>
      </c>
      <c r="AD19" s="191">
        <v>100</v>
      </c>
      <c r="AE19" s="191">
        <v>100</v>
      </c>
      <c r="AF19" s="191">
        <v>100</v>
      </c>
      <c r="AG19" s="191">
        <v>100</v>
      </c>
      <c r="AH19" s="191">
        <v>100</v>
      </c>
      <c r="AI19" s="191"/>
      <c r="AJ19" s="191"/>
    </row>
    <row r="20" spans="2:36" ht="36" customHeight="1" thickBot="1">
      <c r="B20" s="201" t="s">
        <v>8</v>
      </c>
      <c r="C20" s="191">
        <v>100</v>
      </c>
      <c r="D20" s="191">
        <v>100</v>
      </c>
      <c r="E20" s="191">
        <v>100</v>
      </c>
      <c r="F20" s="191">
        <v>100</v>
      </c>
      <c r="G20" s="191">
        <v>100</v>
      </c>
      <c r="H20" s="191">
        <v>100</v>
      </c>
      <c r="I20" s="191">
        <v>100</v>
      </c>
      <c r="J20" s="191">
        <v>100</v>
      </c>
      <c r="K20" s="191"/>
      <c r="L20" s="191"/>
      <c r="M20" s="220"/>
      <c r="N20" s="201" t="s">
        <v>8</v>
      </c>
      <c r="O20" s="191">
        <v>100</v>
      </c>
      <c r="P20" s="191">
        <v>100</v>
      </c>
      <c r="Q20" s="191">
        <v>100</v>
      </c>
      <c r="R20" s="191">
        <v>100</v>
      </c>
      <c r="S20" s="191">
        <v>100</v>
      </c>
      <c r="T20" s="191">
        <v>100</v>
      </c>
      <c r="U20" s="191">
        <v>100</v>
      </c>
      <c r="V20" s="191">
        <v>100</v>
      </c>
      <c r="W20" s="191"/>
      <c r="X20" s="191"/>
      <c r="Y20" s="220"/>
      <c r="Z20" s="201" t="s">
        <v>8</v>
      </c>
      <c r="AA20" s="191">
        <v>100</v>
      </c>
      <c r="AB20" s="191">
        <v>100</v>
      </c>
      <c r="AC20" s="191">
        <v>100</v>
      </c>
      <c r="AD20" s="191">
        <v>100</v>
      </c>
      <c r="AE20" s="191">
        <v>100</v>
      </c>
      <c r="AF20" s="191">
        <v>100</v>
      </c>
      <c r="AG20" s="191">
        <v>100</v>
      </c>
      <c r="AH20" s="191">
        <v>100</v>
      </c>
      <c r="AI20" s="191"/>
      <c r="AJ20" s="191"/>
    </row>
    <row r="21" spans="2:36" ht="16" thickBot="1">
      <c r="B21" s="201" t="s">
        <v>82</v>
      </c>
      <c r="C21" s="191" t="s">
        <v>487</v>
      </c>
      <c r="D21" s="191" t="s">
        <v>487</v>
      </c>
      <c r="E21" s="191" t="s">
        <v>487</v>
      </c>
      <c r="F21" s="191" t="s">
        <v>487</v>
      </c>
      <c r="G21" s="191" t="s">
        <v>487</v>
      </c>
      <c r="H21" s="191" t="s">
        <v>487</v>
      </c>
      <c r="I21" s="191" t="s">
        <v>487</v>
      </c>
      <c r="J21" s="191" t="s">
        <v>487</v>
      </c>
      <c r="K21" s="191"/>
      <c r="L21" s="191"/>
      <c r="M21" s="220"/>
      <c r="N21" s="201" t="s">
        <v>82</v>
      </c>
      <c r="O21" s="191" t="s">
        <v>487</v>
      </c>
      <c r="P21" s="191" t="s">
        <v>487</v>
      </c>
      <c r="Q21" s="191" t="s">
        <v>487</v>
      </c>
      <c r="R21" s="191" t="s">
        <v>487</v>
      </c>
      <c r="S21" s="191" t="s">
        <v>487</v>
      </c>
      <c r="T21" s="191" t="s">
        <v>487</v>
      </c>
      <c r="U21" s="191" t="s">
        <v>487</v>
      </c>
      <c r="V21" s="191" t="s">
        <v>487</v>
      </c>
      <c r="W21" s="191"/>
      <c r="X21" s="191"/>
      <c r="Y21" s="220"/>
      <c r="Z21" s="201" t="s">
        <v>82</v>
      </c>
      <c r="AA21" s="191" t="s">
        <v>487</v>
      </c>
      <c r="AB21" s="191" t="s">
        <v>487</v>
      </c>
      <c r="AC21" s="191" t="s">
        <v>487</v>
      </c>
      <c r="AD21" s="191" t="s">
        <v>487</v>
      </c>
      <c r="AE21" s="191" t="s">
        <v>487</v>
      </c>
      <c r="AF21" s="191" t="s">
        <v>487</v>
      </c>
      <c r="AG21" s="191" t="s">
        <v>487</v>
      </c>
      <c r="AH21" s="191" t="s">
        <v>487</v>
      </c>
      <c r="AI21" s="191"/>
      <c r="AJ21" s="191"/>
    </row>
    <row r="22" spans="2:36" ht="16" thickBot="1">
      <c r="B22" s="201" t="s">
        <v>86</v>
      </c>
      <c r="C22" s="191">
        <v>100</v>
      </c>
      <c r="D22" s="191">
        <v>100</v>
      </c>
      <c r="E22" s="191">
        <v>100</v>
      </c>
      <c r="F22" s="191">
        <v>100</v>
      </c>
      <c r="G22" s="191">
        <v>98</v>
      </c>
      <c r="H22" s="191">
        <v>100</v>
      </c>
      <c r="I22" s="191">
        <v>99</v>
      </c>
      <c r="J22" s="191">
        <v>100</v>
      </c>
      <c r="K22" s="191" t="s">
        <v>40</v>
      </c>
      <c r="L22" s="191">
        <v>9</v>
      </c>
      <c r="M22" s="220"/>
      <c r="N22" s="201" t="s">
        <v>86</v>
      </c>
      <c r="O22" s="191">
        <v>100</v>
      </c>
      <c r="P22" s="191">
        <v>100</v>
      </c>
      <c r="Q22" s="191">
        <v>100</v>
      </c>
      <c r="R22" s="191">
        <v>100</v>
      </c>
      <c r="S22" s="191">
        <v>98</v>
      </c>
      <c r="T22" s="191">
        <v>100</v>
      </c>
      <c r="U22" s="191">
        <v>98</v>
      </c>
      <c r="V22" s="191">
        <v>100</v>
      </c>
      <c r="W22" s="191"/>
      <c r="X22" s="191"/>
      <c r="Y22" s="220"/>
      <c r="Z22" s="201" t="s">
        <v>86</v>
      </c>
      <c r="AA22" s="191">
        <v>100</v>
      </c>
      <c r="AB22" s="191">
        <v>100</v>
      </c>
      <c r="AC22" s="191">
        <v>100</v>
      </c>
      <c r="AD22" s="191">
        <v>100</v>
      </c>
      <c r="AE22" s="191">
        <v>98</v>
      </c>
      <c r="AF22" s="191">
        <v>100</v>
      </c>
      <c r="AG22" s="191">
        <v>98</v>
      </c>
      <c r="AH22" s="191">
        <v>100</v>
      </c>
      <c r="AI22" s="191"/>
      <c r="AJ22" s="191"/>
    </row>
    <row r="23" spans="2:36" ht="16" thickBot="1">
      <c r="B23" s="201" t="s">
        <v>9</v>
      </c>
      <c r="C23" s="191">
        <v>100</v>
      </c>
      <c r="D23" s="191">
        <v>100</v>
      </c>
      <c r="E23" s="191">
        <v>100</v>
      </c>
      <c r="F23" s="191">
        <v>100</v>
      </c>
      <c r="G23" s="191">
        <v>98</v>
      </c>
      <c r="H23" s="191">
        <v>100</v>
      </c>
      <c r="I23" s="191">
        <v>99</v>
      </c>
      <c r="J23" s="191">
        <v>100</v>
      </c>
      <c r="K23" s="191"/>
      <c r="L23" s="191"/>
      <c r="M23" s="220"/>
      <c r="N23" s="201" t="s">
        <v>9</v>
      </c>
      <c r="O23" s="191">
        <v>100</v>
      </c>
      <c r="P23" s="191">
        <v>100</v>
      </c>
      <c r="Q23" s="191">
        <v>100</v>
      </c>
      <c r="R23" s="191">
        <v>100</v>
      </c>
      <c r="S23" s="191">
        <v>98</v>
      </c>
      <c r="T23" s="191">
        <v>100</v>
      </c>
      <c r="U23" s="191">
        <v>98</v>
      </c>
      <c r="V23" s="191">
        <v>100</v>
      </c>
      <c r="W23" s="191" t="s">
        <v>42</v>
      </c>
      <c r="X23" s="191"/>
      <c r="Y23" s="220"/>
      <c r="Z23" s="201" t="s">
        <v>9</v>
      </c>
      <c r="AA23" s="191">
        <v>100</v>
      </c>
      <c r="AB23" s="191">
        <v>100</v>
      </c>
      <c r="AC23" s="191">
        <v>100</v>
      </c>
      <c r="AD23" s="191">
        <v>100</v>
      </c>
      <c r="AE23" s="191">
        <v>98</v>
      </c>
      <c r="AF23" s="191">
        <v>100</v>
      </c>
      <c r="AG23" s="191">
        <v>98</v>
      </c>
      <c r="AH23" s="191">
        <v>100</v>
      </c>
      <c r="AI23" s="191" t="s">
        <v>42</v>
      </c>
      <c r="AJ23" s="191"/>
    </row>
    <row r="24" spans="2:36" ht="25" thickBot="1">
      <c r="B24" s="201" t="s">
        <v>472</v>
      </c>
      <c r="C24" s="191">
        <v>40</v>
      </c>
      <c r="D24" s="191">
        <v>40</v>
      </c>
      <c r="E24" s="191">
        <v>35</v>
      </c>
      <c r="F24" s="191">
        <v>30</v>
      </c>
      <c r="G24" s="191">
        <v>50</v>
      </c>
      <c r="H24" s="191">
        <v>100</v>
      </c>
      <c r="I24" s="191">
        <v>50</v>
      </c>
      <c r="J24" s="191">
        <v>100</v>
      </c>
      <c r="K24" s="191" t="s">
        <v>31</v>
      </c>
      <c r="L24" s="191"/>
      <c r="M24" s="220"/>
      <c r="N24" s="201" t="s">
        <v>472</v>
      </c>
      <c r="O24" s="191">
        <v>600</v>
      </c>
      <c r="P24" s="191">
        <v>600</v>
      </c>
      <c r="Q24" s="191">
        <v>600</v>
      </c>
      <c r="R24" s="191">
        <v>600</v>
      </c>
      <c r="S24" s="191">
        <v>400</v>
      </c>
      <c r="T24" s="191">
        <v>1000</v>
      </c>
      <c r="U24" s="191">
        <v>400</v>
      </c>
      <c r="V24" s="191">
        <v>1000</v>
      </c>
      <c r="W24" s="191" t="s">
        <v>41</v>
      </c>
      <c r="X24" s="191"/>
      <c r="Y24" s="220"/>
      <c r="Z24" s="201" t="s">
        <v>472</v>
      </c>
      <c r="AA24" s="191">
        <v>300</v>
      </c>
      <c r="AB24" s="191">
        <v>300</v>
      </c>
      <c r="AC24" s="191">
        <v>300</v>
      </c>
      <c r="AD24" s="191">
        <v>300</v>
      </c>
      <c r="AE24" s="191">
        <v>200</v>
      </c>
      <c r="AF24" s="191">
        <v>500</v>
      </c>
      <c r="AG24" s="191">
        <v>200</v>
      </c>
      <c r="AH24" s="191">
        <v>500</v>
      </c>
      <c r="AI24" s="191" t="s">
        <v>41</v>
      </c>
      <c r="AJ24" s="191"/>
    </row>
    <row r="25" spans="2:36" ht="16" thickBot="1">
      <c r="B25" s="201" t="s">
        <v>10</v>
      </c>
      <c r="C25" s="191">
        <v>25</v>
      </c>
      <c r="D25" s="191">
        <v>25</v>
      </c>
      <c r="E25" s="191">
        <v>25</v>
      </c>
      <c r="F25" s="191">
        <v>25</v>
      </c>
      <c r="G25" s="191">
        <v>20</v>
      </c>
      <c r="H25" s="191">
        <v>30</v>
      </c>
      <c r="I25" s="191">
        <v>20</v>
      </c>
      <c r="J25" s="191">
        <v>30</v>
      </c>
      <c r="K25" s="191"/>
      <c r="L25" s="191">
        <v>8</v>
      </c>
      <c r="M25" s="220"/>
      <c r="N25" s="201" t="s">
        <v>10</v>
      </c>
      <c r="O25" s="191">
        <v>20</v>
      </c>
      <c r="P25" s="191">
        <v>20</v>
      </c>
      <c r="Q25" s="191">
        <v>20</v>
      </c>
      <c r="R25" s="191">
        <v>20</v>
      </c>
      <c r="S25" s="191">
        <v>15</v>
      </c>
      <c r="T25" s="191">
        <v>30</v>
      </c>
      <c r="U25" s="191">
        <v>15</v>
      </c>
      <c r="V25" s="191">
        <v>30</v>
      </c>
      <c r="W25" s="191"/>
      <c r="X25" s="191"/>
      <c r="Y25" s="220"/>
      <c r="Z25" s="201" t="s">
        <v>10</v>
      </c>
      <c r="AA25" s="191">
        <v>20</v>
      </c>
      <c r="AB25" s="191">
        <v>20</v>
      </c>
      <c r="AC25" s="191">
        <v>20</v>
      </c>
      <c r="AD25" s="191">
        <v>20</v>
      </c>
      <c r="AE25" s="191">
        <v>15</v>
      </c>
      <c r="AF25" s="191">
        <v>30</v>
      </c>
      <c r="AG25" s="191">
        <v>15</v>
      </c>
      <c r="AH25" s="191">
        <v>30</v>
      </c>
      <c r="AI25" s="191"/>
      <c r="AJ25" s="191"/>
    </row>
    <row r="26" spans="2:36" ht="16" hidden="1" thickBot="1">
      <c r="B26" s="199" t="s">
        <v>488</v>
      </c>
      <c r="C26" s="192"/>
      <c r="D26" s="192"/>
      <c r="E26" s="192"/>
      <c r="F26" s="192"/>
      <c r="G26" s="192"/>
      <c r="H26" s="192"/>
      <c r="I26" s="192"/>
      <c r="J26" s="192"/>
      <c r="K26" s="192"/>
      <c r="L26" s="191"/>
      <c r="M26" s="220"/>
      <c r="N26" s="199" t="s">
        <v>488</v>
      </c>
      <c r="O26" s="192"/>
      <c r="P26" s="192"/>
      <c r="Q26" s="192"/>
      <c r="R26" s="192"/>
      <c r="S26" s="192"/>
      <c r="T26" s="192"/>
      <c r="U26" s="192"/>
      <c r="V26" s="192"/>
      <c r="W26" s="192"/>
      <c r="X26" s="191"/>
      <c r="Y26" s="220"/>
      <c r="Z26" s="199" t="s">
        <v>488</v>
      </c>
      <c r="AA26" s="192"/>
      <c r="AB26" s="192"/>
      <c r="AC26" s="192"/>
      <c r="AD26" s="192"/>
      <c r="AE26" s="192"/>
      <c r="AF26" s="192"/>
      <c r="AG26" s="192"/>
      <c r="AH26" s="192"/>
      <c r="AI26" s="192"/>
      <c r="AJ26" s="191"/>
    </row>
    <row r="27" spans="2:36" ht="16" hidden="1" thickBot="1">
      <c r="B27" s="201" t="s">
        <v>489</v>
      </c>
      <c r="C27" s="191" t="s">
        <v>487</v>
      </c>
      <c r="D27" s="191" t="s">
        <v>487</v>
      </c>
      <c r="E27" s="191" t="s">
        <v>487</v>
      </c>
      <c r="F27" s="191" t="s">
        <v>487</v>
      </c>
      <c r="G27" s="191" t="s">
        <v>487</v>
      </c>
      <c r="H27" s="191" t="s">
        <v>487</v>
      </c>
      <c r="I27" s="191" t="s">
        <v>487</v>
      </c>
      <c r="J27" s="191" t="s">
        <v>487</v>
      </c>
      <c r="K27" s="191"/>
      <c r="L27" s="191"/>
      <c r="M27" s="220"/>
      <c r="N27" s="201" t="s">
        <v>489</v>
      </c>
      <c r="O27" s="191" t="s">
        <v>487</v>
      </c>
      <c r="P27" s="191" t="s">
        <v>487</v>
      </c>
      <c r="Q27" s="191" t="s">
        <v>487</v>
      </c>
      <c r="R27" s="191" t="s">
        <v>487</v>
      </c>
      <c r="S27" s="191" t="s">
        <v>487</v>
      </c>
      <c r="T27" s="191" t="s">
        <v>487</v>
      </c>
      <c r="U27" s="191" t="s">
        <v>487</v>
      </c>
      <c r="V27" s="191" t="s">
        <v>487</v>
      </c>
      <c r="W27" s="191"/>
      <c r="X27" s="191"/>
      <c r="Y27" s="220"/>
      <c r="Z27" s="201" t="s">
        <v>489</v>
      </c>
      <c r="AA27" s="191" t="s">
        <v>487</v>
      </c>
      <c r="AB27" s="191" t="s">
        <v>487</v>
      </c>
      <c r="AC27" s="191" t="s">
        <v>487</v>
      </c>
      <c r="AD27" s="191" t="s">
        <v>487</v>
      </c>
      <c r="AE27" s="191" t="s">
        <v>487</v>
      </c>
      <c r="AF27" s="191" t="s">
        <v>487</v>
      </c>
      <c r="AG27" s="191" t="s">
        <v>487</v>
      </c>
      <c r="AH27" s="191" t="s">
        <v>487</v>
      </c>
      <c r="AI27" s="191"/>
      <c r="AJ27" s="191"/>
    </row>
    <row r="28" spans="2:36" ht="16" hidden="1" thickBot="1">
      <c r="B28" s="201" t="s">
        <v>490</v>
      </c>
      <c r="C28" s="191" t="s">
        <v>487</v>
      </c>
      <c r="D28" s="191" t="s">
        <v>487</v>
      </c>
      <c r="E28" s="191" t="s">
        <v>487</v>
      </c>
      <c r="F28" s="191" t="s">
        <v>487</v>
      </c>
      <c r="G28" s="191" t="s">
        <v>487</v>
      </c>
      <c r="H28" s="191" t="s">
        <v>487</v>
      </c>
      <c r="I28" s="191" t="s">
        <v>487</v>
      </c>
      <c r="J28" s="191" t="s">
        <v>487</v>
      </c>
      <c r="K28" s="191"/>
      <c r="L28" s="191"/>
      <c r="M28" s="220"/>
      <c r="N28" s="201" t="s">
        <v>490</v>
      </c>
      <c r="O28" s="191" t="s">
        <v>487</v>
      </c>
      <c r="P28" s="191" t="s">
        <v>487</v>
      </c>
      <c r="Q28" s="191" t="s">
        <v>487</v>
      </c>
      <c r="R28" s="191" t="s">
        <v>487</v>
      </c>
      <c r="S28" s="191" t="s">
        <v>487</v>
      </c>
      <c r="T28" s="191" t="s">
        <v>487</v>
      </c>
      <c r="U28" s="191" t="s">
        <v>487</v>
      </c>
      <c r="V28" s="191" t="s">
        <v>487</v>
      </c>
      <c r="W28" s="191"/>
      <c r="X28" s="191"/>
      <c r="Y28" s="220"/>
      <c r="Z28" s="201" t="s">
        <v>490</v>
      </c>
      <c r="AA28" s="191" t="s">
        <v>487</v>
      </c>
      <c r="AB28" s="191" t="s">
        <v>487</v>
      </c>
      <c r="AC28" s="191" t="s">
        <v>487</v>
      </c>
      <c r="AD28" s="191" t="s">
        <v>487</v>
      </c>
      <c r="AE28" s="191" t="s">
        <v>487</v>
      </c>
      <c r="AF28" s="191" t="s">
        <v>487</v>
      </c>
      <c r="AG28" s="191" t="s">
        <v>487</v>
      </c>
      <c r="AH28" s="191" t="s">
        <v>487</v>
      </c>
      <c r="AI28" s="191"/>
      <c r="AJ28" s="191"/>
    </row>
    <row r="29" spans="2:36" ht="16" hidden="1" thickBot="1">
      <c r="B29" s="201" t="s">
        <v>491</v>
      </c>
      <c r="C29" s="191" t="s">
        <v>487</v>
      </c>
      <c r="D29" s="191" t="s">
        <v>487</v>
      </c>
      <c r="E29" s="191" t="s">
        <v>487</v>
      </c>
      <c r="F29" s="191" t="s">
        <v>487</v>
      </c>
      <c r="G29" s="191" t="s">
        <v>487</v>
      </c>
      <c r="H29" s="191" t="s">
        <v>487</v>
      </c>
      <c r="I29" s="191" t="s">
        <v>487</v>
      </c>
      <c r="J29" s="191" t="s">
        <v>487</v>
      </c>
      <c r="K29" s="191"/>
      <c r="L29" s="191"/>
      <c r="M29" s="220"/>
      <c r="N29" s="201" t="s">
        <v>491</v>
      </c>
      <c r="O29" s="191" t="s">
        <v>487</v>
      </c>
      <c r="P29" s="191" t="s">
        <v>487</v>
      </c>
      <c r="Q29" s="191" t="s">
        <v>487</v>
      </c>
      <c r="R29" s="191" t="s">
        <v>487</v>
      </c>
      <c r="S29" s="191" t="s">
        <v>487</v>
      </c>
      <c r="T29" s="191" t="s">
        <v>487</v>
      </c>
      <c r="U29" s="191" t="s">
        <v>487</v>
      </c>
      <c r="V29" s="191" t="s">
        <v>487</v>
      </c>
      <c r="W29" s="191"/>
      <c r="X29" s="191"/>
      <c r="Y29" s="220"/>
      <c r="Z29" s="201" t="s">
        <v>491</v>
      </c>
      <c r="AA29" s="191" t="s">
        <v>487</v>
      </c>
      <c r="AB29" s="191" t="s">
        <v>487</v>
      </c>
      <c r="AC29" s="191" t="s">
        <v>487</v>
      </c>
      <c r="AD29" s="191" t="s">
        <v>487</v>
      </c>
      <c r="AE29" s="191" t="s">
        <v>487</v>
      </c>
      <c r="AF29" s="191" t="s">
        <v>487</v>
      </c>
      <c r="AG29" s="191" t="s">
        <v>487</v>
      </c>
      <c r="AH29" s="191" t="s">
        <v>487</v>
      </c>
      <c r="AI29" s="191"/>
      <c r="AJ29" s="191"/>
    </row>
    <row r="30" spans="2:36" ht="16" hidden="1" thickBot="1">
      <c r="B30" s="201" t="s">
        <v>492</v>
      </c>
      <c r="C30" s="191" t="s">
        <v>487</v>
      </c>
      <c r="D30" s="191" t="s">
        <v>487</v>
      </c>
      <c r="E30" s="191" t="s">
        <v>487</v>
      </c>
      <c r="F30" s="191" t="s">
        <v>487</v>
      </c>
      <c r="G30" s="191" t="s">
        <v>487</v>
      </c>
      <c r="H30" s="191" t="s">
        <v>487</v>
      </c>
      <c r="I30" s="191" t="s">
        <v>487</v>
      </c>
      <c r="J30" s="191" t="s">
        <v>487</v>
      </c>
      <c r="K30" s="191"/>
      <c r="L30" s="191"/>
      <c r="M30" s="220"/>
      <c r="N30" s="201" t="s">
        <v>492</v>
      </c>
      <c r="O30" s="191" t="s">
        <v>487</v>
      </c>
      <c r="P30" s="191" t="s">
        <v>487</v>
      </c>
      <c r="Q30" s="191" t="s">
        <v>487</v>
      </c>
      <c r="R30" s="191" t="s">
        <v>487</v>
      </c>
      <c r="S30" s="191" t="s">
        <v>487</v>
      </c>
      <c r="T30" s="191" t="s">
        <v>487</v>
      </c>
      <c r="U30" s="191" t="s">
        <v>487</v>
      </c>
      <c r="V30" s="191" t="s">
        <v>487</v>
      </c>
      <c r="W30" s="191"/>
      <c r="X30" s="191"/>
      <c r="Y30" s="220"/>
      <c r="Z30" s="201" t="s">
        <v>492</v>
      </c>
      <c r="AA30" s="191" t="s">
        <v>487</v>
      </c>
      <c r="AB30" s="191" t="s">
        <v>487</v>
      </c>
      <c r="AC30" s="191" t="s">
        <v>487</v>
      </c>
      <c r="AD30" s="191" t="s">
        <v>487</v>
      </c>
      <c r="AE30" s="191" t="s">
        <v>487</v>
      </c>
      <c r="AF30" s="191" t="s">
        <v>487</v>
      </c>
      <c r="AG30" s="191" t="s">
        <v>487</v>
      </c>
      <c r="AH30" s="191" t="s">
        <v>487</v>
      </c>
      <c r="AI30" s="191"/>
      <c r="AJ30" s="191"/>
    </row>
    <row r="31" spans="2:36" ht="16" hidden="1" thickBot="1">
      <c r="B31" s="201" t="s">
        <v>493</v>
      </c>
      <c r="C31" s="191" t="s">
        <v>487</v>
      </c>
      <c r="D31" s="191" t="s">
        <v>487</v>
      </c>
      <c r="E31" s="191" t="s">
        <v>487</v>
      </c>
      <c r="F31" s="191" t="s">
        <v>487</v>
      </c>
      <c r="G31" s="191" t="s">
        <v>487</v>
      </c>
      <c r="H31" s="191" t="s">
        <v>487</v>
      </c>
      <c r="I31" s="191" t="s">
        <v>487</v>
      </c>
      <c r="J31" s="191" t="s">
        <v>487</v>
      </c>
      <c r="K31" s="191"/>
      <c r="L31" s="191"/>
      <c r="M31" s="220"/>
      <c r="N31" s="201" t="s">
        <v>493</v>
      </c>
      <c r="O31" s="191" t="s">
        <v>487</v>
      </c>
      <c r="P31" s="191" t="s">
        <v>487</v>
      </c>
      <c r="Q31" s="191" t="s">
        <v>487</v>
      </c>
      <c r="R31" s="191" t="s">
        <v>487</v>
      </c>
      <c r="S31" s="191" t="s">
        <v>487</v>
      </c>
      <c r="T31" s="191" t="s">
        <v>487</v>
      </c>
      <c r="U31" s="191" t="s">
        <v>487</v>
      </c>
      <c r="V31" s="191" t="s">
        <v>487</v>
      </c>
      <c r="W31" s="191"/>
      <c r="X31" s="191"/>
      <c r="Y31" s="220"/>
      <c r="Z31" s="201" t="s">
        <v>493</v>
      </c>
      <c r="AA31" s="191" t="s">
        <v>487</v>
      </c>
      <c r="AB31" s="191" t="s">
        <v>487</v>
      </c>
      <c r="AC31" s="191" t="s">
        <v>487</v>
      </c>
      <c r="AD31" s="191" t="s">
        <v>487</v>
      </c>
      <c r="AE31" s="191" t="s">
        <v>487</v>
      </c>
      <c r="AF31" s="191" t="s">
        <v>487</v>
      </c>
      <c r="AG31" s="191" t="s">
        <v>487</v>
      </c>
      <c r="AH31" s="191" t="s">
        <v>487</v>
      </c>
      <c r="AI31" s="191"/>
      <c r="AJ31" s="191"/>
    </row>
    <row r="32" spans="2:36" ht="16" hidden="1" thickBot="1">
      <c r="B32" s="199" t="s">
        <v>11</v>
      </c>
      <c r="C32" s="179"/>
      <c r="D32" s="179"/>
      <c r="E32" s="179"/>
      <c r="F32" s="179"/>
      <c r="G32" s="179"/>
      <c r="H32" s="179"/>
      <c r="I32" s="179"/>
      <c r="J32" s="179"/>
      <c r="K32" s="179"/>
      <c r="L32" s="200"/>
      <c r="M32" s="220"/>
      <c r="N32" s="199" t="s">
        <v>11</v>
      </c>
      <c r="O32" s="179"/>
      <c r="P32" s="179"/>
      <c r="Q32" s="179"/>
      <c r="R32" s="179"/>
      <c r="S32" s="179"/>
      <c r="T32" s="179"/>
      <c r="U32" s="179"/>
      <c r="V32" s="179"/>
      <c r="W32" s="179"/>
      <c r="X32" s="200"/>
      <c r="Y32" s="220"/>
      <c r="Z32" s="199" t="s">
        <v>11</v>
      </c>
      <c r="AA32" s="179"/>
      <c r="AB32" s="179"/>
      <c r="AC32" s="179"/>
      <c r="AD32" s="179"/>
      <c r="AE32" s="179"/>
      <c r="AF32" s="179"/>
      <c r="AG32" s="179"/>
      <c r="AH32" s="179"/>
      <c r="AI32" s="179"/>
      <c r="AJ32" s="200"/>
    </row>
    <row r="33" spans="2:36" ht="16" hidden="1" thickBot="1">
      <c r="B33" s="201" t="s">
        <v>833</v>
      </c>
      <c r="C33" s="191" t="s">
        <v>487</v>
      </c>
      <c r="D33" s="191" t="s">
        <v>487</v>
      </c>
      <c r="E33" s="191" t="s">
        <v>487</v>
      </c>
      <c r="F33" s="191" t="s">
        <v>487</v>
      </c>
      <c r="G33" s="191" t="s">
        <v>487</v>
      </c>
      <c r="H33" s="191" t="s">
        <v>487</v>
      </c>
      <c r="I33" s="191" t="s">
        <v>487</v>
      </c>
      <c r="J33" s="191" t="s">
        <v>487</v>
      </c>
      <c r="K33" s="191"/>
      <c r="L33" s="191"/>
      <c r="M33" s="220"/>
      <c r="N33" s="201" t="s">
        <v>494</v>
      </c>
      <c r="O33" s="191" t="s">
        <v>487</v>
      </c>
      <c r="P33" s="191" t="s">
        <v>487</v>
      </c>
      <c r="Q33" s="191" t="s">
        <v>487</v>
      </c>
      <c r="R33" s="191" t="s">
        <v>487</v>
      </c>
      <c r="S33" s="191" t="s">
        <v>487</v>
      </c>
      <c r="T33" s="191" t="s">
        <v>487</v>
      </c>
      <c r="U33" s="191" t="s">
        <v>487</v>
      </c>
      <c r="V33" s="191" t="s">
        <v>487</v>
      </c>
      <c r="W33" s="191"/>
      <c r="X33" s="191"/>
      <c r="Y33" s="220"/>
      <c r="Z33" s="201" t="s">
        <v>494</v>
      </c>
      <c r="AA33" s="191" t="s">
        <v>487</v>
      </c>
      <c r="AB33" s="191" t="s">
        <v>487</v>
      </c>
      <c r="AC33" s="191" t="s">
        <v>487</v>
      </c>
      <c r="AD33" s="191" t="s">
        <v>487</v>
      </c>
      <c r="AE33" s="191" t="s">
        <v>487</v>
      </c>
      <c r="AF33" s="191" t="s">
        <v>487</v>
      </c>
      <c r="AG33" s="191" t="s">
        <v>487</v>
      </c>
      <c r="AH33" s="191" t="s">
        <v>487</v>
      </c>
      <c r="AI33" s="191"/>
      <c r="AJ33" s="191"/>
    </row>
    <row r="34" spans="2:36" ht="16" hidden="1" thickBot="1">
      <c r="B34" s="201" t="s">
        <v>834</v>
      </c>
      <c r="C34" s="191" t="s">
        <v>487</v>
      </c>
      <c r="D34" s="191" t="s">
        <v>487</v>
      </c>
      <c r="E34" s="191" t="s">
        <v>487</v>
      </c>
      <c r="F34" s="191" t="s">
        <v>487</v>
      </c>
      <c r="G34" s="191" t="s">
        <v>487</v>
      </c>
      <c r="H34" s="191" t="s">
        <v>487</v>
      </c>
      <c r="I34" s="191" t="s">
        <v>487</v>
      </c>
      <c r="J34" s="191" t="s">
        <v>487</v>
      </c>
      <c r="K34" s="191"/>
      <c r="L34" s="191"/>
      <c r="M34" s="220"/>
      <c r="N34" s="201" t="s">
        <v>495</v>
      </c>
      <c r="O34" s="191" t="s">
        <v>487</v>
      </c>
      <c r="P34" s="191" t="s">
        <v>487</v>
      </c>
      <c r="Q34" s="191" t="s">
        <v>487</v>
      </c>
      <c r="R34" s="191" t="s">
        <v>487</v>
      </c>
      <c r="S34" s="191" t="s">
        <v>487</v>
      </c>
      <c r="T34" s="191" t="s">
        <v>487</v>
      </c>
      <c r="U34" s="191" t="s">
        <v>487</v>
      </c>
      <c r="V34" s="191" t="s">
        <v>487</v>
      </c>
      <c r="W34" s="191"/>
      <c r="X34" s="191"/>
      <c r="Y34" s="220"/>
      <c r="Z34" s="201" t="s">
        <v>495</v>
      </c>
      <c r="AA34" s="191" t="s">
        <v>487</v>
      </c>
      <c r="AB34" s="191" t="s">
        <v>487</v>
      </c>
      <c r="AC34" s="191" t="s">
        <v>487</v>
      </c>
      <c r="AD34" s="191" t="s">
        <v>487</v>
      </c>
      <c r="AE34" s="191" t="s">
        <v>487</v>
      </c>
      <c r="AF34" s="191" t="s">
        <v>487</v>
      </c>
      <c r="AG34" s="191" t="s">
        <v>487</v>
      </c>
      <c r="AH34" s="191" t="s">
        <v>487</v>
      </c>
      <c r="AI34" s="191"/>
      <c r="AJ34" s="191"/>
    </row>
    <row r="35" spans="2:36" ht="16" hidden="1" thickBot="1">
      <c r="B35" s="201" t="s">
        <v>835</v>
      </c>
      <c r="C35" s="191" t="s">
        <v>487</v>
      </c>
      <c r="D35" s="191" t="s">
        <v>487</v>
      </c>
      <c r="E35" s="191" t="s">
        <v>487</v>
      </c>
      <c r="F35" s="191" t="s">
        <v>487</v>
      </c>
      <c r="G35" s="191" t="s">
        <v>487</v>
      </c>
      <c r="H35" s="191" t="s">
        <v>487</v>
      </c>
      <c r="I35" s="191" t="s">
        <v>487</v>
      </c>
      <c r="J35" s="191" t="s">
        <v>487</v>
      </c>
      <c r="K35" s="191"/>
      <c r="L35" s="191"/>
      <c r="M35" s="220"/>
      <c r="N35" s="201" t="s">
        <v>496</v>
      </c>
      <c r="O35" s="191" t="s">
        <v>487</v>
      </c>
      <c r="P35" s="191" t="s">
        <v>487</v>
      </c>
      <c r="Q35" s="191" t="s">
        <v>487</v>
      </c>
      <c r="R35" s="191" t="s">
        <v>487</v>
      </c>
      <c r="S35" s="191" t="s">
        <v>487</v>
      </c>
      <c r="T35" s="191" t="s">
        <v>487</v>
      </c>
      <c r="U35" s="191" t="s">
        <v>487</v>
      </c>
      <c r="V35" s="191" t="s">
        <v>487</v>
      </c>
      <c r="W35" s="191"/>
      <c r="X35" s="191"/>
      <c r="Y35" s="220"/>
      <c r="Z35" s="201" t="s">
        <v>496</v>
      </c>
      <c r="AA35" s="191" t="s">
        <v>487</v>
      </c>
      <c r="AB35" s="191" t="s">
        <v>487</v>
      </c>
      <c r="AC35" s="191" t="s">
        <v>487</v>
      </c>
      <c r="AD35" s="191" t="s">
        <v>487</v>
      </c>
      <c r="AE35" s="191" t="s">
        <v>487</v>
      </c>
      <c r="AF35" s="191" t="s">
        <v>487</v>
      </c>
      <c r="AG35" s="191" t="s">
        <v>487</v>
      </c>
      <c r="AH35" s="191" t="s">
        <v>487</v>
      </c>
      <c r="AI35" s="191"/>
      <c r="AJ35" s="191"/>
    </row>
    <row r="36" spans="2:36" ht="16" hidden="1" thickBot="1">
      <c r="B36" s="201" t="s">
        <v>836</v>
      </c>
      <c r="C36" s="191" t="s">
        <v>487</v>
      </c>
      <c r="D36" s="191" t="s">
        <v>487</v>
      </c>
      <c r="E36" s="191" t="s">
        <v>487</v>
      </c>
      <c r="F36" s="191" t="s">
        <v>487</v>
      </c>
      <c r="G36" s="191" t="s">
        <v>487</v>
      </c>
      <c r="H36" s="191" t="s">
        <v>487</v>
      </c>
      <c r="I36" s="191" t="s">
        <v>487</v>
      </c>
      <c r="J36" s="191" t="s">
        <v>487</v>
      </c>
      <c r="K36" s="191"/>
      <c r="L36" s="191"/>
      <c r="M36" s="220"/>
      <c r="N36" s="201" t="s">
        <v>497</v>
      </c>
      <c r="O36" s="191" t="s">
        <v>487</v>
      </c>
      <c r="P36" s="191" t="s">
        <v>487</v>
      </c>
      <c r="Q36" s="191" t="s">
        <v>487</v>
      </c>
      <c r="R36" s="191" t="s">
        <v>487</v>
      </c>
      <c r="S36" s="191" t="s">
        <v>487</v>
      </c>
      <c r="T36" s="191" t="s">
        <v>487</v>
      </c>
      <c r="U36" s="191" t="s">
        <v>487</v>
      </c>
      <c r="V36" s="191" t="s">
        <v>487</v>
      </c>
      <c r="W36" s="191"/>
      <c r="X36" s="191"/>
      <c r="Y36" s="220"/>
      <c r="Z36" s="201" t="s">
        <v>497</v>
      </c>
      <c r="AA36" s="191" t="s">
        <v>487</v>
      </c>
      <c r="AB36" s="191" t="s">
        <v>487</v>
      </c>
      <c r="AC36" s="191" t="s">
        <v>487</v>
      </c>
      <c r="AD36" s="191" t="s">
        <v>487</v>
      </c>
      <c r="AE36" s="191" t="s">
        <v>487</v>
      </c>
      <c r="AF36" s="191" t="s">
        <v>487</v>
      </c>
      <c r="AG36" s="191" t="s">
        <v>487</v>
      </c>
      <c r="AH36" s="191" t="s">
        <v>487</v>
      </c>
      <c r="AI36" s="191"/>
      <c r="AJ36" s="191"/>
    </row>
    <row r="37" spans="2:36" ht="16" hidden="1" thickBot="1">
      <c r="B37" s="201" t="s">
        <v>18</v>
      </c>
      <c r="C37" s="191" t="s">
        <v>487</v>
      </c>
      <c r="D37" s="191" t="s">
        <v>487</v>
      </c>
      <c r="E37" s="191" t="s">
        <v>487</v>
      </c>
      <c r="F37" s="191" t="s">
        <v>487</v>
      </c>
      <c r="G37" s="191" t="s">
        <v>487</v>
      </c>
      <c r="H37" s="191" t="s">
        <v>487</v>
      </c>
      <c r="I37" s="191" t="s">
        <v>487</v>
      </c>
      <c r="J37" s="191" t="s">
        <v>487</v>
      </c>
      <c r="K37" s="191"/>
      <c r="L37" s="191"/>
      <c r="M37" s="220"/>
      <c r="N37" s="201" t="s">
        <v>18</v>
      </c>
      <c r="O37" s="191" t="s">
        <v>487</v>
      </c>
      <c r="P37" s="191" t="s">
        <v>487</v>
      </c>
      <c r="Q37" s="191" t="s">
        <v>487</v>
      </c>
      <c r="R37" s="191" t="s">
        <v>487</v>
      </c>
      <c r="S37" s="191" t="s">
        <v>487</v>
      </c>
      <c r="T37" s="191" t="s">
        <v>487</v>
      </c>
      <c r="U37" s="191" t="s">
        <v>487</v>
      </c>
      <c r="V37" s="191" t="s">
        <v>487</v>
      </c>
      <c r="W37" s="191"/>
      <c r="X37" s="191"/>
      <c r="Y37" s="220"/>
      <c r="Z37" s="201" t="s">
        <v>18</v>
      </c>
      <c r="AA37" s="191" t="s">
        <v>487</v>
      </c>
      <c r="AB37" s="191" t="s">
        <v>487</v>
      </c>
      <c r="AC37" s="191" t="s">
        <v>487</v>
      </c>
      <c r="AD37" s="191" t="s">
        <v>487</v>
      </c>
      <c r="AE37" s="191" t="s">
        <v>487</v>
      </c>
      <c r="AF37" s="191" t="s">
        <v>487</v>
      </c>
      <c r="AG37" s="191" t="s">
        <v>487</v>
      </c>
      <c r="AH37" s="191" t="s">
        <v>487</v>
      </c>
      <c r="AI37" s="191"/>
      <c r="AJ37" s="191"/>
    </row>
    <row r="38" spans="2:36" ht="16" thickBot="1">
      <c r="B38" s="199" t="s">
        <v>20</v>
      </c>
      <c r="C38" s="44"/>
      <c r="D38" s="179"/>
      <c r="E38" s="179"/>
      <c r="F38" s="179"/>
      <c r="G38" s="179"/>
      <c r="H38" s="179"/>
      <c r="I38" s="179"/>
      <c r="J38" s="179"/>
      <c r="K38" s="179"/>
      <c r="L38" s="200"/>
      <c r="M38" s="220"/>
      <c r="N38" s="199" t="s">
        <v>20</v>
      </c>
      <c r="O38" s="179"/>
      <c r="P38" s="44"/>
      <c r="Q38" s="179"/>
      <c r="R38" s="179"/>
      <c r="S38" s="179"/>
      <c r="T38" s="179"/>
      <c r="U38" s="179"/>
      <c r="V38" s="179"/>
      <c r="W38" s="179"/>
      <c r="X38" s="200"/>
      <c r="Y38" s="220"/>
      <c r="Z38" s="199" t="s">
        <v>20</v>
      </c>
      <c r="AA38" s="44"/>
      <c r="AB38" s="44"/>
      <c r="AC38" s="44"/>
      <c r="AD38" s="179"/>
      <c r="AE38" s="179"/>
      <c r="AF38" s="179"/>
      <c r="AG38" s="179"/>
      <c r="AH38" s="179"/>
      <c r="AI38" s="179"/>
      <c r="AJ38" s="200"/>
    </row>
    <row r="39" spans="2:36">
      <c r="B39" s="202" t="s">
        <v>22</v>
      </c>
      <c r="C39" s="203">
        <v>1.9</v>
      </c>
      <c r="D39" s="180">
        <f>C39*(1-0.005)^(D14-C14)</f>
        <v>1.8529726309315626</v>
      </c>
      <c r="E39" s="180">
        <f t="shared" ref="E39:F39" si="0">D39*(1-0.005)^(E14-D14)</f>
        <v>1.7623810407548233</v>
      </c>
      <c r="F39" s="180">
        <f t="shared" si="0"/>
        <v>1.5942683597041014</v>
      </c>
      <c r="G39" s="204">
        <v>1</v>
      </c>
      <c r="H39" s="204">
        <v>3</v>
      </c>
      <c r="I39" s="204">
        <v>1</v>
      </c>
      <c r="J39" s="204">
        <v>2.5</v>
      </c>
      <c r="K39" s="183" t="s">
        <v>23</v>
      </c>
      <c r="L39" s="183">
        <v>7</v>
      </c>
      <c r="M39" s="220"/>
      <c r="N39" s="205" t="s">
        <v>22</v>
      </c>
      <c r="O39" s="206">
        <v>28</v>
      </c>
      <c r="P39" s="180">
        <v>27.306965087412504</v>
      </c>
      <c r="Q39" s="180">
        <v>25.971931126913187</v>
      </c>
      <c r="R39" s="180">
        <v>23.494481090376233</v>
      </c>
      <c r="S39" s="204">
        <v>20</v>
      </c>
      <c r="T39" s="204">
        <v>35</v>
      </c>
      <c r="U39" s="204">
        <v>20</v>
      </c>
      <c r="V39" s="204">
        <v>35</v>
      </c>
      <c r="W39" s="204" t="s">
        <v>31</v>
      </c>
      <c r="X39" s="204">
        <v>2.4</v>
      </c>
      <c r="Y39" s="221"/>
      <c r="Z39" s="205" t="s">
        <v>22</v>
      </c>
      <c r="AA39" s="206">
        <v>11.2</v>
      </c>
      <c r="AB39" s="180">
        <v>10.922786034965</v>
      </c>
      <c r="AC39" s="180">
        <v>10.388772450765273</v>
      </c>
      <c r="AD39" s="180">
        <v>9.3977924361504925</v>
      </c>
      <c r="AE39" s="204">
        <v>20</v>
      </c>
      <c r="AF39" s="204">
        <v>35</v>
      </c>
      <c r="AG39" s="204">
        <v>20</v>
      </c>
      <c r="AH39" s="204">
        <v>35</v>
      </c>
      <c r="AI39" s="204" t="s">
        <v>31</v>
      </c>
      <c r="AJ39" s="204">
        <v>2.4</v>
      </c>
    </row>
    <row r="40" spans="2:36" ht="15" customHeight="1">
      <c r="B40" s="202" t="s">
        <v>24</v>
      </c>
      <c r="C40" s="183">
        <v>70</v>
      </c>
      <c r="D40" s="204">
        <v>70</v>
      </c>
      <c r="E40" s="204">
        <v>70</v>
      </c>
      <c r="F40" s="204">
        <v>70</v>
      </c>
      <c r="G40" s="204">
        <v>70</v>
      </c>
      <c r="H40" s="204">
        <v>70</v>
      </c>
      <c r="I40" s="204">
        <v>70</v>
      </c>
      <c r="J40" s="204">
        <v>70</v>
      </c>
      <c r="K40" s="183"/>
      <c r="L40" s="183"/>
      <c r="M40" s="220"/>
      <c r="N40" s="205" t="s">
        <v>24</v>
      </c>
      <c r="O40" s="204">
        <v>70</v>
      </c>
      <c r="P40" s="204">
        <v>70</v>
      </c>
      <c r="Q40" s="204">
        <v>70</v>
      </c>
      <c r="R40" s="204">
        <v>70</v>
      </c>
      <c r="S40" s="204">
        <v>70</v>
      </c>
      <c r="T40" s="204">
        <v>70</v>
      </c>
      <c r="U40" s="204">
        <v>70</v>
      </c>
      <c r="V40" s="204">
        <v>70</v>
      </c>
      <c r="W40" s="204"/>
      <c r="X40" s="204"/>
      <c r="Y40" s="221"/>
      <c r="Z40" s="205" t="s">
        <v>24</v>
      </c>
      <c r="AA40" s="204">
        <v>70</v>
      </c>
      <c r="AB40" s="204">
        <v>70</v>
      </c>
      <c r="AC40" s="204">
        <v>70</v>
      </c>
      <c r="AD40" s="204">
        <v>70</v>
      </c>
      <c r="AE40" s="204">
        <v>70</v>
      </c>
      <c r="AF40" s="204">
        <v>70</v>
      </c>
      <c r="AG40" s="204">
        <v>70</v>
      </c>
      <c r="AH40" s="204">
        <v>70</v>
      </c>
      <c r="AI40" s="204"/>
      <c r="AJ40" s="204"/>
    </row>
    <row r="41" spans="2:36" ht="15.75" customHeight="1" thickBot="1">
      <c r="B41" s="201" t="s">
        <v>26</v>
      </c>
      <c r="C41" s="191">
        <v>30</v>
      </c>
      <c r="D41" s="207">
        <v>30</v>
      </c>
      <c r="E41" s="207">
        <v>30</v>
      </c>
      <c r="F41" s="207">
        <v>30</v>
      </c>
      <c r="G41" s="207">
        <v>30</v>
      </c>
      <c r="H41" s="207">
        <v>30</v>
      </c>
      <c r="I41" s="207">
        <v>30</v>
      </c>
      <c r="J41" s="207">
        <v>30</v>
      </c>
      <c r="K41" s="191"/>
      <c r="L41" s="191"/>
      <c r="M41" s="220"/>
      <c r="N41" s="208" t="s">
        <v>26</v>
      </c>
      <c r="O41" s="207">
        <v>30</v>
      </c>
      <c r="P41" s="207">
        <v>30</v>
      </c>
      <c r="Q41" s="207">
        <v>30</v>
      </c>
      <c r="R41" s="207">
        <v>30</v>
      </c>
      <c r="S41" s="207">
        <v>30</v>
      </c>
      <c r="T41" s="207">
        <v>30</v>
      </c>
      <c r="U41" s="207">
        <v>30</v>
      </c>
      <c r="V41" s="207">
        <v>30</v>
      </c>
      <c r="W41" s="207"/>
      <c r="X41" s="207"/>
      <c r="Y41" s="221"/>
      <c r="Z41" s="208" t="s">
        <v>26</v>
      </c>
      <c r="AA41" s="207">
        <v>30</v>
      </c>
      <c r="AB41" s="207">
        <v>30</v>
      </c>
      <c r="AC41" s="207">
        <v>30</v>
      </c>
      <c r="AD41" s="207">
        <v>30</v>
      </c>
      <c r="AE41" s="207">
        <v>30</v>
      </c>
      <c r="AF41" s="207">
        <v>30</v>
      </c>
      <c r="AG41" s="207">
        <v>30</v>
      </c>
      <c r="AH41" s="207">
        <v>30</v>
      </c>
      <c r="AI41" s="207"/>
      <c r="AJ41" s="207"/>
    </row>
    <row r="42" spans="2:36" ht="25" thickBot="1">
      <c r="B42" s="201" t="s">
        <v>832</v>
      </c>
      <c r="C42" s="209">
        <v>3</v>
      </c>
      <c r="D42" s="210">
        <v>2.9257462593656252</v>
      </c>
      <c r="E42" s="211">
        <v>2.7827069064549841</v>
      </c>
      <c r="F42" s="211">
        <v>2.5172658311117391</v>
      </c>
      <c r="G42" s="191">
        <v>2</v>
      </c>
      <c r="H42" s="191">
        <v>4</v>
      </c>
      <c r="I42" s="191">
        <v>2</v>
      </c>
      <c r="J42" s="191">
        <v>4</v>
      </c>
      <c r="K42" s="191" t="s">
        <v>838</v>
      </c>
      <c r="L42" s="191"/>
      <c r="M42" s="220"/>
      <c r="N42" s="208" t="s">
        <v>28</v>
      </c>
      <c r="O42" s="207">
        <v>4</v>
      </c>
      <c r="P42" s="185">
        <v>3.9009950124875004</v>
      </c>
      <c r="Q42" s="185">
        <v>3.7102758752733123</v>
      </c>
      <c r="R42" s="185">
        <v>3.3563544414823188</v>
      </c>
      <c r="S42" s="207">
        <v>3</v>
      </c>
      <c r="T42" s="207">
        <v>6</v>
      </c>
      <c r="U42" s="207">
        <v>3</v>
      </c>
      <c r="V42" s="207">
        <v>6</v>
      </c>
      <c r="W42" s="207" t="s">
        <v>19</v>
      </c>
      <c r="X42" s="207"/>
      <c r="Y42" s="221"/>
      <c r="Z42" s="208" t="s">
        <v>28</v>
      </c>
      <c r="AA42" s="207">
        <v>4</v>
      </c>
      <c r="AB42" s="185">
        <v>3.9009950124875004</v>
      </c>
      <c r="AC42" s="185">
        <v>3.7102758752733123</v>
      </c>
      <c r="AD42" s="185">
        <v>3.3563544414823188</v>
      </c>
      <c r="AE42" s="207">
        <v>3</v>
      </c>
      <c r="AF42" s="207">
        <v>6</v>
      </c>
      <c r="AG42" s="207">
        <v>3</v>
      </c>
      <c r="AH42" s="207">
        <v>6</v>
      </c>
      <c r="AI42" s="207" t="s">
        <v>19</v>
      </c>
      <c r="AJ42" s="207"/>
    </row>
    <row r="43" spans="2:36">
      <c r="B43" s="212" t="s">
        <v>44</v>
      </c>
      <c r="C43" s="213">
        <f>SUM(C44:C45)</f>
        <v>47</v>
      </c>
      <c r="D43" s="213">
        <f t="shared" ref="D43:J43" si="1">SUM(D44:D45)</f>
        <v>45.836691396728128</v>
      </c>
      <c r="E43" s="213">
        <f t="shared" si="1"/>
        <v>43.595741534461418</v>
      </c>
      <c r="F43" s="213">
        <f t="shared" si="1"/>
        <v>39.437164687417244</v>
      </c>
      <c r="G43" s="213">
        <f t="shared" si="1"/>
        <v>35</v>
      </c>
      <c r="H43" s="213">
        <f t="shared" si="1"/>
        <v>60</v>
      </c>
      <c r="I43" s="213">
        <f t="shared" si="1"/>
        <v>30</v>
      </c>
      <c r="J43" s="213">
        <f t="shared" si="1"/>
        <v>50</v>
      </c>
      <c r="K43" s="222"/>
      <c r="L43" s="181"/>
      <c r="M43" s="220"/>
      <c r="N43" s="212" t="s">
        <v>44</v>
      </c>
      <c r="O43" s="481">
        <f t="shared" ref="O43:V43" si="2">O44+O45</f>
        <v>149.45999999999998</v>
      </c>
      <c r="P43" s="481">
        <f t="shared" si="2"/>
        <v>145.935</v>
      </c>
      <c r="Q43" s="481">
        <f t="shared" si="2"/>
        <v>138.65</v>
      </c>
      <c r="R43" s="481">
        <f t="shared" si="2"/>
        <v>131.83499999999998</v>
      </c>
      <c r="S43" s="481">
        <f t="shared" si="2"/>
        <v>96.600000000000009</v>
      </c>
      <c r="T43" s="481">
        <f t="shared" si="2"/>
        <v>178.84800000000001</v>
      </c>
      <c r="U43" s="481">
        <f t="shared" si="2"/>
        <v>103.56923076923077</v>
      </c>
      <c r="V43" s="481">
        <f t="shared" si="2"/>
        <v>168.3</v>
      </c>
      <c r="W43" s="222"/>
      <c r="X43" s="181"/>
      <c r="Y43" s="220"/>
      <c r="Z43" s="212" t="s">
        <v>44</v>
      </c>
      <c r="AA43" s="481">
        <f t="shared" ref="AA43:AH43" si="3">AA44+AA45</f>
        <v>99.64</v>
      </c>
      <c r="AB43" s="481">
        <f t="shared" si="3"/>
        <v>97.29</v>
      </c>
      <c r="AC43" s="481">
        <f t="shared" si="3"/>
        <v>92.59</v>
      </c>
      <c r="AD43" s="481">
        <f t="shared" si="3"/>
        <v>87.89</v>
      </c>
      <c r="AE43" s="481">
        <f t="shared" si="3"/>
        <v>64.400000000000006</v>
      </c>
      <c r="AF43" s="481">
        <f t="shared" si="3"/>
        <v>119.232</v>
      </c>
      <c r="AG43" s="481">
        <f t="shared" si="3"/>
        <v>69.046153846153842</v>
      </c>
      <c r="AH43" s="481">
        <f t="shared" si="3"/>
        <v>112.2</v>
      </c>
      <c r="AI43" s="222"/>
      <c r="AJ43" s="181"/>
    </row>
    <row r="44" spans="2:36" ht="16" thickBot="1">
      <c r="B44" s="214" t="s">
        <v>479</v>
      </c>
      <c r="C44" s="215">
        <f t="shared" ref="C44:J44" si="4">C87/1000*C24</f>
        <v>0</v>
      </c>
      <c r="D44" s="216">
        <f t="shared" si="4"/>
        <v>0</v>
      </c>
      <c r="E44" s="215">
        <f t="shared" si="4"/>
        <v>0</v>
      </c>
      <c r="F44" s="216">
        <f t="shared" si="4"/>
        <v>0</v>
      </c>
      <c r="G44" s="215">
        <f t="shared" si="4"/>
        <v>0</v>
      </c>
      <c r="H44" s="216">
        <f t="shared" si="4"/>
        <v>0</v>
      </c>
      <c r="I44" s="215">
        <f t="shared" si="4"/>
        <v>0</v>
      </c>
      <c r="J44" s="216">
        <f t="shared" si="4"/>
        <v>0</v>
      </c>
      <c r="K44" s="184" t="s">
        <v>41</v>
      </c>
      <c r="L44" s="183"/>
      <c r="M44" s="220"/>
      <c r="N44" s="214" t="s">
        <v>479</v>
      </c>
      <c r="O44" s="482">
        <f>'DH substation'!C44/'Natural gas boiler'!C44*'Natural gas boiler'!O44</f>
        <v>0</v>
      </c>
      <c r="P44" s="482">
        <f>'DH substation'!D44/'Natural gas boiler'!D44*'Natural gas boiler'!P44</f>
        <v>0</v>
      </c>
      <c r="Q44" s="482">
        <f>'DH substation'!E44/'Natural gas boiler'!E44*'Natural gas boiler'!Q44</f>
        <v>0</v>
      </c>
      <c r="R44" s="482">
        <f>'DH substation'!F44/'Natural gas boiler'!F44*'Natural gas boiler'!R44</f>
        <v>0</v>
      </c>
      <c r="S44" s="482">
        <f>'DH substation'!G44/'Natural gas boiler'!G44*'Natural gas boiler'!S44</f>
        <v>0</v>
      </c>
      <c r="T44" s="482">
        <f>'DH substation'!H44/'Natural gas boiler'!H44*'Natural gas boiler'!T44</f>
        <v>0</v>
      </c>
      <c r="U44" s="482">
        <f>'DH substation'!I44/'Natural gas boiler'!I44*'Natural gas boiler'!U44</f>
        <v>0</v>
      </c>
      <c r="V44" s="482">
        <f>'DH substation'!J44/'Natural gas boiler'!J44*'Natural gas boiler'!V44</f>
        <v>0</v>
      </c>
      <c r="W44" s="184" t="s">
        <v>41</v>
      </c>
      <c r="X44" s="183"/>
      <c r="Y44" s="220"/>
      <c r="Z44" s="214" t="s">
        <v>479</v>
      </c>
      <c r="AA44" s="482">
        <f>C44/'Natural gas boiler'!C44*'Natural gas boiler'!AA44</f>
        <v>0</v>
      </c>
      <c r="AB44" s="482">
        <f>D44/'Natural gas boiler'!D44*'Natural gas boiler'!AB44</f>
        <v>0</v>
      </c>
      <c r="AC44" s="482">
        <f>E44/'Natural gas boiler'!E44*'Natural gas boiler'!AC44</f>
        <v>0</v>
      </c>
      <c r="AD44" s="482">
        <f>F44/'Natural gas boiler'!F44*'Natural gas boiler'!AD44</f>
        <v>0</v>
      </c>
      <c r="AE44" s="482">
        <f>G44/'Natural gas boiler'!G44*'Natural gas boiler'!AE44</f>
        <v>0</v>
      </c>
      <c r="AF44" s="482">
        <f>H44/'Natural gas boiler'!H44*'Natural gas boiler'!AF44</f>
        <v>0</v>
      </c>
      <c r="AG44" s="482">
        <f>I44/'Natural gas boiler'!I44*'Natural gas boiler'!AG44</f>
        <v>0</v>
      </c>
      <c r="AH44" s="482">
        <f>J44/'Natural gas boiler'!J44*'Natural gas boiler'!AH44</f>
        <v>0</v>
      </c>
      <c r="AI44" s="184" t="s">
        <v>41</v>
      </c>
      <c r="AJ44" s="183"/>
    </row>
    <row r="45" spans="2:36" ht="16" thickBot="1">
      <c r="B45" s="217" t="s">
        <v>480</v>
      </c>
      <c r="C45" s="192">
        <v>47</v>
      </c>
      <c r="D45" s="195">
        <f>C45*(1-0.005)^(D14-C14)</f>
        <v>45.836691396728128</v>
      </c>
      <c r="E45" s="194">
        <f t="shared" ref="E45:F45" si="5">D45*(1-0.005)^(E14-D14)</f>
        <v>43.595741534461418</v>
      </c>
      <c r="F45" s="195">
        <f t="shared" si="5"/>
        <v>39.437164687417244</v>
      </c>
      <c r="G45" s="192">
        <v>35</v>
      </c>
      <c r="H45" s="193">
        <v>60</v>
      </c>
      <c r="I45" s="192">
        <v>30</v>
      </c>
      <c r="J45" s="193">
        <v>50</v>
      </c>
      <c r="K45" s="191" t="s">
        <v>839</v>
      </c>
      <c r="L45" s="191">
        <v>8</v>
      </c>
      <c r="M45" s="220"/>
      <c r="N45" s="217" t="s">
        <v>480</v>
      </c>
      <c r="O45" s="482">
        <f>'DH substation'!C45/'Natural gas boiler'!C45*'Natural gas boiler'!O45</f>
        <v>149.45999999999998</v>
      </c>
      <c r="P45" s="482">
        <f>'DH substation'!D45/'Natural gas boiler'!D45*'Natural gas boiler'!P45</f>
        <v>145.935</v>
      </c>
      <c r="Q45" s="482">
        <f>'DH substation'!E45/'Natural gas boiler'!E45*'Natural gas boiler'!Q45</f>
        <v>138.65</v>
      </c>
      <c r="R45" s="482">
        <f>'DH substation'!F45/'Natural gas boiler'!F45*'Natural gas boiler'!R45</f>
        <v>131.83499999999998</v>
      </c>
      <c r="S45" s="482">
        <f>'DH substation'!G45/'Natural gas boiler'!G45*'Natural gas boiler'!S45</f>
        <v>96.600000000000009</v>
      </c>
      <c r="T45" s="482">
        <f>'DH substation'!H45/'Natural gas boiler'!H45*'Natural gas boiler'!T45</f>
        <v>178.84800000000001</v>
      </c>
      <c r="U45" s="482">
        <f>'DH substation'!I45/'Natural gas boiler'!I45*'Natural gas boiler'!U45</f>
        <v>103.56923076923077</v>
      </c>
      <c r="V45" s="482">
        <f>'DH substation'!J45/'Natural gas boiler'!J45*'Natural gas boiler'!V45</f>
        <v>168.3</v>
      </c>
      <c r="W45" s="207"/>
      <c r="X45" s="207">
        <v>7</v>
      </c>
      <c r="Y45" s="221"/>
      <c r="Z45" s="217" t="s">
        <v>480</v>
      </c>
      <c r="AA45" s="482">
        <f>C45/'Natural gas boiler'!C45*'Natural gas boiler'!AA45</f>
        <v>99.64</v>
      </c>
      <c r="AB45" s="482">
        <f>D45/'Natural gas boiler'!D45*'Natural gas boiler'!AB45</f>
        <v>97.29</v>
      </c>
      <c r="AC45" s="482">
        <f>E45/'Natural gas boiler'!E45*'Natural gas boiler'!AC45</f>
        <v>92.59</v>
      </c>
      <c r="AD45" s="482">
        <f>F45/'Natural gas boiler'!F45*'Natural gas boiler'!AD45</f>
        <v>87.89</v>
      </c>
      <c r="AE45" s="482">
        <f>G45/'Natural gas boiler'!G45*'Natural gas boiler'!AE45</f>
        <v>64.400000000000006</v>
      </c>
      <c r="AF45" s="482">
        <f>H45/'Natural gas boiler'!H45*'Natural gas boiler'!AF45</f>
        <v>119.232</v>
      </c>
      <c r="AG45" s="482">
        <f>I45/'Natural gas boiler'!I45*'Natural gas boiler'!AG45</f>
        <v>69.046153846153842</v>
      </c>
      <c r="AH45" s="482">
        <f>J45/'Natural gas boiler'!J45*'Natural gas boiler'!AH45</f>
        <v>112.2</v>
      </c>
      <c r="AI45" s="207"/>
      <c r="AJ45" s="207">
        <v>7</v>
      </c>
    </row>
    <row r="46" spans="2:36" ht="16" thickBot="1">
      <c r="B46" s="201" t="s">
        <v>482</v>
      </c>
      <c r="C46" s="218">
        <v>0</v>
      </c>
      <c r="D46" s="218">
        <v>0</v>
      </c>
      <c r="E46" s="218">
        <v>0</v>
      </c>
      <c r="F46" s="218">
        <v>0</v>
      </c>
      <c r="G46" s="218">
        <v>0</v>
      </c>
      <c r="H46" s="218">
        <v>0</v>
      </c>
      <c r="I46" s="218">
        <v>0</v>
      </c>
      <c r="J46" s="218">
        <v>0</v>
      </c>
      <c r="K46" s="191"/>
      <c r="L46" s="191"/>
      <c r="M46" s="220"/>
      <c r="N46" s="201" t="s">
        <v>482</v>
      </c>
      <c r="O46" s="218">
        <v>0</v>
      </c>
      <c r="P46" s="218">
        <v>0</v>
      </c>
      <c r="Q46" s="218">
        <v>0</v>
      </c>
      <c r="R46" s="218">
        <v>0</v>
      </c>
      <c r="S46" s="218">
        <v>0</v>
      </c>
      <c r="T46" s="218">
        <v>0</v>
      </c>
      <c r="U46" s="218">
        <v>0</v>
      </c>
      <c r="V46" s="218">
        <v>0</v>
      </c>
      <c r="W46" s="191"/>
      <c r="X46" s="191"/>
      <c r="Y46" s="220"/>
      <c r="Z46" s="201" t="s">
        <v>482</v>
      </c>
      <c r="AA46" s="218">
        <v>0</v>
      </c>
      <c r="AB46" s="218">
        <v>0</v>
      </c>
      <c r="AC46" s="218">
        <v>0</v>
      </c>
      <c r="AD46" s="218">
        <v>0</v>
      </c>
      <c r="AE46" s="218">
        <v>0</v>
      </c>
      <c r="AF46" s="218">
        <v>0</v>
      </c>
      <c r="AG46" s="218">
        <v>0</v>
      </c>
      <c r="AH46" s="218">
        <v>0</v>
      </c>
      <c r="AI46" s="191"/>
      <c r="AJ46" s="191"/>
    </row>
    <row r="47" spans="2:36" ht="16" thickBot="1">
      <c r="B47" s="176" t="s">
        <v>499</v>
      </c>
      <c r="C47" s="177"/>
      <c r="D47" s="177"/>
      <c r="E47" s="177"/>
      <c r="F47" s="177"/>
      <c r="G47" s="177"/>
      <c r="H47" s="177"/>
      <c r="I47" s="177"/>
      <c r="J47" s="177"/>
      <c r="K47" s="177"/>
      <c r="L47" s="178"/>
      <c r="M47" s="44"/>
      <c r="N47" s="176" t="s">
        <v>499</v>
      </c>
      <c r="O47" s="177"/>
      <c r="P47" s="177"/>
      <c r="Q47" s="177"/>
      <c r="R47" s="177"/>
      <c r="S47" s="177"/>
      <c r="T47" s="177"/>
      <c r="U47" s="177"/>
      <c r="V47" s="177"/>
      <c r="W47" s="177"/>
      <c r="X47" s="178"/>
      <c r="Y47" s="44"/>
      <c r="Z47" s="176" t="s">
        <v>499</v>
      </c>
      <c r="AA47" s="177"/>
      <c r="AB47" s="177"/>
      <c r="AC47" s="177"/>
      <c r="AD47" s="177"/>
      <c r="AE47" s="177"/>
      <c r="AF47" s="177"/>
      <c r="AG47" s="177"/>
      <c r="AH47" s="177"/>
      <c r="AI47" s="177"/>
      <c r="AJ47" s="178"/>
    </row>
    <row r="48" spans="2:36" ht="16" thickBot="1">
      <c r="B48" s="187" t="s">
        <v>503</v>
      </c>
      <c r="C48" s="219">
        <f>C39/C$17*Euro</f>
        <v>1.4155</v>
      </c>
      <c r="D48" s="219">
        <f>D39/D$17*Euro</f>
        <v>1.3804646100440141</v>
      </c>
      <c r="E48" s="219">
        <f>E39/E$17*Euro</f>
        <v>1.3129738753623432</v>
      </c>
      <c r="F48" s="219">
        <f>F39/F$17*Euro</f>
        <v>1.1877299279795555</v>
      </c>
      <c r="G48" s="188"/>
      <c r="H48" s="188"/>
      <c r="I48" s="188"/>
      <c r="J48" s="188"/>
      <c r="K48" s="188"/>
      <c r="L48" s="188"/>
      <c r="M48" s="44"/>
      <c r="N48" s="196" t="s">
        <v>503</v>
      </c>
      <c r="O48" s="219">
        <f>O39/O$17*Euro</f>
        <v>0.52150000000000007</v>
      </c>
      <c r="P48" s="219">
        <f>P39/P$17*Euro</f>
        <v>0.50859222475305788</v>
      </c>
      <c r="Q48" s="219">
        <f>Q39/Q$17*Euro</f>
        <v>0.48372721723875817</v>
      </c>
      <c r="R48" s="219">
        <f>R39/R$17*Euro</f>
        <v>0.43758471030825735</v>
      </c>
      <c r="S48" s="188"/>
      <c r="T48" s="188"/>
      <c r="U48" s="188"/>
      <c r="V48" s="188"/>
      <c r="W48" s="188"/>
      <c r="X48" s="188"/>
      <c r="Y48" s="44"/>
      <c r="Z48" s="196" t="s">
        <v>503</v>
      </c>
      <c r="AA48" s="219">
        <f>AA39/AA$17*Euro</f>
        <v>0.52149999999999996</v>
      </c>
      <c r="AB48" s="219">
        <f>AB39/AB$17*Euro</f>
        <v>0.50859222475305776</v>
      </c>
      <c r="AC48" s="219">
        <f>AC39/AC$17*Euro</f>
        <v>0.48372721723875806</v>
      </c>
      <c r="AD48" s="219">
        <f>AD39/AD$17*Euro</f>
        <v>0.43758471030825735</v>
      </c>
      <c r="AE48" s="188"/>
      <c r="AF48" s="188"/>
      <c r="AG48" s="188"/>
      <c r="AH48" s="188"/>
      <c r="AI48" s="188"/>
      <c r="AJ48" s="188"/>
    </row>
    <row r="49" spans="2:36" ht="25" thickBot="1">
      <c r="B49" s="187" t="s">
        <v>504</v>
      </c>
      <c r="C49" s="219">
        <f>C42/C$17*Euro</f>
        <v>2.2349999999999999</v>
      </c>
      <c r="D49" s="219">
        <f>D42/D$17*Euro</f>
        <v>2.179680963227391</v>
      </c>
      <c r="E49" s="219">
        <f>E42/E$17*Euro</f>
        <v>2.0731166453089633</v>
      </c>
      <c r="F49" s="219">
        <f>F42/F$17*Euro</f>
        <v>1.8753630441782456</v>
      </c>
      <c r="G49" s="188"/>
      <c r="H49" s="188"/>
      <c r="I49" s="188"/>
      <c r="J49" s="188"/>
      <c r="K49" s="188"/>
      <c r="L49" s="188"/>
      <c r="M49" s="44"/>
      <c r="N49" s="196" t="s">
        <v>504</v>
      </c>
      <c r="O49" s="219">
        <f>O42/O$17*Euro</f>
        <v>7.4499999999999997E-2</v>
      </c>
      <c r="P49" s="219">
        <f>P42/P$17*Euro</f>
        <v>7.2656032107579691E-2</v>
      </c>
      <c r="Q49" s="219">
        <f>Q42/Q$17*Euro</f>
        <v>6.9103888176965445E-2</v>
      </c>
      <c r="R49" s="219">
        <f>R42/R$17*Euro</f>
        <v>6.2512101472608189E-2</v>
      </c>
      <c r="S49" s="188"/>
      <c r="T49" s="188"/>
      <c r="U49" s="188"/>
      <c r="V49" s="188"/>
      <c r="W49" s="188"/>
      <c r="X49" s="188"/>
      <c r="Y49" s="44"/>
      <c r="Z49" s="196" t="s">
        <v>504</v>
      </c>
      <c r="AA49" s="219">
        <f>AA42/AA$17*Euro</f>
        <v>0.18625000000000003</v>
      </c>
      <c r="AB49" s="219">
        <f>AB42/AB$17*Euro</f>
        <v>0.18164008026894923</v>
      </c>
      <c r="AC49" s="219">
        <f>AC42/AC$17*Euro</f>
        <v>0.17275972044241361</v>
      </c>
      <c r="AD49" s="219">
        <f>AD42/AD$17*Euro</f>
        <v>0.15628025368152046</v>
      </c>
      <c r="AE49" s="188"/>
      <c r="AF49" s="188"/>
      <c r="AG49" s="188"/>
      <c r="AH49" s="188"/>
      <c r="AI49" s="188"/>
      <c r="AJ49" s="188"/>
    </row>
    <row r="50" spans="2:36" ht="16" thickBot="1">
      <c r="B50" s="187" t="s">
        <v>746</v>
      </c>
      <c r="C50" s="820">
        <f>C48+C49</f>
        <v>3.6505000000000001</v>
      </c>
      <c r="D50" s="820">
        <f>D48+D49</f>
        <v>3.5601455732714049</v>
      </c>
      <c r="E50" s="820">
        <f>E48+E49</f>
        <v>3.3860905206713063</v>
      </c>
      <c r="F50" s="820">
        <f>F48+F49</f>
        <v>3.0630929721578011</v>
      </c>
      <c r="G50" s="188"/>
      <c r="H50" s="188"/>
      <c r="I50" s="188"/>
      <c r="J50" s="188"/>
      <c r="K50" s="188"/>
      <c r="L50" s="188"/>
      <c r="M50" s="44"/>
      <c r="N50" s="196"/>
      <c r="O50" s="820">
        <f>O48+O49</f>
        <v>0.59600000000000009</v>
      </c>
      <c r="P50" s="820">
        <f>P48+P49</f>
        <v>0.58124825686063752</v>
      </c>
      <c r="Q50" s="820">
        <f>Q48+Q49</f>
        <v>0.55283110541572356</v>
      </c>
      <c r="R50" s="820">
        <f>R48+R49</f>
        <v>0.50009681178086551</v>
      </c>
      <c r="S50" s="188"/>
      <c r="T50" s="188"/>
      <c r="U50" s="188"/>
      <c r="V50" s="188"/>
      <c r="W50" s="188"/>
      <c r="X50" s="188"/>
      <c r="Y50" s="44"/>
      <c r="Z50" s="196"/>
      <c r="AA50" s="820">
        <f>AA48+AA49</f>
        <v>0.70774999999999999</v>
      </c>
      <c r="AB50" s="820">
        <f>AB48+AB49</f>
        <v>0.69023230502200694</v>
      </c>
      <c r="AC50" s="820">
        <f>AC48+AC49</f>
        <v>0.65648693768117172</v>
      </c>
      <c r="AD50" s="820">
        <f>AD48+AD49</f>
        <v>0.59386496398977784</v>
      </c>
      <c r="AE50" s="188"/>
      <c r="AF50" s="188"/>
      <c r="AG50" s="188"/>
      <c r="AH50" s="188"/>
      <c r="AI50" s="188"/>
      <c r="AJ50" s="188"/>
    </row>
    <row r="51" spans="2:36" ht="16" thickBot="1">
      <c r="B51" s="212" t="s">
        <v>502</v>
      </c>
      <c r="C51" s="219">
        <f>C43/C17/1000*Euro</f>
        <v>3.5015000000000004E-2</v>
      </c>
      <c r="D51" s="219">
        <f>D43/D17/1000*Euro</f>
        <v>3.4148335090562455E-2</v>
      </c>
      <c r="E51" s="219">
        <f>E43/E17/1000*Euro</f>
        <v>3.2478827443173756E-2</v>
      </c>
      <c r="F51" s="219">
        <f>F43/F17/1000*Euro</f>
        <v>2.9380687692125845E-2</v>
      </c>
      <c r="G51" s="188"/>
      <c r="H51" s="188"/>
      <c r="I51" s="188"/>
      <c r="J51" s="188"/>
      <c r="K51" s="188"/>
      <c r="L51" s="188"/>
      <c r="M51" s="44"/>
      <c r="N51" s="212" t="s">
        <v>502</v>
      </c>
      <c r="O51" s="219">
        <f>O43/O17/1000*Euro</f>
        <v>2.7836924999999997E-3</v>
      </c>
      <c r="P51" s="219">
        <f>P43/P17/1000*Euro</f>
        <v>2.718039375E-3</v>
      </c>
      <c r="Q51" s="219">
        <f>Q43/Q17/1000*Euro</f>
        <v>2.5823562500000004E-3</v>
      </c>
      <c r="R51" s="219">
        <f>R43/R17/1000*Euro</f>
        <v>2.4554268749999992E-3</v>
      </c>
      <c r="S51" s="188"/>
      <c r="T51" s="188"/>
      <c r="U51" s="188"/>
      <c r="V51" s="188"/>
      <c r="W51" s="188"/>
      <c r="X51" s="188"/>
      <c r="Y51" s="44"/>
      <c r="Z51" s="212" t="s">
        <v>502</v>
      </c>
      <c r="AA51" s="219">
        <f>AA43/AA17/1000*Euro</f>
        <v>4.6394875E-3</v>
      </c>
      <c r="AB51" s="219">
        <f>AB43/AB17/1000*Euro</f>
        <v>4.5300656250000012E-3</v>
      </c>
      <c r="AC51" s="219">
        <f>AC43/AC17/1000*Euro</f>
        <v>4.311221875E-3</v>
      </c>
      <c r="AD51" s="219">
        <f>AD43/AD17/1000*Euro</f>
        <v>4.0923781249999997E-3</v>
      </c>
      <c r="AE51" s="188"/>
      <c r="AF51" s="188"/>
      <c r="AG51" s="188"/>
      <c r="AH51" s="188"/>
      <c r="AI51" s="188"/>
      <c r="AJ51" s="188"/>
    </row>
    <row r="52" spans="2:36" ht="16" thickBot="1">
      <c r="B52" s="202" t="s">
        <v>505</v>
      </c>
      <c r="C52" s="189">
        <f>C46/3.6*Euro</f>
        <v>0</v>
      </c>
      <c r="D52" s="514">
        <f>D46/3.6*Euro</f>
        <v>0</v>
      </c>
      <c r="E52" s="514">
        <f>E46/3.6*Euro</f>
        <v>0</v>
      </c>
      <c r="F52" s="514">
        <f>F46/3.6*Euro</f>
        <v>0</v>
      </c>
      <c r="G52" s="189"/>
      <c r="H52" s="189"/>
      <c r="I52" s="189"/>
      <c r="J52" s="189"/>
      <c r="K52" s="189"/>
      <c r="L52" s="189"/>
      <c r="M52" s="44"/>
      <c r="N52" s="201" t="s">
        <v>505</v>
      </c>
      <c r="O52" s="514">
        <f>O46/3.6*Euro</f>
        <v>0</v>
      </c>
      <c r="P52" s="514">
        <f>P46/3.6*Euro</f>
        <v>0</v>
      </c>
      <c r="Q52" s="514">
        <f>Q46/3.6*Euro</f>
        <v>0</v>
      </c>
      <c r="R52" s="514">
        <f>R46/3.6*Euro</f>
        <v>0</v>
      </c>
      <c r="S52" s="188"/>
      <c r="T52" s="188"/>
      <c r="U52" s="188"/>
      <c r="V52" s="188"/>
      <c r="W52" s="188"/>
      <c r="X52" s="188"/>
      <c r="Y52" s="44"/>
      <c r="Z52" s="201" t="s">
        <v>505</v>
      </c>
      <c r="AA52" s="514">
        <f>AA46/3.6*Euro</f>
        <v>0</v>
      </c>
      <c r="AB52" s="514">
        <f>AB46/3.6*Euro</f>
        <v>0</v>
      </c>
      <c r="AC52" s="514">
        <f>AC46/3.6*Euro</f>
        <v>0</v>
      </c>
      <c r="AD52" s="514">
        <f>AD46/3.6*Euro</f>
        <v>0</v>
      </c>
      <c r="AE52" s="188"/>
      <c r="AF52" s="188"/>
      <c r="AG52" s="188"/>
      <c r="AH52" s="188"/>
      <c r="AI52" s="188"/>
      <c r="AJ52" s="188"/>
    </row>
    <row r="53" spans="2:36">
      <c r="B53" s="227"/>
      <c r="C53" s="158"/>
      <c r="D53" s="158"/>
      <c r="E53" s="158"/>
      <c r="F53" s="158"/>
      <c r="G53" s="158"/>
      <c r="H53" s="158"/>
      <c r="I53" s="113"/>
      <c r="J53" s="113"/>
      <c r="K53" s="113"/>
      <c r="L53" s="113"/>
    </row>
    <row r="54" spans="2:36">
      <c r="B54" s="227"/>
      <c r="C54" s="158"/>
      <c r="D54" s="158"/>
      <c r="E54" s="158"/>
      <c r="F54" s="158"/>
      <c r="G54" s="158"/>
      <c r="H54" s="158"/>
      <c r="I54" s="113"/>
      <c r="J54" s="113"/>
      <c r="K54" s="113"/>
      <c r="L54" s="113"/>
    </row>
    <row r="55" spans="2:36">
      <c r="B55" s="822" t="s">
        <v>580</v>
      </c>
      <c r="C55" s="821"/>
      <c r="D55" s="821"/>
      <c r="E55" s="821"/>
      <c r="F55" s="821"/>
      <c r="G55" s="821"/>
      <c r="H55" s="821"/>
      <c r="I55" s="821"/>
      <c r="J55" s="113"/>
      <c r="K55" s="113"/>
      <c r="L55" s="113"/>
    </row>
    <row r="56" spans="2:36" ht="16" thickBot="1">
      <c r="B56" s="828">
        <v>1</v>
      </c>
      <c r="C56" s="824" t="s">
        <v>747</v>
      </c>
      <c r="D56" s="821"/>
      <c r="E56" s="821"/>
      <c r="F56" s="821"/>
      <c r="G56" s="821"/>
      <c r="H56" s="821"/>
      <c r="I56" s="821"/>
      <c r="J56" s="113"/>
      <c r="K56" s="113"/>
      <c r="L56" s="113"/>
      <c r="N56" t="s">
        <v>528</v>
      </c>
    </row>
    <row r="57" spans="2:36">
      <c r="B57" s="828">
        <v>2</v>
      </c>
      <c r="C57" s="824" t="s">
        <v>748</v>
      </c>
      <c r="D57" s="821"/>
      <c r="E57" s="821"/>
      <c r="F57" s="821"/>
      <c r="G57" s="821"/>
      <c r="H57" s="821"/>
      <c r="I57" s="821"/>
      <c r="J57" s="113"/>
      <c r="K57" s="113"/>
      <c r="L57" s="113"/>
      <c r="N57" s="336" t="s">
        <v>44</v>
      </c>
      <c r="O57" s="329">
        <v>1288.6114233190174</v>
      </c>
      <c r="P57" s="315">
        <v>1261.5427044169692</v>
      </c>
      <c r="Q57" s="315">
        <v>1220.7435579114713</v>
      </c>
      <c r="R57" s="314">
        <v>1148.0361835045319</v>
      </c>
      <c r="S57" s="330">
        <v>828.32117534308361</v>
      </c>
      <c r="T57" s="329">
        <v>1870.8029383577091</v>
      </c>
      <c r="U57" s="329">
        <v>866.11694702753812</v>
      </c>
      <c r="V57" s="329">
        <v>1665.2923675688453</v>
      </c>
      <c r="W57" s="222"/>
      <c r="X57" s="311"/>
      <c r="Y57" s="220"/>
      <c r="Z57" s="336" t="s">
        <v>44</v>
      </c>
      <c r="AA57" s="329">
        <v>1269.3057116595087</v>
      </c>
      <c r="AB57" s="315">
        <v>1240.3018229096565</v>
      </c>
      <c r="AC57" s="330">
        <v>1190.1023844671906</v>
      </c>
      <c r="AD57" s="315">
        <v>1098.4484732338783</v>
      </c>
      <c r="AE57" s="330">
        <v>814.16058767154186</v>
      </c>
      <c r="AF57" s="329">
        <v>1835.4014691788545</v>
      </c>
      <c r="AG57" s="329">
        <v>833.05847351376906</v>
      </c>
      <c r="AH57" s="329">
        <v>1582.6461837844226</v>
      </c>
      <c r="AI57" s="222"/>
      <c r="AJ57" s="311"/>
    </row>
    <row r="58" spans="2:36">
      <c r="B58" s="828">
        <v>3</v>
      </c>
      <c r="C58" s="824" t="s">
        <v>749</v>
      </c>
      <c r="D58" s="821"/>
      <c r="E58" s="821"/>
      <c r="F58" s="821"/>
      <c r="G58" s="821"/>
      <c r="H58" s="821"/>
      <c r="I58" s="821"/>
      <c r="J58" s="113"/>
      <c r="K58" s="113"/>
      <c r="L58" s="113"/>
      <c r="N58" s="338" t="s">
        <v>479</v>
      </c>
      <c r="O58" s="339">
        <v>38.611423319017277</v>
      </c>
      <c r="P58" s="340">
        <v>42.481763014625422</v>
      </c>
      <c r="Q58" s="340">
        <v>61.282346888561214</v>
      </c>
      <c r="R58" s="316">
        <v>99.175420541307204</v>
      </c>
      <c r="S58" s="331">
        <v>28.321175343083617</v>
      </c>
      <c r="T58" s="340">
        <v>70.802938357709039</v>
      </c>
      <c r="U58" s="331">
        <v>66.116947027538146</v>
      </c>
      <c r="V58" s="340">
        <v>165.29236756884535</v>
      </c>
      <c r="W58" s="312" t="s">
        <v>41</v>
      </c>
      <c r="X58" s="301"/>
      <c r="Y58" s="220"/>
      <c r="Z58" s="338" t="s">
        <v>479</v>
      </c>
      <c r="AA58" s="339">
        <v>19.305711659508638</v>
      </c>
      <c r="AB58" s="340">
        <v>21.240881507312711</v>
      </c>
      <c r="AC58" s="331">
        <v>30.641173444280607</v>
      </c>
      <c r="AD58" s="340">
        <v>49.587710270653602</v>
      </c>
      <c r="AE58" s="331">
        <v>14.160587671541808</v>
      </c>
      <c r="AF58" s="340">
        <v>35.401469178854519</v>
      </c>
      <c r="AG58" s="331">
        <v>33.058473513769073</v>
      </c>
      <c r="AH58" s="340">
        <v>82.646183784422675</v>
      </c>
      <c r="AI58" s="312" t="s">
        <v>41</v>
      </c>
      <c r="AJ58" s="301"/>
    </row>
    <row r="59" spans="2:36" ht="16" thickBot="1">
      <c r="B59" s="828">
        <v>4</v>
      </c>
      <c r="C59" s="824" t="s">
        <v>750</v>
      </c>
      <c r="D59" s="821"/>
      <c r="E59" s="821"/>
      <c r="F59" s="821"/>
      <c r="G59" s="821"/>
      <c r="H59" s="821"/>
      <c r="I59" s="821"/>
      <c r="J59" s="113"/>
      <c r="K59" s="113"/>
      <c r="L59" s="113"/>
      <c r="N59" s="341" t="s">
        <v>480</v>
      </c>
      <c r="O59" s="349">
        <v>1250</v>
      </c>
      <c r="P59" s="349">
        <v>1219.0609414023438</v>
      </c>
      <c r="Q59" s="349">
        <v>1159.46121102291</v>
      </c>
      <c r="R59" s="349">
        <v>1048.8607629632247</v>
      </c>
      <c r="S59" s="346">
        <v>800</v>
      </c>
      <c r="T59" s="346">
        <v>1800</v>
      </c>
      <c r="U59" s="346">
        <v>800</v>
      </c>
      <c r="V59" s="346">
        <v>1500</v>
      </c>
      <c r="W59" s="346"/>
      <c r="X59" s="346">
        <v>7</v>
      </c>
      <c r="Y59" s="221"/>
      <c r="Z59" s="341" t="s">
        <v>480</v>
      </c>
      <c r="AA59" s="347">
        <v>1250</v>
      </c>
      <c r="AB59" s="318">
        <v>1219.0609414023438</v>
      </c>
      <c r="AC59" s="317">
        <v>1159.46121102291</v>
      </c>
      <c r="AD59" s="318">
        <v>1048.8607629632247</v>
      </c>
      <c r="AE59" s="346">
        <v>800</v>
      </c>
      <c r="AF59" s="346">
        <v>1800</v>
      </c>
      <c r="AG59" s="346">
        <v>800</v>
      </c>
      <c r="AH59" s="346">
        <v>1500</v>
      </c>
      <c r="AI59" s="346"/>
      <c r="AJ59" s="346">
        <v>7</v>
      </c>
    </row>
    <row r="60" spans="2:36">
      <c r="B60" s="828">
        <v>5</v>
      </c>
      <c r="C60" s="827" t="s">
        <v>751</v>
      </c>
      <c r="D60" s="821"/>
      <c r="E60" s="821"/>
      <c r="F60" s="821"/>
      <c r="G60" s="821"/>
      <c r="H60" s="821"/>
      <c r="I60" s="821"/>
      <c r="J60" s="113"/>
      <c r="K60" s="113"/>
      <c r="L60" s="113"/>
    </row>
    <row r="61" spans="2:36">
      <c r="B61" s="828">
        <v>6</v>
      </c>
      <c r="C61" s="824" t="s">
        <v>752</v>
      </c>
      <c r="D61" s="764"/>
      <c r="E61" s="764"/>
      <c r="F61" s="764"/>
      <c r="G61" s="764"/>
      <c r="H61" s="764"/>
      <c r="I61" s="764"/>
      <c r="J61" s="113"/>
      <c r="K61" s="113"/>
      <c r="L61" s="113"/>
    </row>
    <row r="62" spans="2:36">
      <c r="B62" s="828">
        <v>7</v>
      </c>
      <c r="C62" s="824" t="s">
        <v>753</v>
      </c>
      <c r="D62" s="764"/>
      <c r="E62" s="764"/>
      <c r="F62" s="764"/>
      <c r="G62" s="764"/>
      <c r="H62" s="764"/>
      <c r="I62" s="764"/>
      <c r="J62" s="113"/>
      <c r="K62" s="113"/>
      <c r="L62" s="113"/>
    </row>
    <row r="63" spans="2:36" ht="16">
      <c r="B63" s="823"/>
      <c r="C63" s="824"/>
      <c r="D63" s="764"/>
      <c r="E63" s="764"/>
      <c r="F63" s="764"/>
      <c r="G63" s="764"/>
      <c r="H63" s="764"/>
      <c r="I63" s="764"/>
      <c r="J63" s="113"/>
      <c r="K63" s="113"/>
      <c r="L63" s="113"/>
    </row>
    <row r="64" spans="2:36" ht="16">
      <c r="B64" s="825" t="s">
        <v>589</v>
      </c>
      <c r="C64" s="821"/>
      <c r="D64" s="764"/>
      <c r="E64" s="764"/>
      <c r="F64" s="764"/>
      <c r="G64" s="764"/>
      <c r="H64" s="764"/>
      <c r="I64" s="764"/>
    </row>
    <row r="65" spans="2:15">
      <c r="B65" s="828" t="s">
        <v>6</v>
      </c>
      <c r="C65" s="826" t="s">
        <v>754</v>
      </c>
      <c r="D65" s="764"/>
      <c r="E65" s="764"/>
      <c r="F65" s="764"/>
      <c r="G65" s="764"/>
      <c r="H65" s="764"/>
      <c r="I65" s="764"/>
    </row>
    <row r="66" spans="2:15">
      <c r="B66" s="828" t="s">
        <v>42</v>
      </c>
      <c r="C66" s="826" t="s">
        <v>755</v>
      </c>
      <c r="D66" s="764"/>
      <c r="E66" s="764"/>
      <c r="F66" s="764"/>
      <c r="G66" s="764"/>
      <c r="H66" s="764"/>
      <c r="I66" s="764"/>
    </row>
    <row r="67" spans="2:15">
      <c r="B67" s="828" t="s">
        <v>15</v>
      </c>
      <c r="C67" s="826" t="s">
        <v>756</v>
      </c>
      <c r="D67" s="764"/>
      <c r="E67" s="764"/>
      <c r="F67" s="764"/>
      <c r="G67" s="764"/>
      <c r="H67" s="764"/>
      <c r="I67" s="764"/>
    </row>
    <row r="68" spans="2:15">
      <c r="B68" s="828" t="s">
        <v>19</v>
      </c>
      <c r="C68" s="826" t="s">
        <v>757</v>
      </c>
      <c r="D68" s="764"/>
      <c r="E68" s="764"/>
      <c r="F68" s="764"/>
      <c r="G68" s="764"/>
      <c r="H68" s="764"/>
      <c r="I68" s="764"/>
    </row>
    <row r="69" spans="2:15">
      <c r="B69" s="828" t="s">
        <v>52</v>
      </c>
      <c r="C69" s="826" t="s">
        <v>758</v>
      </c>
      <c r="D69" s="764"/>
      <c r="E69" s="764"/>
      <c r="F69" s="764"/>
      <c r="G69" s="764"/>
      <c r="H69" s="764"/>
      <c r="I69" s="764"/>
      <c r="J69" s="821"/>
      <c r="K69" s="821"/>
      <c r="L69" s="821"/>
      <c r="M69" s="821"/>
      <c r="N69" s="821"/>
      <c r="O69" s="821"/>
    </row>
    <row r="70" spans="2:15">
      <c r="B70" s="828" t="s">
        <v>23</v>
      </c>
      <c r="C70" s="826" t="s">
        <v>759</v>
      </c>
      <c r="D70" s="764"/>
      <c r="E70" s="764"/>
      <c r="F70" s="764"/>
      <c r="G70" s="764"/>
      <c r="H70" s="764"/>
      <c r="I70" s="764"/>
      <c r="J70" s="821"/>
      <c r="K70" s="821"/>
      <c r="L70" s="821"/>
      <c r="M70" s="821"/>
      <c r="N70" s="821"/>
      <c r="O70" s="821"/>
    </row>
    <row r="71" spans="2:15">
      <c r="B71" s="828" t="s">
        <v>31</v>
      </c>
      <c r="C71" s="826" t="s">
        <v>760</v>
      </c>
      <c r="D71" s="764"/>
      <c r="E71" s="764"/>
      <c r="F71" s="764"/>
      <c r="G71" s="764"/>
      <c r="H71" s="764"/>
      <c r="I71" s="764"/>
      <c r="J71" s="821"/>
      <c r="K71" s="821"/>
      <c r="L71" s="821"/>
      <c r="M71" s="821"/>
      <c r="N71" s="821"/>
      <c r="O71" s="821"/>
    </row>
    <row r="72" spans="2:15">
      <c r="B72" s="828" t="s">
        <v>39</v>
      </c>
      <c r="C72" s="826" t="s">
        <v>761</v>
      </c>
      <c r="D72" s="764"/>
      <c r="E72" s="764"/>
      <c r="F72" s="764"/>
      <c r="G72" s="764"/>
      <c r="H72" s="764"/>
      <c r="I72" s="764"/>
      <c r="J72" s="821"/>
      <c r="K72" s="821"/>
      <c r="L72" s="821"/>
      <c r="M72" s="821"/>
      <c r="N72" s="821"/>
      <c r="O72" s="821"/>
    </row>
    <row r="73" spans="2:15">
      <c r="B73" s="828" t="s">
        <v>40</v>
      </c>
      <c r="C73" s="824" t="s">
        <v>678</v>
      </c>
      <c r="D73" s="764"/>
      <c r="E73" s="764"/>
      <c r="F73" s="764"/>
      <c r="G73" s="764"/>
      <c r="H73" s="764"/>
      <c r="I73" s="764"/>
      <c r="J73" s="821"/>
      <c r="K73" s="821"/>
      <c r="L73" s="821"/>
      <c r="M73" s="821"/>
      <c r="N73" s="821"/>
      <c r="O73" s="821"/>
    </row>
    <row r="74" spans="2:15">
      <c r="B74" s="828" t="s">
        <v>41</v>
      </c>
      <c r="C74" s="829" t="s">
        <v>596</v>
      </c>
      <c r="D74" s="764"/>
      <c r="E74" s="764"/>
      <c r="F74" s="764"/>
      <c r="G74" s="764"/>
      <c r="H74" s="764"/>
      <c r="I74" s="764"/>
      <c r="J74" s="821"/>
      <c r="K74" s="821"/>
      <c r="L74" s="821"/>
      <c r="M74" s="821"/>
      <c r="N74" s="821"/>
      <c r="O74" s="821"/>
    </row>
    <row r="75" spans="2:15">
      <c r="B75" s="828" t="s">
        <v>37</v>
      </c>
      <c r="C75" s="829" t="s">
        <v>762</v>
      </c>
      <c r="D75" s="764"/>
      <c r="E75" s="764"/>
      <c r="F75" s="764"/>
      <c r="G75" s="764"/>
      <c r="H75" s="764"/>
      <c r="I75" s="764"/>
      <c r="J75" s="764"/>
      <c r="K75" s="764"/>
      <c r="L75" s="764"/>
      <c r="M75" s="764"/>
      <c r="N75" s="764"/>
      <c r="O75" s="764"/>
    </row>
    <row r="76" spans="2:15">
      <c r="J76" s="764"/>
      <c r="K76" s="764"/>
      <c r="L76" s="764"/>
      <c r="M76" s="764"/>
      <c r="N76" s="764"/>
      <c r="O76" s="764"/>
    </row>
    <row r="77" spans="2:15">
      <c r="J77" s="764"/>
      <c r="K77" s="764"/>
      <c r="L77" s="764"/>
      <c r="M77" s="764"/>
      <c r="N77" s="764"/>
      <c r="O77" s="764"/>
    </row>
    <row r="78" spans="2:15">
      <c r="J78" s="764"/>
      <c r="K78" s="764"/>
      <c r="L78" s="764"/>
      <c r="M78" s="764"/>
      <c r="N78" s="764"/>
      <c r="O78" s="764"/>
    </row>
    <row r="79" spans="2:15">
      <c r="J79" s="764"/>
      <c r="K79" s="764"/>
      <c r="L79" s="764"/>
      <c r="M79" s="764"/>
      <c r="N79" s="764"/>
      <c r="O79" s="764"/>
    </row>
    <row r="80" spans="2:15">
      <c r="J80" s="764"/>
      <c r="K80" s="764"/>
      <c r="L80" s="764"/>
      <c r="M80" s="764"/>
      <c r="N80" s="764"/>
      <c r="O80" s="764"/>
    </row>
    <row r="81" spans="10:15">
      <c r="J81" s="764"/>
      <c r="K81" s="764"/>
      <c r="L81" s="764"/>
      <c r="M81" s="764"/>
      <c r="N81" s="764"/>
      <c r="O81" s="764"/>
    </row>
    <row r="82" spans="10:15">
      <c r="J82" s="764"/>
      <c r="K82" s="764"/>
      <c r="L82" s="764"/>
      <c r="M82" s="764"/>
      <c r="N82" s="764"/>
      <c r="O82" s="764"/>
    </row>
    <row r="83" spans="10:15">
      <c r="J83" s="764"/>
      <c r="K83" s="764"/>
      <c r="L83" s="764"/>
      <c r="M83" s="764"/>
      <c r="N83" s="764"/>
      <c r="O83" s="764"/>
    </row>
    <row r="84" spans="10:15">
      <c r="J84" s="764"/>
      <c r="K84" s="764"/>
      <c r="L84" s="764"/>
      <c r="M84" s="764"/>
      <c r="N84" s="764"/>
      <c r="O84" s="764"/>
    </row>
    <row r="85" spans="10:15">
      <c r="J85" s="764"/>
      <c r="K85" s="764"/>
      <c r="L85" s="764"/>
      <c r="M85" s="764"/>
      <c r="N85" s="764"/>
      <c r="O85" s="764"/>
    </row>
    <row r="86" spans="10:15">
      <c r="J86" s="764"/>
      <c r="K86" s="764"/>
      <c r="L86" s="764"/>
      <c r="M86" s="764"/>
      <c r="N86" s="764"/>
      <c r="O86" s="764"/>
    </row>
    <row r="87" spans="10:15">
      <c r="J87" s="764"/>
      <c r="K87" s="764"/>
      <c r="L87" s="764"/>
      <c r="M87" s="764"/>
      <c r="N87" s="764"/>
      <c r="O87" s="764"/>
    </row>
    <row r="88" spans="10:15">
      <c r="J88" s="764"/>
      <c r="K88" s="764"/>
      <c r="L88" s="764"/>
      <c r="M88" s="764"/>
      <c r="N88" s="764"/>
      <c r="O88" s="764"/>
    </row>
    <row r="89" spans="10:15">
      <c r="J89" s="764"/>
      <c r="K89" s="764"/>
      <c r="L89" s="764"/>
      <c r="M89" s="764"/>
      <c r="N89" s="764"/>
      <c r="O89" s="764"/>
    </row>
  </sheetData>
  <mergeCells count="30">
    <mergeCell ref="C13:L13"/>
    <mergeCell ref="O13:X13"/>
    <mergeCell ref="AA13:AJ13"/>
    <mergeCell ref="B14:B15"/>
    <mergeCell ref="C14:C15"/>
    <mergeCell ref="D14:D15"/>
    <mergeCell ref="E14:E15"/>
    <mergeCell ref="F14:F15"/>
    <mergeCell ref="G14:H15"/>
    <mergeCell ref="I14:J15"/>
    <mergeCell ref="K14:K15"/>
    <mergeCell ref="L14:L15"/>
    <mergeCell ref="N14:N15"/>
    <mergeCell ref="O14:O15"/>
    <mergeCell ref="P14:P15"/>
    <mergeCell ref="Q14:Q15"/>
    <mergeCell ref="R14:R15"/>
    <mergeCell ref="S14:T15"/>
    <mergeCell ref="U14:V15"/>
    <mergeCell ref="W14:W15"/>
    <mergeCell ref="X14:X15"/>
    <mergeCell ref="Z14:Z15"/>
    <mergeCell ref="AG14:AH15"/>
    <mergeCell ref="AI14:AI15"/>
    <mergeCell ref="AJ14:AJ15"/>
    <mergeCell ref="AA14:AA15"/>
    <mergeCell ref="AB14:AB15"/>
    <mergeCell ref="AC14:AC15"/>
    <mergeCell ref="AD14:AD15"/>
    <mergeCell ref="AE14:AF15"/>
  </mergeCells>
  <hyperlinks>
    <hyperlink ref="C60" r:id="rId1" display="www.metrotherm.dk. " xr:uid="{00000000-0004-0000-0B00-000000000000}"/>
  </hyperlinks>
  <pageMargins left="0.7" right="0.7" top="0.75" bottom="0.75" header="0.3" footer="0.3"/>
  <pageSetup paperSize="9" orientation="portrait"/>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4"/>
  </sheetPr>
  <dimension ref="B1:AY52"/>
  <sheetViews>
    <sheetView workbookViewId="0">
      <selection activeCell="N14" sqref="N14:N15"/>
    </sheetView>
  </sheetViews>
  <sheetFormatPr baseColWidth="10" defaultColWidth="8.83203125" defaultRowHeight="15"/>
  <cols>
    <col min="2" max="2" width="40.83203125" customWidth="1"/>
    <col min="3" max="3" width="18.1640625" customWidth="1"/>
    <col min="4" max="5" width="11.5" bestFit="1" customWidth="1"/>
    <col min="6" max="6" width="12.6640625" bestFit="1" customWidth="1"/>
    <col min="9" max="9" width="7.5" customWidth="1"/>
    <col min="14" max="14" width="30.5" customWidth="1"/>
    <col min="26" max="26" width="40.5" customWidth="1"/>
    <col min="38" max="38" width="21.5" customWidth="1"/>
  </cols>
  <sheetData>
    <row r="1" spans="2:51">
      <c r="B1" s="8" t="s">
        <v>237</v>
      </c>
    </row>
    <row r="3" spans="2:51" s="186" customFormat="1" ht="16" thickBot="1">
      <c r="B3" s="223" t="str">
        <f>C18</f>
        <v>NA</v>
      </c>
      <c r="C3" s="224"/>
      <c r="D3" s="224"/>
      <c r="E3" s="224"/>
      <c r="F3" s="224"/>
      <c r="G3" s="225"/>
      <c r="J3" s="821" t="s">
        <v>783</v>
      </c>
      <c r="R3" s="230"/>
      <c r="S3" s="231">
        <f>C45</f>
        <v>500</v>
      </c>
      <c r="T3" s="224"/>
      <c r="U3" s="224"/>
      <c r="V3" s="224"/>
      <c r="W3" s="224"/>
      <c r="X3" s="225"/>
    </row>
    <row r="4" spans="2:51" s="186" customFormat="1" ht="15.75" customHeight="1">
      <c r="B4" s="34" t="s">
        <v>273</v>
      </c>
      <c r="J4" s="821">
        <v>0.2</v>
      </c>
      <c r="Z4" s="34" t="s">
        <v>273</v>
      </c>
      <c r="AA4" s="232"/>
      <c r="AB4" s="232"/>
      <c r="AC4" s="232"/>
      <c r="AD4" s="232"/>
      <c r="AE4" s="232"/>
      <c r="AF4" s="232"/>
      <c r="AL4" s="34" t="s">
        <v>273</v>
      </c>
    </row>
    <row r="5" spans="2:51" s="186"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L5" s="27" t="s">
        <v>255</v>
      </c>
      <c r="AM5" s="27" t="s">
        <v>256</v>
      </c>
      <c r="AN5" s="28" t="s">
        <v>257</v>
      </c>
      <c r="AO5" s="28" t="s">
        <v>259</v>
      </c>
      <c r="AP5" s="29" t="s">
        <v>260</v>
      </c>
      <c r="AQ5" s="30" t="s">
        <v>261</v>
      </c>
      <c r="AR5" s="30" t="s">
        <v>262</v>
      </c>
      <c r="AS5" s="30" t="s">
        <v>263</v>
      </c>
      <c r="AT5" s="30" t="s">
        <v>264</v>
      </c>
      <c r="AU5" s="30" t="s">
        <v>265</v>
      </c>
      <c r="AV5" s="30" t="s">
        <v>266</v>
      </c>
      <c r="AW5" s="30" t="s">
        <v>267</v>
      </c>
      <c r="AX5" s="30" t="s">
        <v>268</v>
      </c>
      <c r="AY5" s="30" t="s">
        <v>269</v>
      </c>
    </row>
    <row r="6" spans="2:51" s="186" customFormat="1" ht="16" thickBot="1">
      <c r="B6" s="31"/>
      <c r="C6" s="31"/>
      <c r="D6" s="32"/>
      <c r="E6" s="32"/>
      <c r="F6" s="33"/>
      <c r="G6" s="31"/>
      <c r="H6" s="31"/>
      <c r="I6" s="31"/>
      <c r="J6" s="31"/>
      <c r="K6" s="31"/>
      <c r="L6" s="31"/>
      <c r="M6" s="31"/>
      <c r="N6" s="31"/>
      <c r="O6" s="31"/>
      <c r="Z6" s="31"/>
      <c r="AA6" s="31"/>
      <c r="AB6" s="32"/>
      <c r="AC6" s="32"/>
      <c r="AD6" s="33"/>
      <c r="AE6" s="31"/>
      <c r="AF6" s="31"/>
      <c r="AL6" s="31"/>
      <c r="AM6" s="31"/>
      <c r="AN6" s="32"/>
      <c r="AO6" s="32"/>
      <c r="AP6" s="33"/>
      <c r="AQ6" s="31"/>
      <c r="AR6" s="31"/>
      <c r="AS6" s="31"/>
      <c r="AT6" s="31"/>
      <c r="AU6" s="31"/>
      <c r="AV6" s="31"/>
      <c r="AW6" s="31"/>
      <c r="AX6" s="31"/>
      <c r="AY6" s="31"/>
    </row>
    <row r="7" spans="2:51" s="186" customFormat="1">
      <c r="B7" s="37"/>
      <c r="C7" s="37"/>
      <c r="D7" s="38"/>
      <c r="E7" s="38"/>
      <c r="F7" s="38" t="s">
        <v>353</v>
      </c>
      <c r="G7" s="38" t="s">
        <v>354</v>
      </c>
      <c r="H7" s="38" t="s">
        <v>355</v>
      </c>
      <c r="I7" s="37" t="s">
        <v>271</v>
      </c>
      <c r="J7" s="37" t="s">
        <v>271</v>
      </c>
      <c r="K7" s="37" t="s">
        <v>272</v>
      </c>
      <c r="L7" s="37" t="s">
        <v>272</v>
      </c>
      <c r="M7" s="37" t="s">
        <v>272</v>
      </c>
      <c r="N7" s="37" t="s">
        <v>272</v>
      </c>
      <c r="O7" s="37" t="s">
        <v>272</v>
      </c>
      <c r="Z7" s="37"/>
      <c r="AA7" s="37"/>
      <c r="AB7" s="38"/>
      <c r="AC7" s="38"/>
      <c r="AD7" s="38" t="s">
        <v>353</v>
      </c>
      <c r="AE7" s="38" t="s">
        <v>354</v>
      </c>
      <c r="AF7" s="38" t="s">
        <v>355</v>
      </c>
      <c r="AL7" s="37"/>
      <c r="AM7" s="37"/>
      <c r="AN7" s="38"/>
      <c r="AO7" s="38"/>
      <c r="AP7" s="38" t="s">
        <v>353</v>
      </c>
      <c r="AQ7" s="38" t="s">
        <v>354</v>
      </c>
      <c r="AR7" s="38" t="s">
        <v>355</v>
      </c>
      <c r="AS7" s="37" t="s">
        <v>271</v>
      </c>
      <c r="AT7" s="37" t="s">
        <v>271</v>
      </c>
      <c r="AU7" s="37" t="s">
        <v>272</v>
      </c>
      <c r="AV7" s="37" t="s">
        <v>272</v>
      </c>
      <c r="AW7" s="37" t="s">
        <v>272</v>
      </c>
      <c r="AX7" s="37" t="s">
        <v>272</v>
      </c>
      <c r="AY7" s="37" t="s">
        <v>272</v>
      </c>
    </row>
    <row r="8" spans="2:51" s="186" customFormat="1">
      <c r="B8" s="39">
        <f>C14</f>
        <v>2015</v>
      </c>
      <c r="C8" s="39">
        <f>B8</f>
        <v>2015</v>
      </c>
      <c r="D8" s="39">
        <f>C22/100</f>
        <v>0.8</v>
      </c>
      <c r="E8" s="39">
        <f>C25</f>
        <v>20</v>
      </c>
      <c r="F8" s="226">
        <f>C48</f>
        <v>4.3458333333333341</v>
      </c>
      <c r="G8" s="226">
        <f>C51</f>
        <v>0.32019479166666664</v>
      </c>
      <c r="H8" s="226">
        <f>C52</f>
        <v>0</v>
      </c>
      <c r="I8" s="39"/>
      <c r="J8" s="39">
        <f>$J$4*E19/100/C17*10</f>
        <v>0.16666666666666666</v>
      </c>
      <c r="K8" s="39">
        <f>C33</f>
        <v>25</v>
      </c>
      <c r="L8" s="45">
        <f>C34</f>
        <v>90</v>
      </c>
      <c r="M8" s="45">
        <f>C35</f>
        <v>3</v>
      </c>
      <c r="N8" s="350">
        <f>C36</f>
        <v>4</v>
      </c>
      <c r="O8" s="45">
        <f>C37</f>
        <v>19</v>
      </c>
      <c r="Z8" s="39">
        <f>AA14</f>
        <v>2015</v>
      </c>
      <c r="AA8" s="39">
        <f>Z8</f>
        <v>2015</v>
      </c>
      <c r="AB8" s="39">
        <f>AA22/100</f>
        <v>0.8</v>
      </c>
      <c r="AC8" s="39">
        <f>AA25</f>
        <v>20</v>
      </c>
      <c r="AD8" s="226">
        <f>AA48</f>
        <v>1.67625</v>
      </c>
      <c r="AE8" s="226">
        <f>AA51</f>
        <v>1.4730157330486238E-2</v>
      </c>
      <c r="AF8" s="226">
        <f>AA52</f>
        <v>0</v>
      </c>
      <c r="AL8" s="39">
        <f>AM14</f>
        <v>2015</v>
      </c>
      <c r="AM8" s="39">
        <f>AL8</f>
        <v>2015</v>
      </c>
      <c r="AN8" s="39">
        <f>AM22/100</f>
        <v>0.8</v>
      </c>
      <c r="AO8" s="39">
        <f>AM25</f>
        <v>20</v>
      </c>
      <c r="AP8" s="226">
        <f>AM48</f>
        <v>2.5143750000000002</v>
      </c>
      <c r="AQ8" s="226">
        <f>AM51</f>
        <v>3.6825393326215587E-2</v>
      </c>
      <c r="AR8" s="226">
        <f>AM52</f>
        <v>0</v>
      </c>
      <c r="AS8" s="39"/>
      <c r="AT8" s="39"/>
      <c r="AU8" s="39">
        <f>AM33</f>
        <v>25</v>
      </c>
      <c r="AV8" s="441">
        <f>AM34</f>
        <v>90</v>
      </c>
      <c r="AW8" s="441">
        <f>AM35</f>
        <v>3</v>
      </c>
      <c r="AX8" s="350">
        <f>AM36</f>
        <v>4</v>
      </c>
      <c r="AY8" s="441">
        <f>AM37</f>
        <v>19</v>
      </c>
    </row>
    <row r="9" spans="2:51" s="186" customFormat="1">
      <c r="B9" s="39">
        <f>D14</f>
        <v>2020</v>
      </c>
      <c r="C9" s="39"/>
      <c r="D9" s="39">
        <f>D22/100</f>
        <v>0.82</v>
      </c>
      <c r="E9" s="39">
        <f>D25</f>
        <v>20</v>
      </c>
      <c r="F9" s="226">
        <f>D48</f>
        <v>5.0859222475305792</v>
      </c>
      <c r="G9" s="226">
        <f>D51</f>
        <v>0.37561736053789851</v>
      </c>
      <c r="H9" s="226">
        <f>D52</f>
        <v>0</v>
      </c>
      <c r="I9" s="39"/>
      <c r="J9" s="39">
        <f>$J$4*D19/100</f>
        <v>0.2</v>
      </c>
      <c r="K9" s="39">
        <f>D33</f>
        <v>25</v>
      </c>
      <c r="L9" s="303">
        <f>D34</f>
        <v>70</v>
      </c>
      <c r="M9" s="303">
        <f>D35</f>
        <v>2</v>
      </c>
      <c r="N9" s="350">
        <f>D36</f>
        <v>4</v>
      </c>
      <c r="O9" s="45">
        <f>D37</f>
        <v>15</v>
      </c>
      <c r="Z9" s="39">
        <f>AB14</f>
        <v>2020</v>
      </c>
      <c r="AA9" s="39"/>
      <c r="AB9" s="39">
        <f>AB22/100</f>
        <v>0.85</v>
      </c>
      <c r="AC9" s="39">
        <f>AB25</f>
        <v>20</v>
      </c>
      <c r="AD9" s="226">
        <f>AB48</f>
        <v>1.6347607224205432</v>
      </c>
      <c r="AE9" s="226">
        <f>AB51</f>
        <v>1.5030511817280828E-2</v>
      </c>
      <c r="AF9" s="226">
        <f>AB52</f>
        <v>0</v>
      </c>
      <c r="AL9" s="39">
        <f>AN14</f>
        <v>2020</v>
      </c>
      <c r="AM9" s="39"/>
      <c r="AN9" s="39">
        <f>AN22/100</f>
        <v>0.85</v>
      </c>
      <c r="AO9" s="39">
        <f>AN25</f>
        <v>20</v>
      </c>
      <c r="AP9" s="226">
        <f>AN48</f>
        <v>2.4521410836308148</v>
      </c>
      <c r="AQ9" s="226">
        <f>AN51</f>
        <v>3.7576279543202064E-2</v>
      </c>
      <c r="AR9" s="226">
        <f>AN52</f>
        <v>0</v>
      </c>
      <c r="AS9" s="39"/>
      <c r="AT9" s="39"/>
      <c r="AU9" s="39">
        <f>AN33</f>
        <v>25</v>
      </c>
      <c r="AV9" s="441">
        <f>AN34</f>
        <v>70</v>
      </c>
      <c r="AW9" s="441">
        <f>AN35</f>
        <v>2</v>
      </c>
      <c r="AX9" s="350">
        <f>AN36</f>
        <v>4</v>
      </c>
      <c r="AY9" s="441">
        <f>AN37</f>
        <v>15</v>
      </c>
    </row>
    <row r="10" spans="2:51" s="186" customFormat="1">
      <c r="B10" s="39">
        <f>E14</f>
        <v>2030</v>
      </c>
      <c r="C10" s="39"/>
      <c r="D10" s="39">
        <f>E22/100</f>
        <v>0.86</v>
      </c>
      <c r="E10" s="39">
        <f>E25</f>
        <v>20</v>
      </c>
      <c r="F10" s="226">
        <f>E48</f>
        <v>4.8372721723875811</v>
      </c>
      <c r="G10" s="226">
        <f>E51</f>
        <v>0.36207334088482723</v>
      </c>
      <c r="H10" s="226">
        <f>E52</f>
        <v>0</v>
      </c>
      <c r="I10" s="39"/>
      <c r="J10" s="39">
        <f>$J$4*E19/100</f>
        <v>0.2</v>
      </c>
      <c r="K10" s="39">
        <f>E33</f>
        <v>25</v>
      </c>
      <c r="L10" s="303">
        <f>E34</f>
        <v>50</v>
      </c>
      <c r="M10" s="303">
        <f>E35</f>
        <v>1</v>
      </c>
      <c r="N10" s="350">
        <f>E36</f>
        <v>4</v>
      </c>
      <c r="O10" s="45">
        <f>E37</f>
        <v>12</v>
      </c>
      <c r="Z10" s="39">
        <f>AC14</f>
        <v>2030</v>
      </c>
      <c r="AA10" s="39"/>
      <c r="AB10" s="39">
        <f>AC22/100</f>
        <v>0.9</v>
      </c>
      <c r="AC10" s="39">
        <f>AC25</f>
        <v>20</v>
      </c>
      <c r="AD10" s="226">
        <f>AC48</f>
        <v>1.5548374839817223</v>
      </c>
      <c r="AE10" s="226">
        <f>AC51</f>
        <v>1.779326546166439E-2</v>
      </c>
      <c r="AF10" s="226">
        <f>AC52</f>
        <v>0</v>
      </c>
      <c r="AL10" s="39">
        <f>AO14</f>
        <v>2030</v>
      </c>
      <c r="AM10" s="39"/>
      <c r="AN10" s="39">
        <f>AO22/100</f>
        <v>0.9</v>
      </c>
      <c r="AO10" s="39">
        <f>AO25</f>
        <v>20</v>
      </c>
      <c r="AP10" s="226">
        <f>AO48</f>
        <v>2.3322562259725839</v>
      </c>
      <c r="AQ10" s="226">
        <f>AO51</f>
        <v>4.4483163654160968E-2</v>
      </c>
      <c r="AR10" s="226">
        <f>AO52</f>
        <v>0</v>
      </c>
      <c r="AS10" s="39"/>
      <c r="AT10" s="39"/>
      <c r="AU10" s="39">
        <f>AO33</f>
        <v>25</v>
      </c>
      <c r="AV10" s="441">
        <f>AO34</f>
        <v>50</v>
      </c>
      <c r="AW10" s="441">
        <f>AO35</f>
        <v>1</v>
      </c>
      <c r="AX10" s="350">
        <f>AO36</f>
        <v>4</v>
      </c>
      <c r="AY10" s="441">
        <f>AO37</f>
        <v>12</v>
      </c>
    </row>
    <row r="11" spans="2:51" s="186" customFormat="1">
      <c r="B11" s="39">
        <f>F14</f>
        <v>2050</v>
      </c>
      <c r="C11" s="39"/>
      <c r="D11" s="39">
        <f>F22/100</f>
        <v>0.88</v>
      </c>
      <c r="E11" s="39">
        <f>F25</f>
        <v>20</v>
      </c>
      <c r="F11" s="226">
        <f>F48</f>
        <v>4.375847103082573</v>
      </c>
      <c r="G11" s="226">
        <f>F51</f>
        <v>0.32999350736304095</v>
      </c>
      <c r="H11" s="226">
        <f>F52</f>
        <v>0</v>
      </c>
      <c r="I11" s="39"/>
      <c r="J11" s="39">
        <f>$J$4*F19/100</f>
        <v>0.2</v>
      </c>
      <c r="K11" s="39">
        <f>F33</f>
        <v>25</v>
      </c>
      <c r="L11" s="303">
        <f>F34</f>
        <v>40</v>
      </c>
      <c r="M11" s="303">
        <f>F35</f>
        <v>0</v>
      </c>
      <c r="N11" s="350">
        <f>F36</f>
        <v>4</v>
      </c>
      <c r="O11" s="45">
        <f>F37</f>
        <v>10</v>
      </c>
      <c r="Z11" s="39">
        <f>AD14</f>
        <v>2050</v>
      </c>
      <c r="AA11" s="39"/>
      <c r="AB11" s="39">
        <f>AD22/100</f>
        <v>0.9</v>
      </c>
      <c r="AC11" s="39">
        <f>AD25</f>
        <v>20</v>
      </c>
      <c r="AD11" s="226">
        <f>AD48</f>
        <v>1.4065222831336845</v>
      </c>
      <c r="AE11" s="226">
        <f>AD51</f>
        <v>2.2596425864924361E-2</v>
      </c>
      <c r="AF11" s="226">
        <f>AD52</f>
        <v>0</v>
      </c>
      <c r="AL11" s="39">
        <f>AP14</f>
        <v>2050</v>
      </c>
      <c r="AM11" s="39"/>
      <c r="AN11" s="39">
        <f>AP22/100</f>
        <v>0.9</v>
      </c>
      <c r="AO11" s="39">
        <f>AP25</f>
        <v>20</v>
      </c>
      <c r="AP11" s="226">
        <f>AP48</f>
        <v>2.1097834247005265</v>
      </c>
      <c r="AQ11" s="226">
        <f>AP51</f>
        <v>5.6491064662310901E-2</v>
      </c>
      <c r="AR11" s="226">
        <f>AP52</f>
        <v>0</v>
      </c>
      <c r="AS11" s="39"/>
      <c r="AT11" s="39"/>
      <c r="AU11" s="39">
        <f>AP33</f>
        <v>25</v>
      </c>
      <c r="AV11" s="441">
        <f>AP34</f>
        <v>40</v>
      </c>
      <c r="AW11" s="441">
        <f>AP35</f>
        <v>0</v>
      </c>
      <c r="AX11" s="350">
        <f>AP36</f>
        <v>4</v>
      </c>
      <c r="AY11" s="441">
        <f>AP37</f>
        <v>10</v>
      </c>
    </row>
    <row r="12" spans="2:51" s="186" customFormat="1" ht="16" thickBot="1"/>
    <row r="13" spans="2:51" s="186" customFormat="1" ht="15.75" customHeight="1" thickBot="1">
      <c r="B13" s="994" t="s">
        <v>0</v>
      </c>
      <c r="C13" s="1289" t="s">
        <v>840</v>
      </c>
      <c r="D13" s="1290"/>
      <c r="E13" s="1290"/>
      <c r="F13" s="1290"/>
      <c r="G13" s="1290"/>
      <c r="H13" s="1290"/>
      <c r="I13" s="1290"/>
      <c r="J13" s="1290"/>
      <c r="K13" s="1290"/>
      <c r="L13" s="1291"/>
      <c r="M13" s="232"/>
      <c r="N13" s="233" t="s">
        <v>0</v>
      </c>
      <c r="O13" s="1289" t="s">
        <v>506</v>
      </c>
      <c r="P13" s="1290"/>
      <c r="Q13" s="1290"/>
      <c r="R13" s="1290"/>
      <c r="S13" s="1290"/>
      <c r="T13" s="1290"/>
      <c r="U13" s="1290"/>
      <c r="V13" s="1290"/>
      <c r="W13" s="1290"/>
      <c r="X13" s="1291"/>
      <c r="Y13" s="232"/>
      <c r="Z13" s="233" t="s">
        <v>0</v>
      </c>
      <c r="AA13" s="1289" t="s">
        <v>507</v>
      </c>
      <c r="AB13" s="1290"/>
      <c r="AC13" s="1290"/>
      <c r="AD13" s="1290"/>
      <c r="AE13" s="1290"/>
      <c r="AF13" s="1290"/>
      <c r="AG13" s="1290"/>
      <c r="AH13" s="1290"/>
      <c r="AI13" s="1290"/>
      <c r="AJ13" s="1291"/>
      <c r="AK13" s="232"/>
      <c r="AL13" s="233" t="s">
        <v>0</v>
      </c>
      <c r="AM13" s="1289" t="s">
        <v>508</v>
      </c>
      <c r="AN13" s="1290"/>
      <c r="AO13" s="1290"/>
      <c r="AP13" s="1290"/>
      <c r="AQ13" s="1290"/>
      <c r="AR13" s="1290"/>
      <c r="AS13" s="1290"/>
      <c r="AT13" s="1290"/>
      <c r="AU13" s="1290"/>
      <c r="AV13" s="1291"/>
    </row>
    <row r="14" spans="2:51" s="186" customFormat="1" ht="15" customHeight="1">
      <c r="B14" s="1280"/>
      <c r="C14" s="1282">
        <v>2015</v>
      </c>
      <c r="D14" s="1282">
        <v>2020</v>
      </c>
      <c r="E14" s="1282">
        <v>2030</v>
      </c>
      <c r="F14" s="1282">
        <v>2050</v>
      </c>
      <c r="G14" s="1285" t="s">
        <v>467</v>
      </c>
      <c r="H14" s="1286"/>
      <c r="I14" s="1285" t="s">
        <v>468</v>
      </c>
      <c r="J14" s="1286"/>
      <c r="K14" s="1282" t="s">
        <v>2</v>
      </c>
      <c r="L14" s="1282" t="s">
        <v>3</v>
      </c>
      <c r="M14" s="232"/>
      <c r="N14" s="1280"/>
      <c r="O14" s="1282">
        <v>2015</v>
      </c>
      <c r="P14" s="1282">
        <v>2020</v>
      </c>
      <c r="Q14" s="1282">
        <v>2030</v>
      </c>
      <c r="R14" s="1282">
        <v>2050</v>
      </c>
      <c r="S14" s="1285" t="s">
        <v>467</v>
      </c>
      <c r="T14" s="1286"/>
      <c r="U14" s="1285" t="s">
        <v>468</v>
      </c>
      <c r="V14" s="1286"/>
      <c r="W14" s="1282" t="s">
        <v>2</v>
      </c>
      <c r="X14" s="1282" t="s">
        <v>3</v>
      </c>
      <c r="Y14" s="232"/>
      <c r="Z14" s="1280"/>
      <c r="AA14" s="1282">
        <v>2015</v>
      </c>
      <c r="AB14" s="1282">
        <v>2020</v>
      </c>
      <c r="AC14" s="1282">
        <v>2030</v>
      </c>
      <c r="AD14" s="1282">
        <v>2050</v>
      </c>
      <c r="AE14" s="1285" t="s">
        <v>467</v>
      </c>
      <c r="AF14" s="1286"/>
      <c r="AG14" s="1285" t="s">
        <v>468</v>
      </c>
      <c r="AH14" s="1286"/>
      <c r="AI14" s="1282" t="s">
        <v>2</v>
      </c>
      <c r="AJ14" s="1282" t="s">
        <v>3</v>
      </c>
      <c r="AK14" s="232"/>
      <c r="AL14" s="1280"/>
      <c r="AM14" s="1282">
        <v>2015</v>
      </c>
      <c r="AN14" s="1282">
        <v>2020</v>
      </c>
      <c r="AO14" s="1282">
        <v>2030</v>
      </c>
      <c r="AP14" s="1282">
        <v>2050</v>
      </c>
      <c r="AQ14" s="1285" t="s">
        <v>467</v>
      </c>
      <c r="AR14" s="1286"/>
      <c r="AS14" s="1285" t="s">
        <v>468</v>
      </c>
      <c r="AT14" s="1286"/>
      <c r="AU14" s="1282" t="s">
        <v>2</v>
      </c>
      <c r="AV14" s="1282" t="s">
        <v>3</v>
      </c>
    </row>
    <row r="15" spans="2:51" ht="16" thickBot="1">
      <c r="B15" s="1281"/>
      <c r="C15" s="1283"/>
      <c r="D15" s="1283"/>
      <c r="E15" s="1283"/>
      <c r="F15" s="1283"/>
      <c r="G15" s="1287"/>
      <c r="H15" s="1288"/>
      <c r="I15" s="1287"/>
      <c r="J15" s="1288"/>
      <c r="K15" s="1283"/>
      <c r="L15" s="1283"/>
      <c r="M15" s="232"/>
      <c r="N15" s="1281"/>
      <c r="O15" s="1283"/>
      <c r="P15" s="1283"/>
      <c r="Q15" s="1283"/>
      <c r="R15" s="1283"/>
      <c r="S15" s="1287"/>
      <c r="T15" s="1288"/>
      <c r="U15" s="1287"/>
      <c r="V15" s="1288"/>
      <c r="W15" s="1283"/>
      <c r="X15" s="1283"/>
      <c r="Y15" s="232"/>
      <c r="Z15" s="1281"/>
      <c r="AA15" s="1283"/>
      <c r="AB15" s="1283"/>
      <c r="AC15" s="1283"/>
      <c r="AD15" s="1283"/>
      <c r="AE15" s="1287"/>
      <c r="AF15" s="1288"/>
      <c r="AG15" s="1287"/>
      <c r="AH15" s="1288"/>
      <c r="AI15" s="1283"/>
      <c r="AJ15" s="1283"/>
      <c r="AK15" s="232"/>
      <c r="AL15" s="1281"/>
      <c r="AM15" s="1283"/>
      <c r="AN15" s="1283"/>
      <c r="AO15" s="1283"/>
      <c r="AP15" s="1283"/>
      <c r="AQ15" s="1287"/>
      <c r="AR15" s="1288"/>
      <c r="AS15" s="1287"/>
      <c r="AT15" s="1288"/>
      <c r="AU15" s="1283"/>
      <c r="AV15" s="1283"/>
    </row>
    <row r="16" spans="2:51" ht="16" thickBot="1">
      <c r="B16" s="991" t="s">
        <v>4</v>
      </c>
      <c r="C16" s="992"/>
      <c r="D16" s="992"/>
      <c r="E16" s="992"/>
      <c r="F16" s="992"/>
      <c r="G16" s="996" t="s">
        <v>469</v>
      </c>
      <c r="H16" s="996" t="s">
        <v>470</v>
      </c>
      <c r="I16" s="996" t="s">
        <v>469</v>
      </c>
      <c r="J16" s="996" t="s">
        <v>470</v>
      </c>
      <c r="K16" s="992"/>
      <c r="L16" s="993"/>
      <c r="M16" s="232"/>
      <c r="N16" s="234" t="s">
        <v>4</v>
      </c>
      <c r="O16" s="235"/>
      <c r="P16" s="235"/>
      <c r="Q16" s="235"/>
      <c r="R16" s="235"/>
      <c r="S16" s="236" t="s">
        <v>469</v>
      </c>
      <c r="T16" s="236" t="s">
        <v>470</v>
      </c>
      <c r="U16" s="236" t="s">
        <v>469</v>
      </c>
      <c r="V16" s="236" t="s">
        <v>470</v>
      </c>
      <c r="W16" s="235"/>
      <c r="X16" s="237"/>
      <c r="Y16" s="232"/>
      <c r="Z16" s="234" t="s">
        <v>4</v>
      </c>
      <c r="AA16" s="235"/>
      <c r="AB16" s="235"/>
      <c r="AC16" s="235"/>
      <c r="AD16" s="235"/>
      <c r="AE16" s="236" t="s">
        <v>469</v>
      </c>
      <c r="AF16" s="236" t="s">
        <v>470</v>
      </c>
      <c r="AG16" s="236" t="s">
        <v>469</v>
      </c>
      <c r="AH16" s="236" t="s">
        <v>470</v>
      </c>
      <c r="AI16" s="235"/>
      <c r="AJ16" s="237"/>
      <c r="AK16" s="232"/>
      <c r="AL16" s="234" t="s">
        <v>4</v>
      </c>
      <c r="AM16" s="235"/>
      <c r="AN16" s="235"/>
      <c r="AO16" s="235"/>
      <c r="AP16" s="235"/>
      <c r="AQ16" s="236" t="s">
        <v>469</v>
      </c>
      <c r="AR16" s="236" t="s">
        <v>470</v>
      </c>
      <c r="AS16" s="236" t="s">
        <v>469</v>
      </c>
      <c r="AT16" s="236" t="s">
        <v>470</v>
      </c>
      <c r="AU16" s="235"/>
      <c r="AV16" s="237"/>
    </row>
    <row r="17" spans="2:48" ht="15" customHeight="1" thickBot="1">
      <c r="B17" s="995" t="s">
        <v>5</v>
      </c>
      <c r="C17" s="1004">
        <v>12</v>
      </c>
      <c r="D17" s="1004">
        <v>10</v>
      </c>
      <c r="E17" s="1004">
        <v>10</v>
      </c>
      <c r="F17" s="1004">
        <v>10</v>
      </c>
      <c r="G17" s="984">
        <v>8</v>
      </c>
      <c r="H17" s="984">
        <v>15</v>
      </c>
      <c r="I17" s="984">
        <v>8</v>
      </c>
      <c r="J17" s="984">
        <v>10</v>
      </c>
      <c r="K17" s="984" t="s">
        <v>6</v>
      </c>
      <c r="L17" s="984">
        <v>4</v>
      </c>
      <c r="M17" s="256"/>
      <c r="N17" s="257" t="s">
        <v>5</v>
      </c>
      <c r="O17" s="281">
        <v>12</v>
      </c>
      <c r="P17" s="281">
        <v>10</v>
      </c>
      <c r="Q17" s="281">
        <v>8</v>
      </c>
      <c r="R17" s="281">
        <v>8</v>
      </c>
      <c r="S17" s="243">
        <v>8</v>
      </c>
      <c r="T17" s="243">
        <v>15</v>
      </c>
      <c r="U17" s="243">
        <v>8</v>
      </c>
      <c r="V17" s="243">
        <v>10</v>
      </c>
      <c r="W17" s="243" t="s">
        <v>6</v>
      </c>
      <c r="X17" s="243">
        <v>4</v>
      </c>
      <c r="Y17" s="256"/>
      <c r="Z17" s="257" t="s">
        <v>5</v>
      </c>
      <c r="AA17" s="281">
        <v>400</v>
      </c>
      <c r="AB17" s="281">
        <v>400</v>
      </c>
      <c r="AC17" s="281">
        <v>400</v>
      </c>
      <c r="AD17" s="281">
        <v>400</v>
      </c>
      <c r="AE17" s="243">
        <v>200</v>
      </c>
      <c r="AF17" s="243">
        <v>600</v>
      </c>
      <c r="AG17" s="243">
        <v>200</v>
      </c>
      <c r="AH17" s="243">
        <v>600</v>
      </c>
      <c r="AI17" s="243" t="s">
        <v>6</v>
      </c>
      <c r="AJ17" s="243"/>
      <c r="AK17" s="256"/>
      <c r="AL17" s="257" t="s">
        <v>5</v>
      </c>
      <c r="AM17" s="281">
        <v>160</v>
      </c>
      <c r="AN17" s="281">
        <v>160</v>
      </c>
      <c r="AO17" s="281">
        <v>160</v>
      </c>
      <c r="AP17" s="281">
        <v>160</v>
      </c>
      <c r="AQ17" s="243">
        <v>80</v>
      </c>
      <c r="AR17" s="243">
        <v>400</v>
      </c>
      <c r="AS17" s="243">
        <v>80</v>
      </c>
      <c r="AT17" s="243">
        <v>400</v>
      </c>
      <c r="AU17" s="243" t="s">
        <v>6</v>
      </c>
      <c r="AV17" s="243"/>
    </row>
    <row r="18" spans="2:48" ht="15.75" customHeight="1" thickBot="1">
      <c r="B18" s="1005" t="s">
        <v>77</v>
      </c>
      <c r="C18" s="1002" t="s">
        <v>47</v>
      </c>
      <c r="D18" s="1002" t="s">
        <v>47</v>
      </c>
      <c r="E18" s="1002" t="s">
        <v>47</v>
      </c>
      <c r="F18" s="1002" t="s">
        <v>47</v>
      </c>
      <c r="G18" s="1002" t="s">
        <v>47</v>
      </c>
      <c r="H18" s="1002" t="s">
        <v>47</v>
      </c>
      <c r="I18" s="1002" t="s">
        <v>47</v>
      </c>
      <c r="J18" s="1002" t="s">
        <v>47</v>
      </c>
      <c r="K18" s="1002"/>
      <c r="L18" s="1002"/>
      <c r="M18" s="272"/>
      <c r="N18" s="274" t="s">
        <v>77</v>
      </c>
      <c r="O18" s="273" t="s">
        <v>47</v>
      </c>
      <c r="P18" s="273" t="s">
        <v>47</v>
      </c>
      <c r="Q18" s="273" t="s">
        <v>47</v>
      </c>
      <c r="R18" s="273" t="s">
        <v>47</v>
      </c>
      <c r="S18" s="273" t="s">
        <v>47</v>
      </c>
      <c r="T18" s="273" t="s">
        <v>47</v>
      </c>
      <c r="U18" s="273" t="s">
        <v>47</v>
      </c>
      <c r="V18" s="273" t="s">
        <v>47</v>
      </c>
      <c r="W18" s="273"/>
      <c r="X18" s="273"/>
      <c r="Y18" s="272"/>
      <c r="Z18" s="274" t="s">
        <v>77</v>
      </c>
      <c r="AA18" s="268" t="s">
        <v>47</v>
      </c>
      <c r="AB18" s="268" t="s">
        <v>47</v>
      </c>
      <c r="AC18" s="268" t="s">
        <v>47</v>
      </c>
      <c r="AD18" s="268" t="s">
        <v>47</v>
      </c>
      <c r="AE18" s="268" t="s">
        <v>47</v>
      </c>
      <c r="AF18" s="268" t="s">
        <v>47</v>
      </c>
      <c r="AG18" s="268" t="s">
        <v>47</v>
      </c>
      <c r="AH18" s="268" t="s">
        <v>47</v>
      </c>
      <c r="AI18" s="273" t="s">
        <v>37</v>
      </c>
      <c r="AJ18" s="273">
        <v>7</v>
      </c>
      <c r="AK18" s="272"/>
      <c r="AL18" s="274" t="s">
        <v>77</v>
      </c>
      <c r="AM18" s="268" t="s">
        <v>47</v>
      </c>
      <c r="AN18" s="268" t="s">
        <v>47</v>
      </c>
      <c r="AO18" s="268" t="s">
        <v>47</v>
      </c>
      <c r="AP18" s="268" t="s">
        <v>47</v>
      </c>
      <c r="AQ18" s="268" t="s">
        <v>47</v>
      </c>
      <c r="AR18" s="268" t="s">
        <v>47</v>
      </c>
      <c r="AS18" s="268" t="s">
        <v>47</v>
      </c>
      <c r="AT18" s="268" t="s">
        <v>47</v>
      </c>
      <c r="AU18" s="273" t="s">
        <v>37</v>
      </c>
      <c r="AV18" s="273">
        <v>7</v>
      </c>
    </row>
    <row r="19" spans="2:48" ht="25" thickBot="1">
      <c r="B19" s="995" t="s">
        <v>7</v>
      </c>
      <c r="C19" s="984">
        <v>100</v>
      </c>
      <c r="D19" s="984">
        <v>100</v>
      </c>
      <c r="E19" s="984">
        <v>100</v>
      </c>
      <c r="F19" s="984">
        <v>100</v>
      </c>
      <c r="G19" s="984">
        <v>100</v>
      </c>
      <c r="H19" s="984">
        <v>100</v>
      </c>
      <c r="I19" s="984">
        <v>100</v>
      </c>
      <c r="J19" s="984">
        <v>100</v>
      </c>
      <c r="K19" s="984"/>
      <c r="L19" s="984"/>
      <c r="M19" s="256"/>
      <c r="N19" s="257" t="s">
        <v>7</v>
      </c>
      <c r="O19" s="243">
        <v>100</v>
      </c>
      <c r="P19" s="243">
        <v>100</v>
      </c>
      <c r="Q19" s="243">
        <v>100</v>
      </c>
      <c r="R19" s="243">
        <v>100</v>
      </c>
      <c r="S19" s="243">
        <v>100</v>
      </c>
      <c r="T19" s="243">
        <v>100</v>
      </c>
      <c r="U19" s="243">
        <v>100</v>
      </c>
      <c r="V19" s="243">
        <v>100</v>
      </c>
      <c r="W19" s="243"/>
      <c r="X19" s="243"/>
      <c r="Y19" s="256"/>
      <c r="Z19" s="257" t="s">
        <v>7</v>
      </c>
      <c r="AA19" s="243">
        <v>100</v>
      </c>
      <c r="AB19" s="243">
        <v>100</v>
      </c>
      <c r="AC19" s="243">
        <v>100</v>
      </c>
      <c r="AD19" s="243">
        <v>100</v>
      </c>
      <c r="AE19" s="243">
        <v>100</v>
      </c>
      <c r="AF19" s="243">
        <v>100</v>
      </c>
      <c r="AG19" s="243">
        <v>100</v>
      </c>
      <c r="AH19" s="243">
        <v>100</v>
      </c>
      <c r="AI19" s="243"/>
      <c r="AJ19" s="243"/>
      <c r="AK19" s="256"/>
      <c r="AL19" s="257" t="s">
        <v>7</v>
      </c>
      <c r="AM19" s="243">
        <v>100</v>
      </c>
      <c r="AN19" s="243">
        <v>100</v>
      </c>
      <c r="AO19" s="243">
        <v>100</v>
      </c>
      <c r="AP19" s="243">
        <v>100</v>
      </c>
      <c r="AQ19" s="243">
        <v>100</v>
      </c>
      <c r="AR19" s="243">
        <v>100</v>
      </c>
      <c r="AS19" s="243">
        <v>100</v>
      </c>
      <c r="AT19" s="243">
        <v>100</v>
      </c>
      <c r="AU19" s="243"/>
      <c r="AV19" s="243"/>
    </row>
    <row r="20" spans="2:48" ht="25" thickBot="1">
      <c r="B20" s="995" t="s">
        <v>8</v>
      </c>
      <c r="C20" s="984">
        <v>100</v>
      </c>
      <c r="D20" s="984">
        <v>100</v>
      </c>
      <c r="E20" s="984">
        <v>100</v>
      </c>
      <c r="F20" s="984">
        <v>100</v>
      </c>
      <c r="G20" s="984">
        <v>100</v>
      </c>
      <c r="H20" s="984">
        <v>100</v>
      </c>
      <c r="I20" s="984">
        <v>100</v>
      </c>
      <c r="J20" s="984">
        <v>100</v>
      </c>
      <c r="K20" s="984"/>
      <c r="L20" s="984"/>
      <c r="M20" s="256"/>
      <c r="N20" s="257" t="s">
        <v>8</v>
      </c>
      <c r="O20" s="243">
        <v>100</v>
      </c>
      <c r="P20" s="243">
        <v>100</v>
      </c>
      <c r="Q20" s="243">
        <v>100</v>
      </c>
      <c r="R20" s="243">
        <v>100</v>
      </c>
      <c r="S20" s="243">
        <v>100</v>
      </c>
      <c r="T20" s="243">
        <v>100</v>
      </c>
      <c r="U20" s="243">
        <v>100</v>
      </c>
      <c r="V20" s="243">
        <v>100</v>
      </c>
      <c r="W20" s="243"/>
      <c r="X20" s="243"/>
      <c r="Y20" s="256"/>
      <c r="Z20" s="257" t="s">
        <v>8</v>
      </c>
      <c r="AA20" s="243">
        <v>100</v>
      </c>
      <c r="AB20" s="243">
        <v>100</v>
      </c>
      <c r="AC20" s="243">
        <v>100</v>
      </c>
      <c r="AD20" s="243">
        <v>100</v>
      </c>
      <c r="AE20" s="243">
        <v>100</v>
      </c>
      <c r="AF20" s="243">
        <v>100</v>
      </c>
      <c r="AG20" s="243">
        <v>100</v>
      </c>
      <c r="AH20" s="243">
        <v>100</v>
      </c>
      <c r="AI20" s="243"/>
      <c r="AJ20" s="243"/>
      <c r="AK20" s="256"/>
      <c r="AL20" s="257" t="s">
        <v>8</v>
      </c>
      <c r="AM20" s="243">
        <v>100</v>
      </c>
      <c r="AN20" s="243">
        <v>100</v>
      </c>
      <c r="AO20" s="243">
        <v>100</v>
      </c>
      <c r="AP20" s="243">
        <v>100</v>
      </c>
      <c r="AQ20" s="243">
        <v>100</v>
      </c>
      <c r="AR20" s="243">
        <v>100</v>
      </c>
      <c r="AS20" s="243">
        <v>100</v>
      </c>
      <c r="AT20" s="243">
        <v>100</v>
      </c>
      <c r="AU20" s="243"/>
      <c r="AV20" s="243"/>
    </row>
    <row r="21" spans="2:48" ht="25" thickBot="1">
      <c r="B21" s="995" t="s">
        <v>82</v>
      </c>
      <c r="C21" s="984" t="s">
        <v>47</v>
      </c>
      <c r="D21" s="984" t="s">
        <v>47</v>
      </c>
      <c r="E21" s="984" t="s">
        <v>47</v>
      </c>
      <c r="F21" s="984" t="s">
        <v>47</v>
      </c>
      <c r="G21" s="984" t="s">
        <v>47</v>
      </c>
      <c r="H21" s="984" t="s">
        <v>47</v>
      </c>
      <c r="I21" s="984" t="s">
        <v>47</v>
      </c>
      <c r="J21" s="984" t="s">
        <v>47</v>
      </c>
      <c r="K21" s="984"/>
      <c r="L21" s="984"/>
      <c r="M21" s="256"/>
      <c r="N21" s="257" t="s">
        <v>82</v>
      </c>
      <c r="O21" s="243" t="s">
        <v>47</v>
      </c>
      <c r="P21" s="243" t="s">
        <v>47</v>
      </c>
      <c r="Q21" s="243" t="s">
        <v>47</v>
      </c>
      <c r="R21" s="243" t="s">
        <v>47</v>
      </c>
      <c r="S21" s="243" t="s">
        <v>47</v>
      </c>
      <c r="T21" s="243" t="s">
        <v>47</v>
      </c>
      <c r="U21" s="243" t="s">
        <v>47</v>
      </c>
      <c r="V21" s="243" t="s">
        <v>47</v>
      </c>
      <c r="W21" s="243"/>
      <c r="X21" s="243"/>
      <c r="Y21" s="256"/>
      <c r="Z21" s="257" t="s">
        <v>82</v>
      </c>
      <c r="AA21" s="268" t="s">
        <v>47</v>
      </c>
      <c r="AB21" s="268" t="s">
        <v>47</v>
      </c>
      <c r="AC21" s="268" t="s">
        <v>47</v>
      </c>
      <c r="AD21" s="268" t="s">
        <v>47</v>
      </c>
      <c r="AE21" s="268" t="s">
        <v>47</v>
      </c>
      <c r="AF21" s="268" t="s">
        <v>47</v>
      </c>
      <c r="AG21" s="268" t="s">
        <v>47</v>
      </c>
      <c r="AH21" s="268" t="s">
        <v>47</v>
      </c>
      <c r="AI21" s="243"/>
      <c r="AJ21" s="243">
        <v>7</v>
      </c>
      <c r="AK21" s="256"/>
      <c r="AL21" s="257" t="s">
        <v>82</v>
      </c>
      <c r="AM21" s="268" t="s">
        <v>47</v>
      </c>
      <c r="AN21" s="268" t="s">
        <v>47</v>
      </c>
      <c r="AO21" s="268" t="s">
        <v>47</v>
      </c>
      <c r="AP21" s="268" t="s">
        <v>47</v>
      </c>
      <c r="AQ21" s="268" t="s">
        <v>47</v>
      </c>
      <c r="AR21" s="268" t="s">
        <v>47</v>
      </c>
      <c r="AS21" s="268" t="s">
        <v>47</v>
      </c>
      <c r="AT21" s="268" t="s">
        <v>47</v>
      </c>
      <c r="AU21" s="243"/>
      <c r="AV21" s="243">
        <v>7</v>
      </c>
    </row>
    <row r="22" spans="2:48" ht="25" thickBot="1">
      <c r="B22" s="1005" t="s">
        <v>86</v>
      </c>
      <c r="C22" s="1002">
        <v>80</v>
      </c>
      <c r="D22" s="1002">
        <v>82</v>
      </c>
      <c r="E22" s="1002">
        <v>86</v>
      </c>
      <c r="F22" s="1002">
        <v>88</v>
      </c>
      <c r="G22" s="1006">
        <v>74.484575860272429</v>
      </c>
      <c r="H22" s="1006">
        <v>89.515424139727571</v>
      </c>
      <c r="I22" s="1006">
        <v>80.484575860272429</v>
      </c>
      <c r="J22" s="1006">
        <v>95.515424139727571</v>
      </c>
      <c r="K22" s="1002" t="s">
        <v>31</v>
      </c>
      <c r="L22" s="1002"/>
      <c r="M22" s="272"/>
      <c r="N22" s="274" t="s">
        <v>86</v>
      </c>
      <c r="O22" s="273">
        <v>75</v>
      </c>
      <c r="P22" s="273">
        <v>82</v>
      </c>
      <c r="Q22" s="273">
        <v>86</v>
      </c>
      <c r="R22" s="273">
        <v>88</v>
      </c>
      <c r="S22" s="282">
        <v>74.484575860272429</v>
      </c>
      <c r="T22" s="282">
        <v>89.515424139727571</v>
      </c>
      <c r="U22" s="282">
        <v>80.484575860272429</v>
      </c>
      <c r="V22" s="282">
        <v>95.515424139727571</v>
      </c>
      <c r="W22" s="273" t="s">
        <v>39</v>
      </c>
      <c r="X22" s="273">
        <v>5</v>
      </c>
      <c r="Y22" s="272"/>
      <c r="Z22" s="274" t="s">
        <v>86</v>
      </c>
      <c r="AA22" s="282">
        <v>80</v>
      </c>
      <c r="AB22" s="282">
        <v>85</v>
      </c>
      <c r="AC22" s="282">
        <v>90</v>
      </c>
      <c r="AD22" s="282">
        <v>90</v>
      </c>
      <c r="AE22" s="282">
        <v>79.144028688594858</v>
      </c>
      <c r="AF22" s="282">
        <v>90.855971311405142</v>
      </c>
      <c r="AG22" s="282">
        <v>85.08</v>
      </c>
      <c r="AH22" s="282">
        <v>94.92</v>
      </c>
      <c r="AI22" s="273"/>
      <c r="AJ22" s="273"/>
      <c r="AK22" s="272"/>
      <c r="AL22" s="274" t="s">
        <v>86</v>
      </c>
      <c r="AM22" s="282">
        <v>80</v>
      </c>
      <c r="AN22" s="282">
        <v>85</v>
      </c>
      <c r="AO22" s="282">
        <v>90</v>
      </c>
      <c r="AP22" s="282">
        <v>90</v>
      </c>
      <c r="AQ22" s="282">
        <v>79.144028688594858</v>
      </c>
      <c r="AR22" s="282">
        <v>90.855971311405142</v>
      </c>
      <c r="AS22" s="282">
        <v>85.08</v>
      </c>
      <c r="AT22" s="282">
        <v>94.92</v>
      </c>
      <c r="AU22" s="273"/>
      <c r="AV22" s="273"/>
    </row>
    <row r="23" spans="2:48" ht="25" thickBot="1">
      <c r="B23" s="1005" t="s">
        <v>9</v>
      </c>
      <c r="C23" s="1002">
        <v>80</v>
      </c>
      <c r="D23" s="1002">
        <v>82</v>
      </c>
      <c r="E23" s="1002">
        <v>86</v>
      </c>
      <c r="F23" s="1002">
        <v>88</v>
      </c>
      <c r="G23" s="1006">
        <v>74.484575860272429</v>
      </c>
      <c r="H23" s="1006">
        <v>89.515424139727571</v>
      </c>
      <c r="I23" s="1006">
        <v>80.484575860272429</v>
      </c>
      <c r="J23" s="1006">
        <v>95.515424139727571</v>
      </c>
      <c r="K23" s="1002" t="s">
        <v>42</v>
      </c>
      <c r="L23" s="1002">
        <v>5</v>
      </c>
      <c r="M23" s="272"/>
      <c r="N23" s="274" t="s">
        <v>9</v>
      </c>
      <c r="O23" s="273">
        <v>75</v>
      </c>
      <c r="P23" s="273">
        <v>82</v>
      </c>
      <c r="Q23" s="273">
        <v>86</v>
      </c>
      <c r="R23" s="273">
        <v>88</v>
      </c>
      <c r="S23" s="282">
        <v>74.484575860272429</v>
      </c>
      <c r="T23" s="282">
        <v>89.515424139727571</v>
      </c>
      <c r="U23" s="282">
        <v>80.484575860272429</v>
      </c>
      <c r="V23" s="282">
        <v>95.515424139727571</v>
      </c>
      <c r="W23" s="273" t="s">
        <v>42</v>
      </c>
      <c r="X23" s="273"/>
      <c r="Y23" s="272"/>
      <c r="Z23" s="274" t="s">
        <v>9</v>
      </c>
      <c r="AA23" s="282">
        <v>80</v>
      </c>
      <c r="AB23" s="282">
        <v>85</v>
      </c>
      <c r="AC23" s="282">
        <v>90</v>
      </c>
      <c r="AD23" s="282">
        <v>90</v>
      </c>
      <c r="AE23" s="282">
        <v>79.144028688594858</v>
      </c>
      <c r="AF23" s="282">
        <v>90.855971311405142</v>
      </c>
      <c r="AG23" s="282">
        <v>85.08</v>
      </c>
      <c r="AH23" s="282">
        <v>94.92</v>
      </c>
      <c r="AI23" s="273" t="s">
        <v>42</v>
      </c>
      <c r="AJ23" s="273">
        <v>5</v>
      </c>
      <c r="AK23" s="272"/>
      <c r="AL23" s="274" t="s">
        <v>9</v>
      </c>
      <c r="AM23" s="282">
        <v>80</v>
      </c>
      <c r="AN23" s="282">
        <v>85</v>
      </c>
      <c r="AO23" s="282">
        <v>90</v>
      </c>
      <c r="AP23" s="282">
        <v>90</v>
      </c>
      <c r="AQ23" s="282">
        <v>79.144028688594858</v>
      </c>
      <c r="AR23" s="282">
        <v>90.855971311405142</v>
      </c>
      <c r="AS23" s="282">
        <v>85.08</v>
      </c>
      <c r="AT23" s="282">
        <v>94.92</v>
      </c>
      <c r="AU23" s="273" t="s">
        <v>42</v>
      </c>
      <c r="AV23" s="273">
        <v>5</v>
      </c>
    </row>
    <row r="24" spans="2:48" ht="25" thickBot="1">
      <c r="B24" s="995" t="s">
        <v>472</v>
      </c>
      <c r="C24" s="984">
        <v>250</v>
      </c>
      <c r="D24" s="984">
        <v>240</v>
      </c>
      <c r="E24" s="984">
        <v>220</v>
      </c>
      <c r="F24" s="984">
        <v>200</v>
      </c>
      <c r="G24" s="984">
        <v>200</v>
      </c>
      <c r="H24" s="984">
        <v>300</v>
      </c>
      <c r="I24" s="984">
        <v>150</v>
      </c>
      <c r="J24" s="984">
        <v>250</v>
      </c>
      <c r="K24" s="984" t="s">
        <v>509</v>
      </c>
      <c r="L24" s="984">
        <v>8</v>
      </c>
      <c r="M24" s="256"/>
      <c r="N24" s="257" t="s">
        <v>472</v>
      </c>
      <c r="O24" s="243">
        <v>250</v>
      </c>
      <c r="P24" s="243">
        <v>250</v>
      </c>
      <c r="Q24" s="243">
        <v>250</v>
      </c>
      <c r="R24" s="243">
        <v>250</v>
      </c>
      <c r="S24" s="243">
        <v>200</v>
      </c>
      <c r="T24" s="243">
        <v>300</v>
      </c>
      <c r="U24" s="243">
        <v>200</v>
      </c>
      <c r="V24" s="243">
        <v>300</v>
      </c>
      <c r="W24" s="243" t="s">
        <v>509</v>
      </c>
      <c r="X24" s="243">
        <v>8</v>
      </c>
      <c r="Y24" s="256"/>
      <c r="Z24" s="257" t="s">
        <v>472</v>
      </c>
      <c r="AA24" s="243">
        <v>2500</v>
      </c>
      <c r="AB24" s="243">
        <v>2500</v>
      </c>
      <c r="AC24" s="243">
        <v>2500</v>
      </c>
      <c r="AD24" s="243">
        <v>2500</v>
      </c>
      <c r="AE24" s="243">
        <v>2000</v>
      </c>
      <c r="AF24" s="243">
        <v>3000</v>
      </c>
      <c r="AG24" s="243">
        <v>2000</v>
      </c>
      <c r="AH24" s="243">
        <v>3000</v>
      </c>
      <c r="AI24" s="243" t="s">
        <v>509</v>
      </c>
      <c r="AJ24" s="243"/>
      <c r="AK24" s="256"/>
      <c r="AL24" s="257" t="s">
        <v>472</v>
      </c>
      <c r="AM24" s="243">
        <v>2500</v>
      </c>
      <c r="AN24" s="243">
        <v>2500</v>
      </c>
      <c r="AO24" s="243">
        <v>2500</v>
      </c>
      <c r="AP24" s="243">
        <v>2500</v>
      </c>
      <c r="AQ24" s="243">
        <v>2000</v>
      </c>
      <c r="AR24" s="243">
        <v>3000</v>
      </c>
      <c r="AS24" s="243">
        <v>2000</v>
      </c>
      <c r="AT24" s="243">
        <v>3000</v>
      </c>
      <c r="AU24" s="243" t="s">
        <v>509</v>
      </c>
      <c r="AV24" s="243"/>
    </row>
    <row r="25" spans="2:48" ht="16" thickBot="1">
      <c r="B25" s="995" t="s">
        <v>10</v>
      </c>
      <c r="C25" s="984">
        <v>20</v>
      </c>
      <c r="D25" s="984">
        <v>20</v>
      </c>
      <c r="E25" s="984">
        <v>20</v>
      </c>
      <c r="F25" s="984">
        <v>20</v>
      </c>
      <c r="G25" s="984">
        <v>15</v>
      </c>
      <c r="H25" s="984">
        <v>25</v>
      </c>
      <c r="I25" s="984">
        <v>15</v>
      </c>
      <c r="J25" s="984">
        <v>25</v>
      </c>
      <c r="K25" s="984"/>
      <c r="L25" s="984">
        <v>7</v>
      </c>
      <c r="M25" s="256"/>
      <c r="N25" s="257" t="s">
        <v>10</v>
      </c>
      <c r="O25" s="243">
        <v>20</v>
      </c>
      <c r="P25" s="243">
        <v>20</v>
      </c>
      <c r="Q25" s="243">
        <v>20</v>
      </c>
      <c r="R25" s="243">
        <v>20</v>
      </c>
      <c r="S25" s="243">
        <v>15</v>
      </c>
      <c r="T25" s="243">
        <v>25</v>
      </c>
      <c r="U25" s="243">
        <v>15</v>
      </c>
      <c r="V25" s="243">
        <v>25</v>
      </c>
      <c r="W25" s="243"/>
      <c r="X25" s="243">
        <v>7</v>
      </c>
      <c r="Y25" s="256"/>
      <c r="Z25" s="257" t="s">
        <v>10</v>
      </c>
      <c r="AA25" s="243">
        <v>20</v>
      </c>
      <c r="AB25" s="243">
        <v>20</v>
      </c>
      <c r="AC25" s="243">
        <v>20</v>
      </c>
      <c r="AD25" s="243">
        <v>20</v>
      </c>
      <c r="AE25" s="243">
        <v>15</v>
      </c>
      <c r="AF25" s="243">
        <v>25</v>
      </c>
      <c r="AG25" s="243">
        <v>15</v>
      </c>
      <c r="AH25" s="243">
        <v>25</v>
      </c>
      <c r="AI25" s="243"/>
      <c r="AJ25" s="243">
        <v>6</v>
      </c>
      <c r="AK25" s="256"/>
      <c r="AL25" s="257" t="s">
        <v>10</v>
      </c>
      <c r="AM25" s="243">
        <v>20</v>
      </c>
      <c r="AN25" s="243">
        <v>20</v>
      </c>
      <c r="AO25" s="243">
        <v>20</v>
      </c>
      <c r="AP25" s="243">
        <v>20</v>
      </c>
      <c r="AQ25" s="243">
        <v>15</v>
      </c>
      <c r="AR25" s="243">
        <v>25</v>
      </c>
      <c r="AS25" s="243">
        <v>15</v>
      </c>
      <c r="AT25" s="243">
        <v>25</v>
      </c>
      <c r="AU25" s="243"/>
      <c r="AV25" s="243">
        <v>6</v>
      </c>
    </row>
    <row r="26" spans="2:48" ht="16" thickBot="1">
      <c r="B26" s="991" t="s">
        <v>488</v>
      </c>
      <c r="C26" s="982"/>
      <c r="D26" s="982"/>
      <c r="E26" s="982"/>
      <c r="F26" s="982"/>
      <c r="G26" s="982"/>
      <c r="H26" s="982"/>
      <c r="I26" s="982"/>
      <c r="J26" s="982"/>
      <c r="K26" s="982"/>
      <c r="L26" s="984"/>
      <c r="M26" s="256"/>
      <c r="N26" s="258" t="s">
        <v>488</v>
      </c>
      <c r="O26" s="244"/>
      <c r="P26" s="244"/>
      <c r="Q26" s="244"/>
      <c r="R26" s="244"/>
      <c r="S26" s="244"/>
      <c r="T26" s="244"/>
      <c r="U26" s="244"/>
      <c r="V26" s="244"/>
      <c r="W26" s="244"/>
      <c r="X26" s="243"/>
      <c r="Y26" s="256"/>
      <c r="Z26" s="258" t="s">
        <v>488</v>
      </c>
      <c r="AA26" s="244"/>
      <c r="AB26" s="244"/>
      <c r="AC26" s="244"/>
      <c r="AD26" s="244"/>
      <c r="AE26" s="244"/>
      <c r="AF26" s="244"/>
      <c r="AG26" s="244"/>
      <c r="AH26" s="244"/>
      <c r="AI26" s="244"/>
      <c r="AJ26" s="243"/>
      <c r="AK26" s="256"/>
      <c r="AL26" s="258" t="s">
        <v>488</v>
      </c>
      <c r="AM26" s="244"/>
      <c r="AN26" s="244"/>
      <c r="AO26" s="244"/>
      <c r="AP26" s="244"/>
      <c r="AQ26" s="244"/>
      <c r="AR26" s="244"/>
      <c r="AS26" s="244"/>
      <c r="AT26" s="244"/>
      <c r="AU26" s="244"/>
      <c r="AV26" s="243"/>
    </row>
    <row r="27" spans="2:48" ht="25" thickBot="1">
      <c r="B27" s="995" t="s">
        <v>489</v>
      </c>
      <c r="C27" s="984" t="s">
        <v>47</v>
      </c>
      <c r="D27" s="984" t="s">
        <v>47</v>
      </c>
      <c r="E27" s="984" t="s">
        <v>47</v>
      </c>
      <c r="F27" s="984" t="s">
        <v>47</v>
      </c>
      <c r="G27" s="984" t="s">
        <v>47</v>
      </c>
      <c r="H27" s="984" t="s">
        <v>47</v>
      </c>
      <c r="I27" s="984" t="s">
        <v>47</v>
      </c>
      <c r="J27" s="984" t="s">
        <v>47</v>
      </c>
      <c r="K27" s="984"/>
      <c r="L27" s="984"/>
      <c r="M27" s="256"/>
      <c r="N27" s="257" t="s">
        <v>489</v>
      </c>
      <c r="O27" s="243" t="s">
        <v>47</v>
      </c>
      <c r="P27" s="243" t="s">
        <v>47</v>
      </c>
      <c r="Q27" s="243" t="s">
        <v>47</v>
      </c>
      <c r="R27" s="243" t="s">
        <v>47</v>
      </c>
      <c r="S27" s="243" t="s">
        <v>47</v>
      </c>
      <c r="T27" s="243" t="s">
        <v>47</v>
      </c>
      <c r="U27" s="243" t="s">
        <v>47</v>
      </c>
      <c r="V27" s="243" t="s">
        <v>47</v>
      </c>
      <c r="W27" s="243"/>
      <c r="X27" s="243"/>
      <c r="Y27" s="256"/>
      <c r="Z27" s="257" t="s">
        <v>489</v>
      </c>
      <c r="AA27" s="243" t="s">
        <v>47</v>
      </c>
      <c r="AB27" s="243" t="s">
        <v>47</v>
      </c>
      <c r="AC27" s="243" t="s">
        <v>47</v>
      </c>
      <c r="AD27" s="243" t="s">
        <v>47</v>
      </c>
      <c r="AE27" s="243" t="s">
        <v>47</v>
      </c>
      <c r="AF27" s="243" t="s">
        <v>47</v>
      </c>
      <c r="AG27" s="243" t="s">
        <v>47</v>
      </c>
      <c r="AH27" s="243" t="s">
        <v>47</v>
      </c>
      <c r="AI27" s="243"/>
      <c r="AJ27" s="243"/>
      <c r="AK27" s="256"/>
      <c r="AL27" s="257" t="s">
        <v>489</v>
      </c>
      <c r="AM27" s="243" t="s">
        <v>47</v>
      </c>
      <c r="AN27" s="243" t="s">
        <v>47</v>
      </c>
      <c r="AO27" s="243" t="s">
        <v>47</v>
      </c>
      <c r="AP27" s="243" t="s">
        <v>47</v>
      </c>
      <c r="AQ27" s="243" t="s">
        <v>47</v>
      </c>
      <c r="AR27" s="243" t="s">
        <v>47</v>
      </c>
      <c r="AS27" s="243" t="s">
        <v>47</v>
      </c>
      <c r="AT27" s="243" t="s">
        <v>47</v>
      </c>
      <c r="AU27" s="243"/>
      <c r="AV27" s="243"/>
    </row>
    <row r="28" spans="2:48" ht="25" thickBot="1">
      <c r="B28" s="995" t="s">
        <v>490</v>
      </c>
      <c r="C28" s="984" t="s">
        <v>47</v>
      </c>
      <c r="D28" s="984" t="s">
        <v>47</v>
      </c>
      <c r="E28" s="984" t="s">
        <v>47</v>
      </c>
      <c r="F28" s="984" t="s">
        <v>47</v>
      </c>
      <c r="G28" s="984" t="s">
        <v>47</v>
      </c>
      <c r="H28" s="984" t="s">
        <v>47</v>
      </c>
      <c r="I28" s="984" t="s">
        <v>47</v>
      </c>
      <c r="J28" s="984" t="s">
        <v>47</v>
      </c>
      <c r="K28" s="984"/>
      <c r="L28" s="984"/>
      <c r="M28" s="256"/>
      <c r="N28" s="257" t="s">
        <v>490</v>
      </c>
      <c r="O28" s="243" t="s">
        <v>47</v>
      </c>
      <c r="P28" s="243" t="s">
        <v>47</v>
      </c>
      <c r="Q28" s="243" t="s">
        <v>47</v>
      </c>
      <c r="R28" s="243" t="s">
        <v>47</v>
      </c>
      <c r="S28" s="243" t="s">
        <v>47</v>
      </c>
      <c r="T28" s="243" t="s">
        <v>47</v>
      </c>
      <c r="U28" s="243" t="s">
        <v>47</v>
      </c>
      <c r="V28" s="243" t="s">
        <v>47</v>
      </c>
      <c r="W28" s="243"/>
      <c r="X28" s="243"/>
      <c r="Y28" s="256"/>
      <c r="Z28" s="257" t="s">
        <v>490</v>
      </c>
      <c r="AA28" s="243" t="s">
        <v>47</v>
      </c>
      <c r="AB28" s="243" t="s">
        <v>47</v>
      </c>
      <c r="AC28" s="243" t="s">
        <v>47</v>
      </c>
      <c r="AD28" s="243" t="s">
        <v>47</v>
      </c>
      <c r="AE28" s="243" t="s">
        <v>47</v>
      </c>
      <c r="AF28" s="243" t="s">
        <v>47</v>
      </c>
      <c r="AG28" s="243" t="s">
        <v>47</v>
      </c>
      <c r="AH28" s="243" t="s">
        <v>47</v>
      </c>
      <c r="AI28" s="243"/>
      <c r="AJ28" s="243"/>
      <c r="AK28" s="256"/>
      <c r="AL28" s="257" t="s">
        <v>490</v>
      </c>
      <c r="AM28" s="243" t="s">
        <v>47</v>
      </c>
      <c r="AN28" s="243" t="s">
        <v>47</v>
      </c>
      <c r="AO28" s="243" t="s">
        <v>47</v>
      </c>
      <c r="AP28" s="243" t="s">
        <v>47</v>
      </c>
      <c r="AQ28" s="243" t="s">
        <v>47</v>
      </c>
      <c r="AR28" s="243" t="s">
        <v>47</v>
      </c>
      <c r="AS28" s="243" t="s">
        <v>47</v>
      </c>
      <c r="AT28" s="243" t="s">
        <v>47</v>
      </c>
      <c r="AU28" s="243"/>
      <c r="AV28" s="243"/>
    </row>
    <row r="29" spans="2:48" ht="16" thickBot="1">
      <c r="B29" s="995" t="s">
        <v>491</v>
      </c>
      <c r="C29" s="984" t="s">
        <v>47</v>
      </c>
      <c r="D29" s="984" t="s">
        <v>47</v>
      </c>
      <c r="E29" s="984" t="s">
        <v>47</v>
      </c>
      <c r="F29" s="984" t="s">
        <v>47</v>
      </c>
      <c r="G29" s="984" t="s">
        <v>47</v>
      </c>
      <c r="H29" s="984" t="s">
        <v>47</v>
      </c>
      <c r="I29" s="984" t="s">
        <v>47</v>
      </c>
      <c r="J29" s="984" t="s">
        <v>47</v>
      </c>
      <c r="K29" s="984"/>
      <c r="L29" s="984"/>
      <c r="M29" s="256"/>
      <c r="N29" s="257" t="s">
        <v>491</v>
      </c>
      <c r="O29" s="243" t="s">
        <v>47</v>
      </c>
      <c r="P29" s="243" t="s">
        <v>47</v>
      </c>
      <c r="Q29" s="243" t="s">
        <v>47</v>
      </c>
      <c r="R29" s="243" t="s">
        <v>47</v>
      </c>
      <c r="S29" s="243" t="s">
        <v>47</v>
      </c>
      <c r="T29" s="243" t="s">
        <v>47</v>
      </c>
      <c r="U29" s="243" t="s">
        <v>47</v>
      </c>
      <c r="V29" s="243" t="s">
        <v>47</v>
      </c>
      <c r="W29" s="243"/>
      <c r="X29" s="243"/>
      <c r="Y29" s="256"/>
      <c r="Z29" s="257" t="s">
        <v>491</v>
      </c>
      <c r="AA29" s="243" t="s">
        <v>47</v>
      </c>
      <c r="AB29" s="243" t="s">
        <v>47</v>
      </c>
      <c r="AC29" s="243" t="s">
        <v>47</v>
      </c>
      <c r="AD29" s="243" t="s">
        <v>47</v>
      </c>
      <c r="AE29" s="243" t="s">
        <v>47</v>
      </c>
      <c r="AF29" s="243" t="s">
        <v>47</v>
      </c>
      <c r="AG29" s="243" t="s">
        <v>47</v>
      </c>
      <c r="AH29" s="243" t="s">
        <v>47</v>
      </c>
      <c r="AI29" s="243"/>
      <c r="AJ29" s="243"/>
      <c r="AK29" s="256"/>
      <c r="AL29" s="257" t="s">
        <v>491</v>
      </c>
      <c r="AM29" s="243" t="s">
        <v>47</v>
      </c>
      <c r="AN29" s="243" t="s">
        <v>47</v>
      </c>
      <c r="AO29" s="243" t="s">
        <v>47</v>
      </c>
      <c r="AP29" s="243" t="s">
        <v>47</v>
      </c>
      <c r="AQ29" s="243" t="s">
        <v>47</v>
      </c>
      <c r="AR29" s="243" t="s">
        <v>47</v>
      </c>
      <c r="AS29" s="243" t="s">
        <v>47</v>
      </c>
      <c r="AT29" s="243" t="s">
        <v>47</v>
      </c>
      <c r="AU29" s="243"/>
      <c r="AV29" s="243"/>
    </row>
    <row r="30" spans="2:48" ht="16" thickBot="1">
      <c r="B30" s="995" t="s">
        <v>492</v>
      </c>
      <c r="C30" s="984" t="s">
        <v>47</v>
      </c>
      <c r="D30" s="984" t="s">
        <v>47</v>
      </c>
      <c r="E30" s="984" t="s">
        <v>47</v>
      </c>
      <c r="F30" s="984" t="s">
        <v>47</v>
      </c>
      <c r="G30" s="984" t="s">
        <v>47</v>
      </c>
      <c r="H30" s="984" t="s">
        <v>47</v>
      </c>
      <c r="I30" s="984" t="s">
        <v>47</v>
      </c>
      <c r="J30" s="984" t="s">
        <v>47</v>
      </c>
      <c r="K30" s="984"/>
      <c r="L30" s="984"/>
      <c r="M30" s="256"/>
      <c r="N30" s="257" t="s">
        <v>492</v>
      </c>
      <c r="O30" s="243" t="s">
        <v>47</v>
      </c>
      <c r="P30" s="243" t="s">
        <v>47</v>
      </c>
      <c r="Q30" s="243" t="s">
        <v>47</v>
      </c>
      <c r="R30" s="243" t="s">
        <v>47</v>
      </c>
      <c r="S30" s="243" t="s">
        <v>47</v>
      </c>
      <c r="T30" s="243" t="s">
        <v>47</v>
      </c>
      <c r="U30" s="243" t="s">
        <v>47</v>
      </c>
      <c r="V30" s="243" t="s">
        <v>47</v>
      </c>
      <c r="W30" s="243"/>
      <c r="X30" s="243"/>
      <c r="Y30" s="256"/>
      <c r="Z30" s="257" t="s">
        <v>492</v>
      </c>
      <c r="AA30" s="243" t="s">
        <v>47</v>
      </c>
      <c r="AB30" s="243" t="s">
        <v>47</v>
      </c>
      <c r="AC30" s="243" t="s">
        <v>47</v>
      </c>
      <c r="AD30" s="243" t="s">
        <v>47</v>
      </c>
      <c r="AE30" s="243" t="s">
        <v>47</v>
      </c>
      <c r="AF30" s="243" t="s">
        <v>47</v>
      </c>
      <c r="AG30" s="243" t="s">
        <v>47</v>
      </c>
      <c r="AH30" s="243" t="s">
        <v>47</v>
      </c>
      <c r="AI30" s="243"/>
      <c r="AJ30" s="243"/>
      <c r="AK30" s="256"/>
      <c r="AL30" s="257" t="s">
        <v>492</v>
      </c>
      <c r="AM30" s="243" t="s">
        <v>47</v>
      </c>
      <c r="AN30" s="243" t="s">
        <v>47</v>
      </c>
      <c r="AO30" s="243" t="s">
        <v>47</v>
      </c>
      <c r="AP30" s="243" t="s">
        <v>47</v>
      </c>
      <c r="AQ30" s="243" t="s">
        <v>47</v>
      </c>
      <c r="AR30" s="243" t="s">
        <v>47</v>
      </c>
      <c r="AS30" s="243" t="s">
        <v>47</v>
      </c>
      <c r="AT30" s="243" t="s">
        <v>47</v>
      </c>
      <c r="AU30" s="243"/>
      <c r="AV30" s="243"/>
    </row>
    <row r="31" spans="2:48" ht="16" thickBot="1">
      <c r="B31" s="995" t="s">
        <v>493</v>
      </c>
      <c r="C31" s="984" t="s">
        <v>47</v>
      </c>
      <c r="D31" s="984" t="s">
        <v>47</v>
      </c>
      <c r="E31" s="984" t="s">
        <v>47</v>
      </c>
      <c r="F31" s="984" t="s">
        <v>47</v>
      </c>
      <c r="G31" s="984" t="s">
        <v>47</v>
      </c>
      <c r="H31" s="984" t="s">
        <v>47</v>
      </c>
      <c r="I31" s="984" t="s">
        <v>47</v>
      </c>
      <c r="J31" s="984" t="s">
        <v>47</v>
      </c>
      <c r="K31" s="984"/>
      <c r="L31" s="984"/>
      <c r="M31" s="256"/>
      <c r="N31" s="257" t="s">
        <v>493</v>
      </c>
      <c r="O31" s="243" t="s">
        <v>47</v>
      </c>
      <c r="P31" s="243" t="s">
        <v>47</v>
      </c>
      <c r="Q31" s="243" t="s">
        <v>47</v>
      </c>
      <c r="R31" s="243" t="s">
        <v>47</v>
      </c>
      <c r="S31" s="243" t="s">
        <v>47</v>
      </c>
      <c r="T31" s="243" t="s">
        <v>47</v>
      </c>
      <c r="U31" s="243" t="s">
        <v>47</v>
      </c>
      <c r="V31" s="243" t="s">
        <v>47</v>
      </c>
      <c r="W31" s="243"/>
      <c r="X31" s="243"/>
      <c r="Y31" s="256"/>
      <c r="Z31" s="257" t="s">
        <v>493</v>
      </c>
      <c r="AA31" s="243" t="s">
        <v>47</v>
      </c>
      <c r="AB31" s="243" t="s">
        <v>47</v>
      </c>
      <c r="AC31" s="243" t="s">
        <v>47</v>
      </c>
      <c r="AD31" s="243" t="s">
        <v>47</v>
      </c>
      <c r="AE31" s="243" t="s">
        <v>47</v>
      </c>
      <c r="AF31" s="243" t="s">
        <v>47</v>
      </c>
      <c r="AG31" s="243" t="s">
        <v>47</v>
      </c>
      <c r="AH31" s="243" t="s">
        <v>47</v>
      </c>
      <c r="AI31" s="243"/>
      <c r="AJ31" s="243"/>
      <c r="AK31" s="256"/>
      <c r="AL31" s="257" t="s">
        <v>493</v>
      </c>
      <c r="AM31" s="243" t="s">
        <v>47</v>
      </c>
      <c r="AN31" s="243" t="s">
        <v>47</v>
      </c>
      <c r="AO31" s="243" t="s">
        <v>47</v>
      </c>
      <c r="AP31" s="243" t="s">
        <v>47</v>
      </c>
      <c r="AQ31" s="243" t="s">
        <v>47</v>
      </c>
      <c r="AR31" s="243" t="s">
        <v>47</v>
      </c>
      <c r="AS31" s="243" t="s">
        <v>47</v>
      </c>
      <c r="AT31" s="243" t="s">
        <v>47</v>
      </c>
      <c r="AU31" s="243"/>
      <c r="AV31" s="243"/>
    </row>
    <row r="32" spans="2:48" ht="16" thickBot="1">
      <c r="B32" s="991" t="s">
        <v>11</v>
      </c>
      <c r="C32" s="981"/>
      <c r="D32" s="981"/>
      <c r="E32" s="981"/>
      <c r="F32" s="981"/>
      <c r="G32" s="980"/>
      <c r="H32" s="980"/>
      <c r="I32" s="980"/>
      <c r="J32" s="980"/>
      <c r="K32" s="981"/>
      <c r="L32" s="983"/>
      <c r="M32" s="256"/>
      <c r="N32" s="258" t="s">
        <v>11</v>
      </c>
      <c r="O32" s="245"/>
      <c r="P32" s="245"/>
      <c r="Q32" s="245"/>
      <c r="R32" s="245"/>
      <c r="S32" s="260"/>
      <c r="T32" s="260"/>
      <c r="U32" s="260"/>
      <c r="V32" s="260"/>
      <c r="W32" s="245"/>
      <c r="X32" s="259"/>
      <c r="Y32" s="256"/>
      <c r="Z32" s="258" t="s">
        <v>11</v>
      </c>
      <c r="AA32" s="245"/>
      <c r="AB32" s="245"/>
      <c r="AC32" s="245"/>
      <c r="AD32" s="245"/>
      <c r="AE32" s="245"/>
      <c r="AF32" s="245"/>
      <c r="AG32" s="245"/>
      <c r="AH32" s="245"/>
      <c r="AI32" s="245"/>
      <c r="AJ32" s="259"/>
      <c r="AK32" s="256"/>
      <c r="AL32" s="258" t="s">
        <v>11</v>
      </c>
      <c r="AM32" s="245"/>
      <c r="AN32" s="245"/>
      <c r="AO32" s="245"/>
      <c r="AP32" s="245"/>
      <c r="AQ32" s="245"/>
      <c r="AR32" s="245"/>
      <c r="AS32" s="245"/>
      <c r="AT32" s="245"/>
      <c r="AU32" s="245"/>
      <c r="AV32" s="259"/>
    </row>
    <row r="33" spans="2:48" ht="16" thickBot="1">
      <c r="B33" s="995" t="s">
        <v>474</v>
      </c>
      <c r="C33" s="984">
        <v>25</v>
      </c>
      <c r="D33" s="984">
        <v>25</v>
      </c>
      <c r="E33" s="984">
        <v>25</v>
      </c>
      <c r="F33" s="982">
        <v>25</v>
      </c>
      <c r="G33" s="1007">
        <v>17.898591688967603</v>
      </c>
      <c r="H33" s="1008">
        <v>32.101408311032401</v>
      </c>
      <c r="I33" s="1008">
        <v>17.898591688967603</v>
      </c>
      <c r="J33" s="1008">
        <v>32.101408311032401</v>
      </c>
      <c r="K33" s="984"/>
      <c r="L33" s="984">
        <v>9</v>
      </c>
      <c r="M33" s="256"/>
      <c r="N33" s="257" t="s">
        <v>494</v>
      </c>
      <c r="O33" s="243">
        <v>25</v>
      </c>
      <c r="P33" s="243">
        <v>25</v>
      </c>
      <c r="Q33" s="243">
        <v>25</v>
      </c>
      <c r="R33" s="244">
        <v>25</v>
      </c>
      <c r="S33" s="283">
        <v>17.898591688967603</v>
      </c>
      <c r="T33" s="284">
        <v>32.101408311032401</v>
      </c>
      <c r="U33" s="284">
        <v>17.898591688967603</v>
      </c>
      <c r="V33" s="284">
        <v>32.101408311032401</v>
      </c>
      <c r="W33" s="243"/>
      <c r="X33" s="243">
        <v>9</v>
      </c>
      <c r="Y33" s="256"/>
      <c r="Z33" s="257" t="s">
        <v>494</v>
      </c>
      <c r="AA33" s="243">
        <v>25</v>
      </c>
      <c r="AB33" s="243">
        <v>25</v>
      </c>
      <c r="AC33" s="243">
        <v>25</v>
      </c>
      <c r="AD33" s="244">
        <v>25</v>
      </c>
      <c r="AE33" s="283">
        <v>17.898591688967603</v>
      </c>
      <c r="AF33" s="284">
        <v>32.101408311032401</v>
      </c>
      <c r="AG33" s="284">
        <v>17.898591688967603</v>
      </c>
      <c r="AH33" s="284">
        <v>32.101408311032401</v>
      </c>
      <c r="AI33" s="243"/>
      <c r="AJ33" s="243">
        <v>8</v>
      </c>
      <c r="AK33" s="256"/>
      <c r="AL33" s="257" t="s">
        <v>494</v>
      </c>
      <c r="AM33" s="243">
        <v>25</v>
      </c>
      <c r="AN33" s="243">
        <v>25</v>
      </c>
      <c r="AO33" s="243">
        <v>25</v>
      </c>
      <c r="AP33" s="244">
        <v>25</v>
      </c>
      <c r="AQ33" s="283">
        <v>17.898591688967603</v>
      </c>
      <c r="AR33" s="284">
        <v>32.101408311032401</v>
      </c>
      <c r="AS33" s="284">
        <v>17.898591688967603</v>
      </c>
      <c r="AT33" s="284">
        <v>32.101408311032401</v>
      </c>
      <c r="AU33" s="243"/>
      <c r="AV33" s="243">
        <v>8</v>
      </c>
    </row>
    <row r="34" spans="2:48" ht="16" thickBot="1">
      <c r="B34" s="995" t="s">
        <v>475</v>
      </c>
      <c r="C34" s="984">
        <v>90</v>
      </c>
      <c r="D34" s="984">
        <v>70</v>
      </c>
      <c r="E34" s="984">
        <v>50</v>
      </c>
      <c r="F34" s="982">
        <v>40</v>
      </c>
      <c r="G34" s="1007">
        <v>62.484575860272422</v>
      </c>
      <c r="H34" s="990">
        <v>120</v>
      </c>
      <c r="I34" s="1008">
        <v>31.965673643671177</v>
      </c>
      <c r="J34" s="1008">
        <v>48.034326356328819</v>
      </c>
      <c r="K34" s="984"/>
      <c r="L34" s="984"/>
      <c r="M34" s="256"/>
      <c r="N34" s="257" t="s">
        <v>495</v>
      </c>
      <c r="O34" s="243">
        <v>90</v>
      </c>
      <c r="P34" s="243">
        <v>70</v>
      </c>
      <c r="Q34" s="243">
        <v>50</v>
      </c>
      <c r="R34" s="244">
        <v>40</v>
      </c>
      <c r="S34" s="283">
        <v>62.484575860272422</v>
      </c>
      <c r="T34" s="269">
        <v>120</v>
      </c>
      <c r="U34" s="284">
        <v>31.965673643671177</v>
      </c>
      <c r="V34" s="284">
        <v>48.034326356328819</v>
      </c>
      <c r="W34" s="243"/>
      <c r="X34" s="243"/>
      <c r="Y34" s="256"/>
      <c r="Z34" s="257" t="s">
        <v>495</v>
      </c>
      <c r="AA34" s="243">
        <v>90</v>
      </c>
      <c r="AB34" s="243">
        <v>70</v>
      </c>
      <c r="AC34" s="243">
        <v>50</v>
      </c>
      <c r="AD34" s="244">
        <v>40</v>
      </c>
      <c r="AE34" s="283">
        <v>62.484575860272422</v>
      </c>
      <c r="AF34" s="269">
        <v>120</v>
      </c>
      <c r="AG34" s="284">
        <v>31.965673643671177</v>
      </c>
      <c r="AH34" s="284">
        <v>48.034326356328819</v>
      </c>
      <c r="AI34" s="243"/>
      <c r="AJ34" s="243">
        <v>5</v>
      </c>
      <c r="AK34" s="256"/>
      <c r="AL34" s="257" t="s">
        <v>495</v>
      </c>
      <c r="AM34" s="243">
        <v>90</v>
      </c>
      <c r="AN34" s="243">
        <v>70</v>
      </c>
      <c r="AO34" s="243">
        <v>50</v>
      </c>
      <c r="AP34" s="243">
        <v>40</v>
      </c>
      <c r="AQ34" s="283">
        <v>62.484575860272422</v>
      </c>
      <c r="AR34" s="269">
        <v>120</v>
      </c>
      <c r="AS34" s="284">
        <v>31.965673643671177</v>
      </c>
      <c r="AT34" s="284">
        <v>48.034326356328819</v>
      </c>
      <c r="AU34" s="243"/>
      <c r="AV34" s="243">
        <v>5</v>
      </c>
    </row>
    <row r="35" spans="2:48" ht="16" thickBot="1">
      <c r="B35" s="995" t="s">
        <v>476</v>
      </c>
      <c r="C35" s="984">
        <v>3</v>
      </c>
      <c r="D35" s="984">
        <v>2</v>
      </c>
      <c r="E35" s="984">
        <v>1</v>
      </c>
      <c r="F35" s="984">
        <v>0</v>
      </c>
      <c r="G35" s="1007">
        <v>-0.29599999999999982</v>
      </c>
      <c r="H35" s="990">
        <v>4.2959999999999994</v>
      </c>
      <c r="I35" s="1008">
        <v>0</v>
      </c>
      <c r="J35" s="1008">
        <v>2</v>
      </c>
      <c r="K35" s="984"/>
      <c r="L35" s="984"/>
      <c r="M35" s="256"/>
      <c r="N35" s="257" t="s">
        <v>496</v>
      </c>
      <c r="O35" s="243">
        <v>3</v>
      </c>
      <c r="P35" s="243">
        <v>2</v>
      </c>
      <c r="Q35" s="243">
        <v>1</v>
      </c>
      <c r="R35" s="243">
        <v>0</v>
      </c>
      <c r="S35" s="283">
        <v>-0.29599999999999982</v>
      </c>
      <c r="T35" s="269">
        <v>4.2959999999999994</v>
      </c>
      <c r="U35" s="284">
        <v>0</v>
      </c>
      <c r="V35" s="284">
        <v>2</v>
      </c>
      <c r="W35" s="243"/>
      <c r="X35" s="243"/>
      <c r="Y35" s="256"/>
      <c r="Z35" s="257" t="s">
        <v>496</v>
      </c>
      <c r="AA35" s="243">
        <v>3</v>
      </c>
      <c r="AB35" s="243">
        <v>2</v>
      </c>
      <c r="AC35" s="243">
        <v>1</v>
      </c>
      <c r="AD35" s="243">
        <v>0</v>
      </c>
      <c r="AE35" s="283">
        <v>-0.29599999999999982</v>
      </c>
      <c r="AF35" s="269">
        <v>4.2959999999999994</v>
      </c>
      <c r="AG35" s="284">
        <v>0</v>
      </c>
      <c r="AH35" s="284">
        <v>2</v>
      </c>
      <c r="AI35" s="243"/>
      <c r="AJ35" s="243" t="s">
        <v>510</v>
      </c>
      <c r="AK35" s="256"/>
      <c r="AL35" s="257" t="s">
        <v>496</v>
      </c>
      <c r="AM35" s="243">
        <v>3</v>
      </c>
      <c r="AN35" s="243">
        <v>2</v>
      </c>
      <c r="AO35" s="243">
        <v>1</v>
      </c>
      <c r="AP35" s="243">
        <v>0</v>
      </c>
      <c r="AQ35" s="283">
        <v>-0.29599999999999982</v>
      </c>
      <c r="AR35" s="269">
        <v>4.2959999999999994</v>
      </c>
      <c r="AS35" s="284">
        <v>0</v>
      </c>
      <c r="AT35" s="284">
        <v>2</v>
      </c>
      <c r="AU35" s="243"/>
      <c r="AV35" s="243">
        <v>2.5</v>
      </c>
    </row>
    <row r="36" spans="2:48" ht="16" thickBot="1">
      <c r="B36" s="995" t="s">
        <v>477</v>
      </c>
      <c r="C36" s="1009">
        <v>4</v>
      </c>
      <c r="D36" s="1009">
        <v>4</v>
      </c>
      <c r="E36" s="1009">
        <v>4</v>
      </c>
      <c r="F36" s="1009">
        <v>4</v>
      </c>
      <c r="G36" s="1007">
        <v>0.78626945746847055</v>
      </c>
      <c r="H36" s="1008">
        <v>7.213730542531529</v>
      </c>
      <c r="I36" s="1008">
        <v>0.78626945746847055</v>
      </c>
      <c r="J36" s="1008">
        <v>7.213730542531529</v>
      </c>
      <c r="K36" s="984"/>
      <c r="L36" s="984">
        <v>9</v>
      </c>
      <c r="M36" s="256"/>
      <c r="N36" s="257" t="s">
        <v>497</v>
      </c>
      <c r="O36" s="243">
        <v>4</v>
      </c>
      <c r="P36" s="243">
        <v>4</v>
      </c>
      <c r="Q36" s="243">
        <v>4</v>
      </c>
      <c r="R36" s="243">
        <v>4</v>
      </c>
      <c r="S36" s="283">
        <v>0.78626945746847055</v>
      </c>
      <c r="T36" s="284">
        <v>7.213730542531529</v>
      </c>
      <c r="U36" s="284">
        <v>0.78626945746847055</v>
      </c>
      <c r="V36" s="284">
        <v>7.213730542531529</v>
      </c>
      <c r="W36" s="243"/>
      <c r="X36" s="243">
        <v>9</v>
      </c>
      <c r="Y36" s="256"/>
      <c r="Z36" s="257" t="s">
        <v>497</v>
      </c>
      <c r="AA36" s="243">
        <v>4</v>
      </c>
      <c r="AB36" s="243">
        <v>4</v>
      </c>
      <c r="AC36" s="243">
        <v>4</v>
      </c>
      <c r="AD36" s="243">
        <v>4</v>
      </c>
      <c r="AE36" s="283">
        <v>0.78626945746847055</v>
      </c>
      <c r="AF36" s="284">
        <v>7.213730542531529</v>
      </c>
      <c r="AG36" s="284">
        <v>0.78626945746847055</v>
      </c>
      <c r="AH36" s="284">
        <v>7.213730542531529</v>
      </c>
      <c r="AI36" s="243"/>
      <c r="AJ36" s="243">
        <v>8</v>
      </c>
      <c r="AK36" s="256"/>
      <c r="AL36" s="257" t="s">
        <v>497</v>
      </c>
      <c r="AM36" s="243">
        <v>4</v>
      </c>
      <c r="AN36" s="243">
        <v>4</v>
      </c>
      <c r="AO36" s="243">
        <v>4</v>
      </c>
      <c r="AP36" s="243">
        <v>4</v>
      </c>
      <c r="AQ36" s="283">
        <v>0.78626945746847055</v>
      </c>
      <c r="AR36" s="284">
        <v>7.213730542531529</v>
      </c>
      <c r="AS36" s="284">
        <v>0.78626945746847055</v>
      </c>
      <c r="AT36" s="284">
        <v>7.213730542531529</v>
      </c>
      <c r="AU36" s="243"/>
      <c r="AV36" s="243">
        <v>8</v>
      </c>
    </row>
    <row r="37" spans="2:48" ht="16" thickBot="1">
      <c r="B37" s="995" t="s">
        <v>18</v>
      </c>
      <c r="C37" s="984">
        <v>19</v>
      </c>
      <c r="D37" s="984">
        <v>15</v>
      </c>
      <c r="E37" s="984">
        <v>12</v>
      </c>
      <c r="F37" s="984">
        <v>10</v>
      </c>
      <c r="G37" s="1007">
        <v>9.1440286885948634</v>
      </c>
      <c r="H37" s="1008">
        <v>20.855971311405135</v>
      </c>
      <c r="I37" s="1008">
        <v>5.08</v>
      </c>
      <c r="J37" s="1008">
        <v>14.92</v>
      </c>
      <c r="K37" s="984" t="s">
        <v>15</v>
      </c>
      <c r="L37" s="984">
        <v>4</v>
      </c>
      <c r="M37" s="256"/>
      <c r="N37" s="257" t="s">
        <v>18</v>
      </c>
      <c r="O37" s="243">
        <v>19</v>
      </c>
      <c r="P37" s="243">
        <v>15</v>
      </c>
      <c r="Q37" s="243">
        <v>12</v>
      </c>
      <c r="R37" s="243">
        <v>10</v>
      </c>
      <c r="S37" s="283">
        <v>9.1440286885948634</v>
      </c>
      <c r="T37" s="284">
        <v>20.855971311405135</v>
      </c>
      <c r="U37" s="284">
        <v>5.08</v>
      </c>
      <c r="V37" s="284">
        <v>14.92</v>
      </c>
      <c r="W37" s="243" t="s">
        <v>15</v>
      </c>
      <c r="X37" s="243">
        <v>4</v>
      </c>
      <c r="Y37" s="256"/>
      <c r="Z37" s="257" t="s">
        <v>18</v>
      </c>
      <c r="AA37" s="243">
        <v>19</v>
      </c>
      <c r="AB37" s="243">
        <v>15</v>
      </c>
      <c r="AC37" s="243">
        <v>12</v>
      </c>
      <c r="AD37" s="243">
        <v>10</v>
      </c>
      <c r="AE37" s="283">
        <v>9.1440286885948634</v>
      </c>
      <c r="AF37" s="284">
        <v>20.855971311405135</v>
      </c>
      <c r="AG37" s="284">
        <v>5.08</v>
      </c>
      <c r="AH37" s="284">
        <v>14.92</v>
      </c>
      <c r="AI37" s="243" t="s">
        <v>15</v>
      </c>
      <c r="AJ37" s="243"/>
      <c r="AK37" s="256"/>
      <c r="AL37" s="257" t="s">
        <v>18</v>
      </c>
      <c r="AM37" s="243">
        <v>19</v>
      </c>
      <c r="AN37" s="243">
        <v>15</v>
      </c>
      <c r="AO37" s="243">
        <v>12</v>
      </c>
      <c r="AP37" s="243">
        <v>10</v>
      </c>
      <c r="AQ37" s="283">
        <v>9.1440286885948634</v>
      </c>
      <c r="AR37" s="284">
        <v>20.855971311405135</v>
      </c>
      <c r="AS37" s="284">
        <v>5.08</v>
      </c>
      <c r="AT37" s="284">
        <v>14.92</v>
      </c>
      <c r="AU37" s="243" t="s">
        <v>15</v>
      </c>
      <c r="AV37" s="243"/>
    </row>
    <row r="38" spans="2:48" ht="16" thickBot="1">
      <c r="B38" s="991" t="s">
        <v>20</v>
      </c>
      <c r="C38" s="981"/>
      <c r="D38" s="981"/>
      <c r="E38" s="981"/>
      <c r="F38" s="981"/>
      <c r="G38" s="981"/>
      <c r="H38" s="981"/>
      <c r="I38" s="981"/>
      <c r="J38" s="981"/>
      <c r="K38" s="981"/>
      <c r="L38" s="983"/>
      <c r="M38" s="256"/>
      <c r="N38" s="258" t="s">
        <v>20</v>
      </c>
      <c r="O38" s="245"/>
      <c r="P38" s="245"/>
      <c r="Q38" s="245"/>
      <c r="R38" s="245"/>
      <c r="S38" s="245"/>
      <c r="T38" s="245"/>
      <c r="U38" s="245"/>
      <c r="V38" s="245"/>
      <c r="W38" s="245"/>
      <c r="X38" s="259"/>
      <c r="Y38" s="256"/>
      <c r="Z38" s="258" t="s">
        <v>20</v>
      </c>
      <c r="AA38" s="245">
        <v>0.22500000000000001</v>
      </c>
      <c r="AB38" s="245"/>
      <c r="AC38" s="245"/>
      <c r="AD38" s="245"/>
      <c r="AE38" s="245"/>
      <c r="AF38" s="245"/>
      <c r="AG38" s="245"/>
      <c r="AH38" s="245"/>
      <c r="AI38" s="245"/>
      <c r="AJ38" s="259"/>
      <c r="AK38" s="256"/>
      <c r="AL38" s="258" t="s">
        <v>20</v>
      </c>
      <c r="AM38" s="245">
        <v>0.33750000000000002</v>
      </c>
      <c r="AN38" s="245"/>
      <c r="AO38" s="245"/>
      <c r="AP38" s="245"/>
      <c r="AQ38" s="245"/>
      <c r="AR38" s="245"/>
      <c r="AS38" s="245"/>
      <c r="AT38" s="245"/>
      <c r="AU38" s="245"/>
      <c r="AV38" s="259"/>
    </row>
    <row r="39" spans="2:48">
      <c r="B39" s="997" t="s">
        <v>22</v>
      </c>
      <c r="C39" s="1010">
        <v>7</v>
      </c>
      <c r="D39" s="986">
        <v>6.826741271853126</v>
      </c>
      <c r="E39" s="986">
        <v>6.4929827817282968</v>
      </c>
      <c r="F39" s="986">
        <v>5.8736202725940583</v>
      </c>
      <c r="G39" s="987">
        <v>2.5</v>
      </c>
      <c r="H39" s="987">
        <v>11</v>
      </c>
      <c r="I39" s="987">
        <v>2</v>
      </c>
      <c r="J39" s="987">
        <v>10</v>
      </c>
      <c r="K39" s="987" t="s">
        <v>841</v>
      </c>
      <c r="L39" s="987"/>
      <c r="M39" s="256"/>
      <c r="N39" s="261" t="s">
        <v>22</v>
      </c>
      <c r="O39" s="270">
        <v>7</v>
      </c>
      <c r="P39" s="247">
        <v>6.826741271853126</v>
      </c>
      <c r="Q39" s="247">
        <v>6.4929827817282968</v>
      </c>
      <c r="R39" s="247">
        <v>5.8736202725940583</v>
      </c>
      <c r="S39" s="241">
        <v>5</v>
      </c>
      <c r="T39" s="241">
        <v>14</v>
      </c>
      <c r="U39" s="241">
        <v>4</v>
      </c>
      <c r="V39" s="241">
        <v>12</v>
      </c>
      <c r="W39" s="241" t="s">
        <v>511</v>
      </c>
      <c r="X39" s="241"/>
      <c r="Y39" s="256"/>
      <c r="Z39" s="285" t="s">
        <v>22</v>
      </c>
      <c r="AA39" s="252">
        <v>90</v>
      </c>
      <c r="AB39" s="251">
        <v>87.772387780968756</v>
      </c>
      <c r="AC39" s="251">
        <v>83.481207193649524</v>
      </c>
      <c r="AD39" s="251">
        <v>75.517974933352178</v>
      </c>
      <c r="AE39" s="252">
        <v>80.256963641241185</v>
      </c>
      <c r="AF39" s="253">
        <v>95.287811920696328</v>
      </c>
      <c r="AG39" s="252">
        <v>68.002550793624607</v>
      </c>
      <c r="AH39" s="253">
        <v>83.03339907307975</v>
      </c>
      <c r="AI39" s="241" t="s">
        <v>512</v>
      </c>
      <c r="AJ39" s="241"/>
      <c r="AK39" s="256"/>
      <c r="AL39" s="261" t="s">
        <v>22</v>
      </c>
      <c r="AM39" s="253">
        <v>54</v>
      </c>
      <c r="AN39" s="251">
        <v>52.663432668581258</v>
      </c>
      <c r="AO39" s="251">
        <v>50.088724316189719</v>
      </c>
      <c r="AP39" s="251">
        <v>45.310784960011304</v>
      </c>
      <c r="AQ39" s="252">
        <v>45.14800852885368</v>
      </c>
      <c r="AR39" s="253">
        <v>60.178856808308836</v>
      </c>
      <c r="AS39" s="252">
        <v>37.795360820283726</v>
      </c>
      <c r="AT39" s="253">
        <v>52.826209099738882</v>
      </c>
      <c r="AU39" s="241" t="s">
        <v>512</v>
      </c>
      <c r="AV39" s="241">
        <v>6</v>
      </c>
    </row>
    <row r="40" spans="2:48">
      <c r="B40" s="997" t="s">
        <v>24</v>
      </c>
      <c r="C40" s="985">
        <v>80</v>
      </c>
      <c r="D40" s="985">
        <v>80</v>
      </c>
      <c r="E40" s="985">
        <v>80</v>
      </c>
      <c r="F40" s="985">
        <v>80</v>
      </c>
      <c r="G40" s="1011">
        <v>80</v>
      </c>
      <c r="H40" s="1011">
        <v>80</v>
      </c>
      <c r="I40" s="1011">
        <v>80</v>
      </c>
      <c r="J40" s="1011">
        <v>80</v>
      </c>
      <c r="K40" s="987"/>
      <c r="L40" s="987"/>
      <c r="M40" s="256"/>
      <c r="N40" s="261" t="s">
        <v>24</v>
      </c>
      <c r="O40" s="271">
        <v>80</v>
      </c>
      <c r="P40" s="271">
        <v>80</v>
      </c>
      <c r="Q40" s="271">
        <v>80</v>
      </c>
      <c r="R40" s="271">
        <v>80</v>
      </c>
      <c r="S40" s="286">
        <v>80</v>
      </c>
      <c r="T40" s="286">
        <v>80</v>
      </c>
      <c r="U40" s="286">
        <v>80</v>
      </c>
      <c r="V40" s="286">
        <v>80</v>
      </c>
      <c r="W40" s="241"/>
      <c r="X40" s="241">
        <v>5</v>
      </c>
      <c r="Y40" s="256"/>
      <c r="Z40" s="285" t="s">
        <v>24</v>
      </c>
      <c r="AA40" s="242">
        <v>80</v>
      </c>
      <c r="AB40" s="271">
        <v>80</v>
      </c>
      <c r="AC40" s="271">
        <v>80</v>
      </c>
      <c r="AD40" s="271">
        <v>80</v>
      </c>
      <c r="AE40" s="249">
        <v>80</v>
      </c>
      <c r="AF40" s="249">
        <v>80</v>
      </c>
      <c r="AG40" s="249">
        <v>80</v>
      </c>
      <c r="AH40" s="249">
        <v>80</v>
      </c>
      <c r="AI40" s="241"/>
      <c r="AJ40" s="241"/>
      <c r="AK40" s="256"/>
      <c r="AL40" s="261" t="s">
        <v>24</v>
      </c>
      <c r="AM40" s="271">
        <v>80</v>
      </c>
      <c r="AN40" s="271">
        <v>80</v>
      </c>
      <c r="AO40" s="271">
        <v>80</v>
      </c>
      <c r="AP40" s="271">
        <v>80</v>
      </c>
      <c r="AQ40" s="249">
        <v>80</v>
      </c>
      <c r="AR40" s="249">
        <v>80</v>
      </c>
      <c r="AS40" s="249">
        <v>80</v>
      </c>
      <c r="AT40" s="249">
        <v>80</v>
      </c>
      <c r="AU40" s="241"/>
      <c r="AV40" s="241"/>
    </row>
    <row r="41" spans="2:48" ht="16" thickBot="1">
      <c r="B41" s="995" t="s">
        <v>26</v>
      </c>
      <c r="C41" s="1002">
        <v>20</v>
      </c>
      <c r="D41" s="1002">
        <v>20</v>
      </c>
      <c r="E41" s="1002">
        <v>20</v>
      </c>
      <c r="F41" s="1002">
        <v>20</v>
      </c>
      <c r="G41" s="984">
        <v>20</v>
      </c>
      <c r="H41" s="984">
        <v>20</v>
      </c>
      <c r="I41" s="984">
        <v>20</v>
      </c>
      <c r="J41" s="984">
        <v>20</v>
      </c>
      <c r="K41" s="984"/>
      <c r="L41" s="984">
        <v>5</v>
      </c>
      <c r="M41" s="256"/>
      <c r="N41" s="257" t="s">
        <v>26</v>
      </c>
      <c r="O41" s="273">
        <v>20</v>
      </c>
      <c r="P41" s="273">
        <v>20</v>
      </c>
      <c r="Q41" s="273">
        <v>20</v>
      </c>
      <c r="R41" s="273">
        <v>20</v>
      </c>
      <c r="S41" s="243">
        <v>20</v>
      </c>
      <c r="T41" s="243">
        <v>20</v>
      </c>
      <c r="U41" s="243">
        <v>20</v>
      </c>
      <c r="V41" s="243">
        <v>20</v>
      </c>
      <c r="W41" s="243"/>
      <c r="X41" s="243">
        <v>5</v>
      </c>
      <c r="Y41" s="256"/>
      <c r="Z41" s="287" t="s">
        <v>26</v>
      </c>
      <c r="AA41" s="288">
        <v>20</v>
      </c>
      <c r="AB41" s="273">
        <v>20</v>
      </c>
      <c r="AC41" s="273">
        <v>20</v>
      </c>
      <c r="AD41" s="273">
        <v>20</v>
      </c>
      <c r="AE41" s="250">
        <v>20</v>
      </c>
      <c r="AF41" s="250">
        <v>20</v>
      </c>
      <c r="AG41" s="250">
        <v>20</v>
      </c>
      <c r="AH41" s="250">
        <v>20</v>
      </c>
      <c r="AI41" s="243"/>
      <c r="AJ41" s="243"/>
      <c r="AK41" s="256"/>
      <c r="AL41" s="257" t="s">
        <v>26</v>
      </c>
      <c r="AM41" s="273">
        <v>20</v>
      </c>
      <c r="AN41" s="273">
        <v>20</v>
      </c>
      <c r="AO41" s="273">
        <v>20</v>
      </c>
      <c r="AP41" s="273">
        <v>20</v>
      </c>
      <c r="AQ41" s="250">
        <v>20</v>
      </c>
      <c r="AR41" s="250">
        <v>20</v>
      </c>
      <c r="AS41" s="250">
        <v>20</v>
      </c>
      <c r="AT41" s="250">
        <v>20</v>
      </c>
      <c r="AU41" s="243"/>
      <c r="AV41" s="243"/>
    </row>
    <row r="42" spans="2:48" ht="25" thickBot="1">
      <c r="B42" s="995" t="s">
        <v>832</v>
      </c>
      <c r="C42" s="1009">
        <v>1.6</v>
      </c>
      <c r="D42" s="986">
        <v>1.5603980049950001</v>
      </c>
      <c r="E42" s="986">
        <v>1.4841103501093249</v>
      </c>
      <c r="F42" s="986">
        <v>1.3425417765929275</v>
      </c>
      <c r="G42" s="1012">
        <v>1.5</v>
      </c>
      <c r="H42" s="990">
        <v>2</v>
      </c>
      <c r="I42" s="1012">
        <v>1.2</v>
      </c>
      <c r="J42" s="990">
        <v>1.8</v>
      </c>
      <c r="K42" s="984" t="s">
        <v>842</v>
      </c>
      <c r="L42" s="984"/>
      <c r="M42" s="256"/>
      <c r="N42" s="257" t="s">
        <v>28</v>
      </c>
      <c r="O42" s="275">
        <v>1.3</v>
      </c>
      <c r="P42" s="247">
        <v>1.2678233790584377</v>
      </c>
      <c r="Q42" s="247">
        <v>1.2058396594638265</v>
      </c>
      <c r="R42" s="247">
        <v>1.0908151934817536</v>
      </c>
      <c r="S42" s="243" t="s">
        <v>514</v>
      </c>
      <c r="T42" s="243" t="s">
        <v>515</v>
      </c>
      <c r="U42" s="243">
        <v>1</v>
      </c>
      <c r="V42" s="243" t="s">
        <v>516</v>
      </c>
      <c r="W42" s="243" t="s">
        <v>513</v>
      </c>
      <c r="X42" s="243"/>
      <c r="Y42" s="256"/>
      <c r="Z42" s="257" t="s">
        <v>28</v>
      </c>
      <c r="AA42" s="275">
        <v>15</v>
      </c>
      <c r="AB42" s="247">
        <v>14.628731296828127</v>
      </c>
      <c r="AC42" s="247">
        <v>13.913534532274921</v>
      </c>
      <c r="AD42" s="247">
        <v>12.586329155558696</v>
      </c>
      <c r="AE42" s="252">
        <v>7.1133071571005502</v>
      </c>
      <c r="AF42" s="253">
        <v>22.144155436555703</v>
      </c>
      <c r="AG42" s="252">
        <v>5.0709050158311193</v>
      </c>
      <c r="AH42" s="253">
        <v>20.101753295286272</v>
      </c>
      <c r="AI42" s="243" t="s">
        <v>517</v>
      </c>
      <c r="AJ42" s="243"/>
      <c r="AK42" s="256"/>
      <c r="AL42" s="257" t="s">
        <v>28</v>
      </c>
      <c r="AM42" s="270">
        <v>9</v>
      </c>
      <c r="AN42" s="247">
        <v>8.7772387780968764</v>
      </c>
      <c r="AO42" s="247">
        <v>8.3481207193649531</v>
      </c>
      <c r="AP42" s="247">
        <v>7.5517974933352168</v>
      </c>
      <c r="AQ42" s="252">
        <v>1.2618146383692999</v>
      </c>
      <c r="AR42" s="253">
        <v>16.292662917824451</v>
      </c>
      <c r="AS42" s="252">
        <v>3.6373353607640269E-2</v>
      </c>
      <c r="AT42" s="253">
        <v>15.067221633062793</v>
      </c>
      <c r="AU42" s="243" t="s">
        <v>517</v>
      </c>
      <c r="AV42" s="243"/>
    </row>
    <row r="43" spans="2:48">
      <c r="B43" s="1013" t="s">
        <v>44</v>
      </c>
      <c r="C43" s="999">
        <v>515.75</v>
      </c>
      <c r="D43" s="999">
        <v>504.18437656093755</v>
      </c>
      <c r="E43" s="999">
        <v>486.00448440916404</v>
      </c>
      <c r="F43" s="999">
        <v>442.94430518528981</v>
      </c>
      <c r="G43" s="999">
        <v>314</v>
      </c>
      <c r="H43" s="999">
        <v>671</v>
      </c>
      <c r="I43" s="999">
        <v>268</v>
      </c>
      <c r="J43" s="999">
        <v>529</v>
      </c>
      <c r="K43" s="998"/>
      <c r="L43" s="998"/>
      <c r="M43" s="256"/>
      <c r="N43" s="280" t="s">
        <v>44</v>
      </c>
      <c r="O43" s="262">
        <v>216.08809304959053</v>
      </c>
      <c r="P43" s="252">
        <v>212.70073458942727</v>
      </c>
      <c r="Q43" s="252">
        <v>210.53431120356717</v>
      </c>
      <c r="R43" s="252">
        <v>211.32309189221132</v>
      </c>
      <c r="S43" s="251">
        <v>194.1605876715418</v>
      </c>
      <c r="T43" s="264">
        <v>241.24088150731271</v>
      </c>
      <c r="U43" s="252">
        <v>183.05847351376906</v>
      </c>
      <c r="V43" s="264">
        <v>249.58771027065359</v>
      </c>
      <c r="W43" s="246"/>
      <c r="X43" s="246"/>
      <c r="Y43" s="256"/>
      <c r="Z43" s="280" t="s">
        <v>44</v>
      </c>
      <c r="AA43" s="262">
        <v>790.88093049590532</v>
      </c>
      <c r="AB43" s="262">
        <v>807.00734589427259</v>
      </c>
      <c r="AC43" s="252">
        <v>955.34311203567177</v>
      </c>
      <c r="AD43" s="263">
        <v>1213.2309189221132</v>
      </c>
      <c r="AE43" s="252">
        <v>641.60587671541805</v>
      </c>
      <c r="AF43" s="263">
        <v>1012.4088150731271</v>
      </c>
      <c r="AG43" s="252">
        <v>930.5847351376907</v>
      </c>
      <c r="AH43" s="251">
        <v>1495.8771027065361</v>
      </c>
      <c r="AI43" s="248"/>
      <c r="AJ43" s="246"/>
      <c r="AK43" s="256"/>
      <c r="AL43" s="280" t="s">
        <v>44</v>
      </c>
      <c r="AM43" s="262">
        <v>790.88093049590532</v>
      </c>
      <c r="AN43" s="252">
        <v>807.00734589427259</v>
      </c>
      <c r="AO43" s="263">
        <v>955.34311203567177</v>
      </c>
      <c r="AP43" s="252">
        <v>1213.2309189221132</v>
      </c>
      <c r="AQ43" s="263">
        <v>641.60587671541805</v>
      </c>
      <c r="AR43" s="252">
        <v>1012.4088150731271</v>
      </c>
      <c r="AS43" s="252">
        <v>930.5847351376907</v>
      </c>
      <c r="AT43" s="251">
        <v>1495.8771027065361</v>
      </c>
      <c r="AU43" s="248"/>
      <c r="AV43" s="246"/>
    </row>
    <row r="44" spans="2:48" s="173" customFormat="1" ht="24">
      <c r="B44" s="1014" t="s">
        <v>479</v>
      </c>
      <c r="C44" s="988">
        <v>15.75</v>
      </c>
      <c r="D44" s="988">
        <v>16.560000000000002</v>
      </c>
      <c r="E44" s="988">
        <v>22.220000000000002</v>
      </c>
      <c r="F44" s="988">
        <v>23.400000000000002</v>
      </c>
      <c r="G44" s="988">
        <v>13.8</v>
      </c>
      <c r="H44" s="988">
        <v>20.700000000000003</v>
      </c>
      <c r="I44" s="988">
        <v>17.55</v>
      </c>
      <c r="J44" s="988">
        <v>29.25</v>
      </c>
      <c r="K44" s="989" t="s">
        <v>707</v>
      </c>
      <c r="L44" s="989"/>
      <c r="M44" s="256"/>
      <c r="N44" s="279" t="s">
        <v>479</v>
      </c>
      <c r="O44" s="266">
        <v>16.088093049590533</v>
      </c>
      <c r="P44" s="267">
        <v>17.70073458942726</v>
      </c>
      <c r="Q44" s="267">
        <v>25.534311203567174</v>
      </c>
      <c r="R44" s="267">
        <v>41.323091892211337</v>
      </c>
      <c r="S44" s="253">
        <v>14.160587671541808</v>
      </c>
      <c r="T44" s="264">
        <v>21.240881507312711</v>
      </c>
      <c r="U44" s="267">
        <v>33.058473513769073</v>
      </c>
      <c r="V44" s="264">
        <v>49.587710270653602</v>
      </c>
      <c r="W44" s="249" t="s">
        <v>509</v>
      </c>
      <c r="X44" s="249"/>
      <c r="Y44" s="256"/>
      <c r="Z44" s="279" t="s">
        <v>479</v>
      </c>
      <c r="AA44" s="266">
        <v>160.88093049590532</v>
      </c>
      <c r="AB44" s="266">
        <v>177.00734589427259</v>
      </c>
      <c r="AC44" s="267">
        <v>255.34311203567174</v>
      </c>
      <c r="AD44" s="264">
        <v>413.23091892211335</v>
      </c>
      <c r="AE44" s="267">
        <v>141.60587671541808</v>
      </c>
      <c r="AF44" s="264">
        <v>212.40881507312713</v>
      </c>
      <c r="AG44" s="267">
        <v>330.5847351376907</v>
      </c>
      <c r="AH44" s="253">
        <v>495.87710270653605</v>
      </c>
      <c r="AI44" s="241" t="s">
        <v>509</v>
      </c>
      <c r="AJ44" s="249"/>
      <c r="AK44" s="256"/>
      <c r="AL44" s="279" t="s">
        <v>479</v>
      </c>
      <c r="AM44" s="266">
        <v>160.88093049590532</v>
      </c>
      <c r="AN44" s="267">
        <v>177.00734589427259</v>
      </c>
      <c r="AO44" s="264">
        <v>255.34311203567174</v>
      </c>
      <c r="AP44" s="267">
        <v>413.23091892211335</v>
      </c>
      <c r="AQ44" s="264">
        <v>141.60587671541808</v>
      </c>
      <c r="AR44" s="267">
        <v>212.40881507312713</v>
      </c>
      <c r="AS44" s="267">
        <v>330.5847351376907</v>
      </c>
      <c r="AT44" s="253">
        <v>495.87710270653605</v>
      </c>
      <c r="AU44" s="241" t="s">
        <v>509</v>
      </c>
      <c r="AV44" s="249"/>
    </row>
    <row r="45" spans="2:48" ht="16" thickBot="1">
      <c r="B45" s="1015" t="s">
        <v>480</v>
      </c>
      <c r="C45" s="1003">
        <v>500</v>
      </c>
      <c r="D45" s="1000">
        <v>487.62437656093755</v>
      </c>
      <c r="E45" s="1000">
        <v>463.78448440916401</v>
      </c>
      <c r="F45" s="1000">
        <v>419.54430518528983</v>
      </c>
      <c r="G45" s="1003">
        <v>300</v>
      </c>
      <c r="H45" s="1016">
        <v>650</v>
      </c>
      <c r="I45" s="1003">
        <v>250</v>
      </c>
      <c r="J45" s="1016">
        <v>500</v>
      </c>
      <c r="K45" s="1003" t="s">
        <v>279</v>
      </c>
      <c r="L45" s="1003">
        <v>11</v>
      </c>
      <c r="M45" s="272"/>
      <c r="N45" s="274" t="s">
        <v>44</v>
      </c>
      <c r="O45" s="278">
        <v>200</v>
      </c>
      <c r="P45" s="255">
        <v>195</v>
      </c>
      <c r="Q45" s="255">
        <v>185</v>
      </c>
      <c r="R45" s="255">
        <v>170</v>
      </c>
      <c r="S45" s="273">
        <v>180</v>
      </c>
      <c r="T45" s="273">
        <v>220</v>
      </c>
      <c r="U45" s="273">
        <v>150</v>
      </c>
      <c r="V45" s="273">
        <v>200</v>
      </c>
      <c r="W45" s="273" t="s">
        <v>518</v>
      </c>
      <c r="X45" s="273">
        <v>6</v>
      </c>
      <c r="Y45" s="272"/>
      <c r="Z45" s="274" t="s">
        <v>44</v>
      </c>
      <c r="AA45" s="278">
        <v>630</v>
      </c>
      <c r="AB45" s="289">
        <v>630</v>
      </c>
      <c r="AC45" s="255">
        <v>700</v>
      </c>
      <c r="AD45" s="254">
        <v>800</v>
      </c>
      <c r="AE45" s="288">
        <v>500</v>
      </c>
      <c r="AF45" s="278">
        <v>800</v>
      </c>
      <c r="AG45" s="288">
        <v>600</v>
      </c>
      <c r="AH45" s="273">
        <v>1000</v>
      </c>
      <c r="AI45" s="273" t="s">
        <v>519</v>
      </c>
      <c r="AJ45" s="273">
        <v>6</v>
      </c>
      <c r="AK45" s="272"/>
      <c r="AL45" s="274" t="s">
        <v>44</v>
      </c>
      <c r="AM45" s="277">
        <v>630</v>
      </c>
      <c r="AN45" s="255">
        <v>630</v>
      </c>
      <c r="AO45" s="254">
        <v>700</v>
      </c>
      <c r="AP45" s="255">
        <v>800</v>
      </c>
      <c r="AQ45" s="278">
        <v>500</v>
      </c>
      <c r="AR45" s="288">
        <v>800</v>
      </c>
      <c r="AS45" s="288">
        <v>600</v>
      </c>
      <c r="AT45" s="273">
        <v>1000</v>
      </c>
      <c r="AU45" s="273" t="s">
        <v>519</v>
      </c>
      <c r="AV45" s="273">
        <v>6</v>
      </c>
    </row>
    <row r="46" spans="2:48" ht="16" thickBot="1">
      <c r="B46" s="995" t="s">
        <v>482</v>
      </c>
      <c r="C46" s="1001">
        <v>0</v>
      </c>
      <c r="D46" s="1001">
        <v>0</v>
      </c>
      <c r="E46" s="1001">
        <v>0</v>
      </c>
      <c r="F46" s="1001">
        <v>0</v>
      </c>
      <c r="G46" s="1001">
        <v>0</v>
      </c>
      <c r="H46" s="1001">
        <v>0</v>
      </c>
      <c r="I46" s="1001">
        <v>0</v>
      </c>
      <c r="J46" s="1001">
        <v>0</v>
      </c>
      <c r="K46" s="984"/>
      <c r="L46" s="984"/>
      <c r="M46" s="256"/>
      <c r="N46" s="257" t="s">
        <v>482</v>
      </c>
      <c r="O46" s="268">
        <v>0</v>
      </c>
      <c r="P46" s="268">
        <v>0</v>
      </c>
      <c r="Q46" s="268">
        <v>0</v>
      </c>
      <c r="R46" s="268">
        <v>0</v>
      </c>
      <c r="S46" s="268">
        <v>0</v>
      </c>
      <c r="T46" s="268">
        <v>0</v>
      </c>
      <c r="U46" s="268">
        <v>0</v>
      </c>
      <c r="V46" s="268">
        <v>0</v>
      </c>
      <c r="W46" s="243"/>
      <c r="X46" s="243"/>
      <c r="Y46" s="256"/>
      <c r="Z46" s="257" t="s">
        <v>482</v>
      </c>
      <c r="AA46" s="268">
        <v>0</v>
      </c>
      <c r="AB46" s="268">
        <v>0</v>
      </c>
      <c r="AC46" s="268">
        <v>0</v>
      </c>
      <c r="AD46" s="268">
        <v>0</v>
      </c>
      <c r="AE46" s="268">
        <v>0</v>
      </c>
      <c r="AF46" s="268">
        <v>0</v>
      </c>
      <c r="AG46" s="268">
        <v>0</v>
      </c>
      <c r="AH46" s="268">
        <v>0</v>
      </c>
      <c r="AI46" s="243"/>
      <c r="AJ46" s="243"/>
      <c r="AK46" s="256"/>
      <c r="AL46" s="257" t="s">
        <v>482</v>
      </c>
      <c r="AM46" s="268">
        <v>0</v>
      </c>
      <c r="AN46" s="268">
        <v>0</v>
      </c>
      <c r="AO46" s="268">
        <v>0</v>
      </c>
      <c r="AP46" s="268">
        <v>0</v>
      </c>
      <c r="AQ46" s="268">
        <v>0</v>
      </c>
      <c r="AR46" s="268">
        <v>0</v>
      </c>
      <c r="AS46" s="268">
        <v>0</v>
      </c>
      <c r="AT46" s="268">
        <v>0</v>
      </c>
      <c r="AU46" s="243"/>
      <c r="AV46" s="243"/>
    </row>
    <row r="47" spans="2:48" ht="16" thickBot="1">
      <c r="B47" s="947" t="s">
        <v>499</v>
      </c>
      <c r="C47" s="948"/>
      <c r="D47" s="948"/>
      <c r="E47" s="948"/>
      <c r="F47" s="948"/>
      <c r="G47" s="948"/>
      <c r="H47" s="948"/>
      <c r="I47" s="948"/>
      <c r="J47" s="948"/>
      <c r="K47" s="948"/>
      <c r="L47" s="949"/>
      <c r="M47" s="240"/>
      <c r="N47" s="234" t="s">
        <v>499</v>
      </c>
      <c r="O47" s="235"/>
      <c r="P47" s="235"/>
      <c r="Q47" s="235"/>
      <c r="R47" s="235"/>
      <c r="S47" s="235"/>
      <c r="T47" s="235"/>
      <c r="U47" s="235"/>
      <c r="V47" s="235"/>
      <c r="W47" s="235"/>
      <c r="X47" s="237"/>
      <c r="Y47" s="240"/>
      <c r="Z47" s="234" t="s">
        <v>499</v>
      </c>
      <c r="AA47" s="235"/>
      <c r="AB47" s="235"/>
      <c r="AC47" s="235"/>
      <c r="AD47" s="235"/>
      <c r="AE47" s="235"/>
      <c r="AF47" s="235"/>
      <c r="AG47" s="235"/>
      <c r="AH47" s="235"/>
      <c r="AI47" s="235"/>
      <c r="AJ47" s="237"/>
      <c r="AK47" s="232"/>
      <c r="AL47" s="234" t="s">
        <v>499</v>
      </c>
      <c r="AM47" s="235"/>
      <c r="AN47" s="235"/>
      <c r="AO47" s="235"/>
      <c r="AP47" s="235"/>
      <c r="AQ47" s="235"/>
      <c r="AR47" s="235"/>
      <c r="AS47" s="235"/>
      <c r="AT47" s="235"/>
      <c r="AU47" s="235"/>
      <c r="AV47" s="237"/>
    </row>
    <row r="48" spans="2:48" ht="16" thickBot="1">
      <c r="B48" s="951" t="s">
        <v>503</v>
      </c>
      <c r="C48" s="540">
        <f>C39/C$17*Euro</f>
        <v>4.3458333333333341</v>
      </c>
      <c r="D48" s="540">
        <f>D39/D$17*Euro</f>
        <v>5.0859222475305792</v>
      </c>
      <c r="E48" s="540">
        <f>E39/E$17*Euro</f>
        <v>4.8372721723875811</v>
      </c>
      <c r="F48" s="540">
        <f>F39/F$17*Euro</f>
        <v>4.375847103082573</v>
      </c>
      <c r="G48" s="886"/>
      <c r="H48" s="886"/>
      <c r="I48" s="886"/>
      <c r="J48" s="886"/>
      <c r="K48" s="886"/>
      <c r="L48" s="886"/>
      <c r="M48" s="240"/>
      <c r="N48" s="238" t="s">
        <v>503</v>
      </c>
      <c r="O48" s="290">
        <f>O39/O$17*Euro</f>
        <v>4.3458333333333341</v>
      </c>
      <c r="P48" s="290">
        <f>P39/P$17*Euro</f>
        <v>5.0859222475305792</v>
      </c>
      <c r="Q48" s="290">
        <f>Q39/Q$17*Euro</f>
        <v>6.0465902154844766</v>
      </c>
      <c r="R48" s="290">
        <f>R39/R$17*Euro</f>
        <v>5.4698088788532173</v>
      </c>
      <c r="S48" s="239"/>
      <c r="T48" s="239"/>
      <c r="U48" s="239"/>
      <c r="V48" s="239"/>
      <c r="W48" s="239"/>
      <c r="X48" s="239"/>
      <c r="Y48" s="240"/>
      <c r="Z48" s="238" t="s">
        <v>503</v>
      </c>
      <c r="AA48" s="290">
        <f>AA39/AA$17*Euro</f>
        <v>1.67625</v>
      </c>
      <c r="AB48" s="290">
        <f>AB39/AB$17*Euro</f>
        <v>1.6347607224205432</v>
      </c>
      <c r="AC48" s="290">
        <f>AC39/AC$17*Euro</f>
        <v>1.5548374839817223</v>
      </c>
      <c r="AD48" s="290">
        <f>AD39/AD$17*Euro</f>
        <v>1.4065222831336845</v>
      </c>
      <c r="AE48" s="239"/>
      <c r="AF48" s="239"/>
      <c r="AG48" s="239"/>
      <c r="AH48" s="239"/>
      <c r="AI48" s="239"/>
      <c r="AJ48" s="239"/>
      <c r="AK48" s="232"/>
      <c r="AL48" s="238" t="s">
        <v>503</v>
      </c>
      <c r="AM48" s="290">
        <f>AM39/AM$17*Euro</f>
        <v>2.5143750000000002</v>
      </c>
      <c r="AN48" s="290">
        <f>AN39/AN$17*Euro</f>
        <v>2.4521410836308148</v>
      </c>
      <c r="AO48" s="290">
        <f>AO39/AO$17*Euro</f>
        <v>2.3322562259725839</v>
      </c>
      <c r="AP48" s="290">
        <f>AP39/AP$17*Euro</f>
        <v>2.1097834247005265</v>
      </c>
      <c r="AQ48" s="239"/>
      <c r="AR48" s="239"/>
      <c r="AS48" s="239"/>
      <c r="AT48" s="239"/>
      <c r="AU48" s="239"/>
      <c r="AV48" s="239"/>
    </row>
    <row r="49" spans="2:48" ht="25" thickBot="1">
      <c r="B49" s="951" t="s">
        <v>504</v>
      </c>
      <c r="C49" s="540">
        <f>C42/C$17*Euro</f>
        <v>0.99333333333333329</v>
      </c>
      <c r="D49" s="540">
        <f>D42/D$17*Euro</f>
        <v>1.162496513721275</v>
      </c>
      <c r="E49" s="540">
        <f>E42/E$17*Euro</f>
        <v>1.1056622108314471</v>
      </c>
      <c r="F49" s="540">
        <f>F42/F$17*Euro</f>
        <v>1.000193623561731</v>
      </c>
      <c r="G49" s="886"/>
      <c r="H49" s="886"/>
      <c r="I49" s="886"/>
      <c r="J49" s="886"/>
      <c r="K49" s="886"/>
      <c r="L49" s="886"/>
      <c r="M49" s="240"/>
      <c r="N49" s="238" t="s">
        <v>504</v>
      </c>
      <c r="O49" s="290">
        <f>O42/O$17*Euro</f>
        <v>0.80708333333333337</v>
      </c>
      <c r="P49" s="290">
        <f>P42/P$17*Euro</f>
        <v>0.94452841739853599</v>
      </c>
      <c r="Q49" s="290">
        <f>Q42/Q$17*Euro</f>
        <v>1.1229381828756886</v>
      </c>
      <c r="R49" s="290">
        <f>R42/R$17*Euro</f>
        <v>1.015821648929883</v>
      </c>
      <c r="S49" s="239"/>
      <c r="T49" s="239"/>
      <c r="U49" s="239"/>
      <c r="V49" s="239"/>
      <c r="W49" s="239"/>
      <c r="X49" s="239"/>
      <c r="Y49" s="240"/>
      <c r="Z49" s="238" t="s">
        <v>504</v>
      </c>
      <c r="AA49" s="290">
        <f>AA42/AA$17*Euro</f>
        <v>0.27937499999999998</v>
      </c>
      <c r="AB49" s="290">
        <f>AB42/AB$17*Euro</f>
        <v>0.27246012040342388</v>
      </c>
      <c r="AC49" s="290">
        <f>AC42/AC$17*Euro</f>
        <v>0.25913958066362042</v>
      </c>
      <c r="AD49" s="290">
        <f>AD42/AD$17*Euro</f>
        <v>0.2344203805222807</v>
      </c>
      <c r="AE49" s="239"/>
      <c r="AF49" s="239"/>
      <c r="AG49" s="239"/>
      <c r="AH49" s="239"/>
      <c r="AI49" s="239"/>
      <c r="AJ49" s="239"/>
      <c r="AK49" s="232"/>
      <c r="AL49" s="238" t="s">
        <v>504</v>
      </c>
      <c r="AM49" s="290">
        <f>AM42/AM$17*Euro</f>
        <v>0.4190625</v>
      </c>
      <c r="AN49" s="290">
        <f>AN42/AN$17*Euro</f>
        <v>0.40869018060513579</v>
      </c>
      <c r="AO49" s="290">
        <f>AO42/AO$17*Euro</f>
        <v>0.38870937099543063</v>
      </c>
      <c r="AP49" s="290">
        <f>AP42/AP$17*Euro</f>
        <v>0.35163057078342108</v>
      </c>
      <c r="AQ49" s="239"/>
      <c r="AR49" s="239"/>
      <c r="AS49" s="239"/>
      <c r="AT49" s="239"/>
      <c r="AU49" s="239"/>
      <c r="AV49" s="239"/>
    </row>
    <row r="50" spans="2:48" ht="16" thickBot="1">
      <c r="B50" s="951"/>
      <c r="C50" s="886"/>
      <c r="D50" s="886"/>
      <c r="E50" s="886"/>
      <c r="F50" s="886"/>
      <c r="G50" s="886"/>
      <c r="H50" s="886"/>
      <c r="I50" s="886"/>
      <c r="J50" s="886"/>
      <c r="K50" s="886"/>
      <c r="L50" s="886"/>
      <c r="M50" s="240"/>
      <c r="N50" s="238"/>
      <c r="O50" s="239"/>
      <c r="P50" s="239"/>
      <c r="Q50" s="239"/>
      <c r="R50" s="239"/>
      <c r="S50" s="239"/>
      <c r="T50" s="239"/>
      <c r="U50" s="239"/>
      <c r="V50" s="239"/>
      <c r="W50" s="239"/>
      <c r="X50" s="239"/>
      <c r="Y50" s="240"/>
      <c r="Z50" s="238"/>
      <c r="AA50" s="239"/>
      <c r="AB50" s="239"/>
      <c r="AC50" s="239"/>
      <c r="AD50" s="239"/>
      <c r="AE50" s="239"/>
      <c r="AF50" s="239"/>
      <c r="AG50" s="239"/>
      <c r="AH50" s="239"/>
      <c r="AI50" s="239"/>
      <c r="AJ50" s="239"/>
      <c r="AK50" s="232"/>
      <c r="AL50" s="238"/>
      <c r="AM50" s="239"/>
      <c r="AN50" s="239"/>
      <c r="AO50" s="239"/>
      <c r="AP50" s="239"/>
      <c r="AQ50" s="239"/>
      <c r="AR50" s="239"/>
      <c r="AS50" s="239"/>
      <c r="AT50" s="239"/>
      <c r="AU50" s="239"/>
      <c r="AV50" s="239"/>
    </row>
    <row r="51" spans="2:48" ht="16" thickBot="1">
      <c r="B51" s="921" t="s">
        <v>502</v>
      </c>
      <c r="C51" s="540">
        <f>C43/C17/1000*Euro</f>
        <v>0.32019479166666664</v>
      </c>
      <c r="D51" s="540">
        <f>D43/D17/1000*Euro</f>
        <v>0.37561736053789851</v>
      </c>
      <c r="E51" s="540">
        <f>E43/E17/1000*Euro</f>
        <v>0.36207334088482723</v>
      </c>
      <c r="F51" s="540">
        <f>F43/F17/1000*Euro</f>
        <v>0.32999350736304095</v>
      </c>
      <c r="G51" s="886"/>
      <c r="H51" s="886"/>
      <c r="I51" s="886"/>
      <c r="J51" s="886"/>
      <c r="K51" s="886"/>
      <c r="L51" s="886"/>
      <c r="M51" s="240"/>
      <c r="N51" s="265" t="s">
        <v>502</v>
      </c>
      <c r="O51" s="290">
        <f>O43/O17/1000*Euro</f>
        <v>0.13415469110162079</v>
      </c>
      <c r="P51" s="290">
        <f>P43/P17/1000*Euro</f>
        <v>0.1584620472691233</v>
      </c>
      <c r="Q51" s="290">
        <f>Q43/Q17/1000*Euro</f>
        <v>0.19606007730832192</v>
      </c>
      <c r="R51" s="290">
        <f>R43/R17/1000*Euro</f>
        <v>0.1967946293246218</v>
      </c>
      <c r="S51" s="239"/>
      <c r="T51" s="239"/>
      <c r="U51" s="239"/>
      <c r="V51" s="239"/>
      <c r="W51" s="239"/>
      <c r="X51" s="239"/>
      <c r="Y51" s="240"/>
      <c r="Z51" s="265" t="s">
        <v>502</v>
      </c>
      <c r="AA51" s="290">
        <f>AA43/AA17/1000*Euro</f>
        <v>1.4730157330486238E-2</v>
      </c>
      <c r="AB51" s="290">
        <f>AB43/AB17/1000*Euro</f>
        <v>1.5030511817280828E-2</v>
      </c>
      <c r="AC51" s="290">
        <f>AC43/AC17/1000*Euro</f>
        <v>1.779326546166439E-2</v>
      </c>
      <c r="AD51" s="290">
        <f>AD43/AD17/1000*Euro</f>
        <v>2.2596425864924361E-2</v>
      </c>
      <c r="AE51" s="239"/>
      <c r="AF51" s="239"/>
      <c r="AG51" s="239"/>
      <c r="AH51" s="239"/>
      <c r="AI51" s="239"/>
      <c r="AJ51" s="239"/>
      <c r="AK51" s="232"/>
      <c r="AL51" s="265" t="s">
        <v>502</v>
      </c>
      <c r="AM51" s="290">
        <f>AM43/AM17/1000*Euro</f>
        <v>3.6825393326215587E-2</v>
      </c>
      <c r="AN51" s="290">
        <f>AN43/AN17/1000*Euro</f>
        <v>3.7576279543202064E-2</v>
      </c>
      <c r="AO51" s="290">
        <f>AO43/AO17/1000*Euro</f>
        <v>4.4483163654160968E-2</v>
      </c>
      <c r="AP51" s="290">
        <f>AP43/AP17/1000*Euro</f>
        <v>5.6491064662310901E-2</v>
      </c>
      <c r="AQ51" s="239"/>
      <c r="AR51" s="239"/>
      <c r="AS51" s="239"/>
      <c r="AT51" s="239"/>
      <c r="AU51" s="239"/>
      <c r="AV51" s="239"/>
    </row>
    <row r="52" spans="2:48" ht="16" thickBot="1">
      <c r="B52" s="919" t="s">
        <v>505</v>
      </c>
      <c r="C52" s="898">
        <f>C46/3.6*Euro</f>
        <v>0</v>
      </c>
      <c r="D52" s="898">
        <f>D46/3.6*Euro</f>
        <v>0</v>
      </c>
      <c r="E52" s="898">
        <f>E46/3.6*Euro</f>
        <v>0</v>
      </c>
      <c r="F52" s="898">
        <f>F46/3.6*Euro</f>
        <v>0</v>
      </c>
      <c r="G52" s="898"/>
      <c r="H52" s="898"/>
      <c r="I52" s="898"/>
      <c r="J52" s="898"/>
      <c r="K52" s="898"/>
      <c r="L52" s="898"/>
      <c r="M52" s="240"/>
      <c r="N52" s="257" t="s">
        <v>505</v>
      </c>
      <c r="O52" s="514">
        <f>O46/3.6*Euro</f>
        <v>0</v>
      </c>
      <c r="P52" s="514">
        <f>P46/3.6*Euro</f>
        <v>0</v>
      </c>
      <c r="Q52" s="514">
        <f>Q46/3.6*Euro</f>
        <v>0</v>
      </c>
      <c r="R52" s="514">
        <f>R46/3.6*Euro</f>
        <v>0</v>
      </c>
      <c r="S52" s="239"/>
      <c r="T52" s="239"/>
      <c r="U52" s="239"/>
      <c r="V52" s="239"/>
      <c r="W52" s="239"/>
      <c r="X52" s="239"/>
      <c r="Y52" s="240"/>
      <c r="Z52" s="257" t="s">
        <v>505</v>
      </c>
      <c r="AA52" s="514">
        <f>AA46/3.6*Euro</f>
        <v>0</v>
      </c>
      <c r="AB52" s="514">
        <f>AB46/3.6*Euro</f>
        <v>0</v>
      </c>
      <c r="AC52" s="514">
        <f>AC46/3.6*Euro</f>
        <v>0</v>
      </c>
      <c r="AD52" s="514">
        <f>AD46/3.6*Euro</f>
        <v>0</v>
      </c>
      <c r="AE52" s="239"/>
      <c r="AF52" s="239"/>
      <c r="AG52" s="239"/>
      <c r="AH52" s="239"/>
      <c r="AI52" s="239"/>
      <c r="AJ52" s="239"/>
      <c r="AK52" s="232"/>
      <c r="AL52" s="257" t="s">
        <v>505</v>
      </c>
      <c r="AM52" s="514">
        <f>AM46/3.6*Euro</f>
        <v>0</v>
      </c>
      <c r="AN52" s="514">
        <f>AN46/3.6*Euro</f>
        <v>0</v>
      </c>
      <c r="AO52" s="514">
        <f>AO46/3.6*Euro</f>
        <v>0</v>
      </c>
      <c r="AP52" s="514">
        <f>AP46/3.6*Euro</f>
        <v>0</v>
      </c>
      <c r="AQ52" s="239"/>
      <c r="AR52" s="239"/>
      <c r="AS52" s="239"/>
      <c r="AT52" s="239"/>
      <c r="AU52" s="239"/>
      <c r="AV52" s="239"/>
    </row>
  </sheetData>
  <mergeCells count="40">
    <mergeCell ref="AQ14:AR15"/>
    <mergeCell ref="AS14:AT15"/>
    <mergeCell ref="AU14:AU15"/>
    <mergeCell ref="AV14:AV15"/>
    <mergeCell ref="AL14:AL15"/>
    <mergeCell ref="AM14:AM15"/>
    <mergeCell ref="AN14:AN15"/>
    <mergeCell ref="AO14:AO15"/>
    <mergeCell ref="AP14:AP15"/>
    <mergeCell ref="AC14:AC15"/>
    <mergeCell ref="AE14:AF15"/>
    <mergeCell ref="AG14:AH15"/>
    <mergeCell ref="AI14:AI15"/>
    <mergeCell ref="AJ14:AJ15"/>
    <mergeCell ref="AM13:AV13"/>
    <mergeCell ref="O14:O15"/>
    <mergeCell ref="O13:X13"/>
    <mergeCell ref="AA13:AJ13"/>
    <mergeCell ref="N14:N15"/>
    <mergeCell ref="AD14:AD15"/>
    <mergeCell ref="P14:P15"/>
    <mergeCell ref="Q14:Q15"/>
    <mergeCell ref="R14:R15"/>
    <mergeCell ref="S14:T15"/>
    <mergeCell ref="U14:V15"/>
    <mergeCell ref="W14:W15"/>
    <mergeCell ref="X14:X15"/>
    <mergeCell ref="Z14:Z15"/>
    <mergeCell ref="AA14:AA15"/>
    <mergeCell ref="AB14:AB15"/>
    <mergeCell ref="B14:B15"/>
    <mergeCell ref="C14:C15"/>
    <mergeCell ref="D14:D15"/>
    <mergeCell ref="E14:E15"/>
    <mergeCell ref="F14:F15"/>
    <mergeCell ref="C13:L13"/>
    <mergeCell ref="G14:H15"/>
    <mergeCell ref="I14:J15"/>
    <mergeCell ref="K14:K15"/>
    <mergeCell ref="L14:L15"/>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sheetPr>
  <dimension ref="B3:AN53"/>
  <sheetViews>
    <sheetView topLeftCell="A13" workbookViewId="0">
      <selection activeCell="E21" sqref="E21"/>
    </sheetView>
  </sheetViews>
  <sheetFormatPr baseColWidth="10" defaultColWidth="8.83203125" defaultRowHeight="15"/>
  <cols>
    <col min="2" max="2" width="36.6640625" customWidth="1"/>
    <col min="3" max="6" width="10" bestFit="1" customWidth="1"/>
    <col min="7" max="7" width="12.33203125" customWidth="1"/>
    <col min="8" max="8" width="13" customWidth="1"/>
    <col min="10" max="10" width="15.6640625" customWidth="1"/>
    <col min="14" max="14" width="42.5" customWidth="1"/>
    <col min="15" max="15" width="10" bestFit="1" customWidth="1"/>
    <col min="17" max="24" width="9.1640625" hidden="1" customWidth="1"/>
    <col min="25" max="25" width="9.1640625" customWidth="1"/>
    <col min="26" max="26" width="40.83203125" customWidth="1"/>
  </cols>
  <sheetData>
    <row r="3" spans="2:40">
      <c r="B3" s="8" t="s">
        <v>245</v>
      </c>
      <c r="J3" s="821" t="s">
        <v>783</v>
      </c>
    </row>
    <row r="4" spans="2:40" s="352" customFormat="1" ht="16" thickBot="1">
      <c r="B4" s="1263">
        <f>C14</f>
        <v>2015</v>
      </c>
      <c r="C4" s="1264"/>
      <c r="D4" s="1264"/>
      <c r="E4" s="1264"/>
      <c r="F4" s="1264"/>
      <c r="G4" s="1265"/>
      <c r="J4" s="821">
        <v>0.2</v>
      </c>
      <c r="Z4" s="34" t="s">
        <v>273</v>
      </c>
      <c r="AA4"/>
      <c r="AB4"/>
      <c r="AC4"/>
      <c r="AD4"/>
      <c r="AE4"/>
      <c r="AF4"/>
      <c r="AG4"/>
      <c r="AH4"/>
      <c r="AI4"/>
      <c r="AJ4"/>
      <c r="AK4"/>
      <c r="AL4"/>
      <c r="AM4"/>
      <c r="AN4"/>
    </row>
    <row r="5" spans="2:40" s="352" customFormat="1" ht="31" thickTop="1">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P5" s="137"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s="30" t="s">
        <v>269</v>
      </c>
    </row>
    <row r="6" spans="2:40" s="352" customFormat="1" ht="16" thickBot="1">
      <c r="B6" s="31"/>
      <c r="C6" s="31"/>
      <c r="D6" s="32"/>
      <c r="E6" s="32"/>
      <c r="F6" s="33"/>
      <c r="G6" s="31"/>
      <c r="H6" s="31"/>
      <c r="I6" s="31"/>
      <c r="J6" s="31"/>
      <c r="K6" s="31"/>
      <c r="L6" s="31"/>
      <c r="M6" s="31"/>
      <c r="N6" s="31"/>
      <c r="O6" s="31"/>
      <c r="P6" s="139"/>
      <c r="Z6" s="31"/>
      <c r="AA6" s="31"/>
      <c r="AB6" s="32"/>
      <c r="AC6" s="32"/>
      <c r="AD6" s="33"/>
      <c r="AE6" s="31"/>
      <c r="AF6" s="31"/>
      <c r="AG6" s="31"/>
      <c r="AH6" s="31"/>
      <c r="AI6" s="31"/>
      <c r="AJ6" s="31"/>
      <c r="AK6" s="31"/>
      <c r="AL6" s="31"/>
      <c r="AM6" s="31"/>
      <c r="AN6" s="31"/>
    </row>
    <row r="7" spans="2:40" s="352" customFormat="1">
      <c r="B7" s="37"/>
      <c r="C7" s="37"/>
      <c r="D7" s="38"/>
      <c r="E7" s="38"/>
      <c r="F7" s="38" t="s">
        <v>353</v>
      </c>
      <c r="G7" s="38" t="s">
        <v>354</v>
      </c>
      <c r="H7" s="38" t="s">
        <v>355</v>
      </c>
      <c r="I7" s="38"/>
      <c r="J7" s="37" t="s">
        <v>271</v>
      </c>
      <c r="K7" s="37" t="s">
        <v>272</v>
      </c>
      <c r="L7" s="37" t="s">
        <v>272</v>
      </c>
      <c r="M7" s="37" t="s">
        <v>272</v>
      </c>
      <c r="N7" s="37" t="s">
        <v>272</v>
      </c>
      <c r="O7" s="37" t="s">
        <v>272</v>
      </c>
      <c r="P7" s="141" t="s">
        <v>272</v>
      </c>
      <c r="Z7" s="37"/>
      <c r="AA7" s="37"/>
      <c r="AB7" s="38"/>
      <c r="AC7" s="38"/>
      <c r="AD7" s="38" t="s">
        <v>353</v>
      </c>
      <c r="AE7" s="38" t="s">
        <v>354</v>
      </c>
      <c r="AF7" s="38" t="s">
        <v>355</v>
      </c>
      <c r="AG7" s="38"/>
      <c r="AH7" s="37" t="s">
        <v>271</v>
      </c>
      <c r="AI7" s="37" t="s">
        <v>272</v>
      </c>
      <c r="AJ7" s="37" t="s">
        <v>272</v>
      </c>
      <c r="AK7" s="37" t="s">
        <v>272</v>
      </c>
      <c r="AL7" s="37" t="s">
        <v>272</v>
      </c>
      <c r="AM7" s="37" t="s">
        <v>272</v>
      </c>
      <c r="AN7" s="37" t="s">
        <v>272</v>
      </c>
    </row>
    <row r="8" spans="2:40" s="352" customFormat="1">
      <c r="B8" s="39">
        <f>C14</f>
        <v>2015</v>
      </c>
      <c r="C8" s="39">
        <f>B8</f>
        <v>2015</v>
      </c>
      <c r="D8" s="39">
        <f>C22/100</f>
        <v>1</v>
      </c>
      <c r="E8" s="39">
        <f>C25</f>
        <v>30</v>
      </c>
      <c r="F8" s="226">
        <f>C48</f>
        <v>2.2349999999999999</v>
      </c>
      <c r="G8" s="226">
        <f>C51</f>
        <v>3.7249999999999998E-2</v>
      </c>
      <c r="H8" s="226">
        <f>C52</f>
        <v>0</v>
      </c>
      <c r="I8" s="39"/>
      <c r="J8" s="39">
        <f>$J$4*E19/100</f>
        <v>0.2</v>
      </c>
      <c r="K8" s="39"/>
      <c r="L8" s="441"/>
      <c r="M8" s="441"/>
      <c r="N8" s="350">
        <f>C36</f>
        <v>0</v>
      </c>
      <c r="O8" s="441">
        <f>C37</f>
        <v>0</v>
      </c>
      <c r="P8" s="142"/>
      <c r="Z8" s="39">
        <f>AA14</f>
        <v>2015</v>
      </c>
      <c r="AA8" s="39">
        <f>Z8</f>
        <v>2015</v>
      </c>
      <c r="AB8" s="39">
        <f>AA22/100</f>
        <v>1</v>
      </c>
      <c r="AC8" s="39">
        <f>AA25</f>
        <v>30</v>
      </c>
      <c r="AD8" s="226">
        <f>AA48</f>
        <v>4.9356249999999999</v>
      </c>
      <c r="AE8" s="226">
        <f>AA51</f>
        <v>2.3281250000000003E-2</v>
      </c>
      <c r="AF8" s="226">
        <f>AA52</f>
        <v>0</v>
      </c>
      <c r="AG8" s="39"/>
      <c r="AH8" s="39"/>
      <c r="AI8" s="39"/>
      <c r="AJ8" s="441"/>
      <c r="AK8" s="441"/>
      <c r="AL8" s="350"/>
      <c r="AM8" s="441"/>
      <c r="AN8" s="142"/>
    </row>
    <row r="9" spans="2:40" s="352" customFormat="1">
      <c r="B9" s="39">
        <f>D14</f>
        <v>2020</v>
      </c>
      <c r="C9" s="39"/>
      <c r="D9" s="39">
        <f>D22/100</f>
        <v>1</v>
      </c>
      <c r="E9" s="39">
        <f>D25</f>
        <v>30</v>
      </c>
      <c r="F9" s="226">
        <f>D48</f>
        <v>2.179680963227391</v>
      </c>
      <c r="G9" s="226">
        <f>D51</f>
        <v>3.6328016053789852E-2</v>
      </c>
      <c r="H9" s="226">
        <f>D52</f>
        <v>0</v>
      </c>
      <c r="I9" s="39"/>
      <c r="J9" s="39">
        <f>$J$4*D19/100</f>
        <v>0.2</v>
      </c>
      <c r="K9" s="39"/>
      <c r="L9" s="441"/>
      <c r="M9" s="441"/>
      <c r="N9" s="350">
        <f>D36</f>
        <v>0</v>
      </c>
      <c r="O9" s="441">
        <f>D37</f>
        <v>0</v>
      </c>
      <c r="P9" s="142"/>
      <c r="Z9" s="39">
        <f>AB14</f>
        <v>2020</v>
      </c>
      <c r="AA9" s="39"/>
      <c r="AB9" s="39">
        <f>AB22/100</f>
        <v>1</v>
      </c>
      <c r="AC9" s="39">
        <f>AB25</f>
        <v>30</v>
      </c>
      <c r="AD9" s="226">
        <f>AB48</f>
        <v>4.8134621271271545</v>
      </c>
      <c r="AE9" s="226">
        <f>AB51</f>
        <v>2.2815625000000003E-2</v>
      </c>
      <c r="AF9" s="226">
        <f>AB52</f>
        <v>0</v>
      </c>
      <c r="AG9" s="39"/>
      <c r="AH9" s="39"/>
      <c r="AI9" s="39"/>
      <c r="AJ9" s="441"/>
      <c r="AK9" s="441"/>
      <c r="AL9" s="350"/>
      <c r="AM9" s="441"/>
      <c r="AN9" s="142"/>
    </row>
    <row r="10" spans="2:40" s="352" customFormat="1">
      <c r="B10" s="39">
        <f>E14</f>
        <v>2030</v>
      </c>
      <c r="C10" s="39"/>
      <c r="D10" s="39">
        <f>E22/100</f>
        <v>1</v>
      </c>
      <c r="E10" s="39">
        <f>E25</f>
        <v>30</v>
      </c>
      <c r="F10" s="226">
        <f>E48</f>
        <v>2.0731166453089633</v>
      </c>
      <c r="G10" s="226">
        <f>E51</f>
        <v>3.4551944088482722E-2</v>
      </c>
      <c r="H10" s="226">
        <f>E52</f>
        <v>0</v>
      </c>
      <c r="I10" s="39"/>
      <c r="J10" s="39">
        <f>$J$4*E19/100</f>
        <v>0.2</v>
      </c>
      <c r="K10" s="39"/>
      <c r="L10" s="441"/>
      <c r="M10" s="441"/>
      <c r="N10" s="350">
        <f>E36</f>
        <v>0</v>
      </c>
      <c r="O10" s="441">
        <f>E37</f>
        <v>0</v>
      </c>
      <c r="P10" s="142"/>
      <c r="Z10" s="39">
        <f>AC14</f>
        <v>2030</v>
      </c>
      <c r="AA10" s="39"/>
      <c r="AB10" s="39">
        <f>AC22/100</f>
        <v>1</v>
      </c>
      <c r="AC10" s="39">
        <f>AC25</f>
        <v>30</v>
      </c>
      <c r="AD10" s="226">
        <f>AC48</f>
        <v>4.5781325917239606</v>
      </c>
      <c r="AE10" s="226">
        <f>AC51</f>
        <v>2.141875E-2</v>
      </c>
      <c r="AF10" s="226">
        <f>AC52</f>
        <v>0</v>
      </c>
      <c r="AG10" s="39"/>
      <c r="AH10" s="39"/>
      <c r="AI10" s="39"/>
      <c r="AJ10" s="441"/>
      <c r="AK10" s="441"/>
      <c r="AL10" s="350"/>
      <c r="AM10" s="441"/>
      <c r="AN10" s="142"/>
    </row>
    <row r="11" spans="2:40" ht="16" thickBot="1">
      <c r="B11" s="39">
        <f>F14</f>
        <v>2050</v>
      </c>
      <c r="C11" s="39"/>
      <c r="D11" s="39">
        <f>F22/100</f>
        <v>1</v>
      </c>
      <c r="E11" s="39">
        <f>F25</f>
        <v>30</v>
      </c>
      <c r="F11" s="226">
        <f>F48</f>
        <v>1.8753630441782456</v>
      </c>
      <c r="G11" s="226">
        <f>F51</f>
        <v>3.1256050736304095E-2</v>
      </c>
      <c r="H11" s="226">
        <f>F52</f>
        <v>0</v>
      </c>
      <c r="I11" s="39"/>
      <c r="J11" s="39">
        <f>$J$4*F19/100</f>
        <v>0.2</v>
      </c>
      <c r="K11" s="39"/>
      <c r="L11" s="441"/>
      <c r="M11" s="441"/>
      <c r="N11" s="350">
        <f>F36</f>
        <v>0</v>
      </c>
      <c r="O11" s="441">
        <f>F37</f>
        <v>0</v>
      </c>
      <c r="P11" s="144"/>
      <c r="Z11" s="39">
        <f>AD14</f>
        <v>2050</v>
      </c>
      <c r="AA11" s="39"/>
      <c r="AB11" s="39">
        <f>AD22/100</f>
        <v>1</v>
      </c>
      <c r="AC11" s="39">
        <f>AD25</f>
        <v>30</v>
      </c>
      <c r="AD11" s="226">
        <f>AD48</f>
        <v>4.1414267225602925</v>
      </c>
      <c r="AE11" s="226">
        <f>AD51</f>
        <v>1.9556250000000001E-2</v>
      </c>
      <c r="AF11" s="226">
        <f>AD52</f>
        <v>0</v>
      </c>
      <c r="AG11" s="39"/>
      <c r="AH11" s="39"/>
      <c r="AI11" s="39"/>
      <c r="AJ11" s="441"/>
      <c r="AK11" s="441"/>
      <c r="AL11" s="350"/>
      <c r="AM11" s="441"/>
      <c r="AN11" s="144"/>
    </row>
    <row r="12" spans="2:40" ht="17" thickTop="1" thickBot="1">
      <c r="J12" s="821"/>
    </row>
    <row r="13" spans="2:40" ht="23.25" customHeight="1" thickBot="1">
      <c r="B13" s="428" t="s">
        <v>0</v>
      </c>
      <c r="C13" s="1289" t="s">
        <v>539</v>
      </c>
      <c r="D13" s="1290"/>
      <c r="E13" s="1290"/>
      <c r="F13" s="1290"/>
      <c r="G13" s="1290"/>
      <c r="H13" s="1290"/>
      <c r="I13" s="1290"/>
      <c r="J13" s="1290"/>
      <c r="K13" s="1290"/>
      <c r="L13" s="1291"/>
      <c r="M13" s="394"/>
      <c r="Y13" s="362"/>
      <c r="Z13" s="395" t="s">
        <v>0</v>
      </c>
      <c r="AA13" s="1289" t="s">
        <v>540</v>
      </c>
      <c r="AB13" s="1290"/>
      <c r="AC13" s="1290"/>
      <c r="AD13" s="1290"/>
      <c r="AE13" s="1290"/>
      <c r="AF13" s="1290"/>
      <c r="AG13" s="1290"/>
      <c r="AH13" s="1290"/>
      <c r="AI13" s="1290"/>
      <c r="AJ13" s="1291"/>
    </row>
    <row r="14" spans="2:40" ht="15" customHeight="1">
      <c r="B14" s="1280"/>
      <c r="C14" s="1282">
        <v>2015</v>
      </c>
      <c r="D14" s="1282">
        <v>2020</v>
      </c>
      <c r="E14" s="1282">
        <v>2030</v>
      </c>
      <c r="F14" s="1282">
        <v>2050</v>
      </c>
      <c r="G14" s="1285" t="s">
        <v>467</v>
      </c>
      <c r="H14" s="1286"/>
      <c r="I14" s="1285" t="s">
        <v>468</v>
      </c>
      <c r="J14" s="1286"/>
      <c r="K14" s="1282" t="s">
        <v>2</v>
      </c>
      <c r="L14" s="1282" t="s">
        <v>3</v>
      </c>
      <c r="M14" s="394"/>
      <c r="Y14" s="362"/>
      <c r="Z14" s="1280"/>
      <c r="AA14" s="1282">
        <v>2015</v>
      </c>
      <c r="AB14" s="1282">
        <v>2020</v>
      </c>
      <c r="AC14" s="1282">
        <v>2030</v>
      </c>
      <c r="AD14" s="1282">
        <v>2050</v>
      </c>
      <c r="AE14" s="1285" t="s">
        <v>467</v>
      </c>
      <c r="AF14" s="1286"/>
      <c r="AG14" s="1285" t="s">
        <v>468</v>
      </c>
      <c r="AH14" s="1286"/>
      <c r="AI14" s="1282" t="s">
        <v>2</v>
      </c>
      <c r="AJ14" s="1282" t="s">
        <v>3</v>
      </c>
    </row>
    <row r="15" spans="2:40" ht="16" thickBot="1">
      <c r="B15" s="1281"/>
      <c r="C15" s="1283"/>
      <c r="D15" s="1283"/>
      <c r="E15" s="1283"/>
      <c r="F15" s="1283"/>
      <c r="G15" s="1287"/>
      <c r="H15" s="1288"/>
      <c r="I15" s="1287"/>
      <c r="J15" s="1288"/>
      <c r="K15" s="1283"/>
      <c r="L15" s="1283"/>
      <c r="M15" s="394"/>
      <c r="Y15" s="362"/>
      <c r="Z15" s="1281"/>
      <c r="AA15" s="1283"/>
      <c r="AB15" s="1283"/>
      <c r="AC15" s="1283"/>
      <c r="AD15" s="1283"/>
      <c r="AE15" s="1287"/>
      <c r="AF15" s="1288"/>
      <c r="AG15" s="1287"/>
      <c r="AH15" s="1288"/>
      <c r="AI15" s="1283"/>
      <c r="AJ15" s="1283"/>
    </row>
    <row r="16" spans="2:40" ht="16" thickBot="1">
      <c r="B16" s="429" t="s">
        <v>4</v>
      </c>
      <c r="C16" s="430"/>
      <c r="D16" s="430"/>
      <c r="E16" s="430"/>
      <c r="F16" s="430"/>
      <c r="G16" s="431" t="s">
        <v>469</v>
      </c>
      <c r="H16" s="431" t="s">
        <v>470</v>
      </c>
      <c r="I16" s="431" t="s">
        <v>469</v>
      </c>
      <c r="J16" s="431" t="s">
        <v>470</v>
      </c>
      <c r="K16" s="430"/>
      <c r="L16" s="432"/>
      <c r="M16" s="394"/>
      <c r="Y16" s="362"/>
      <c r="Z16" s="396" t="s">
        <v>4</v>
      </c>
      <c r="AA16" s="397"/>
      <c r="AB16" s="397"/>
      <c r="AC16" s="397"/>
      <c r="AD16" s="397"/>
      <c r="AE16" s="398" t="s">
        <v>469</v>
      </c>
      <c r="AF16" s="398" t="s">
        <v>470</v>
      </c>
      <c r="AG16" s="398" t="s">
        <v>469</v>
      </c>
      <c r="AH16" s="398" t="s">
        <v>470</v>
      </c>
      <c r="AI16" s="397"/>
      <c r="AJ16" s="399"/>
    </row>
    <row r="17" spans="2:36" ht="16" thickBot="1">
      <c r="B17" s="433" t="s">
        <v>5</v>
      </c>
      <c r="C17" s="479">
        <v>10</v>
      </c>
      <c r="D17" s="479">
        <v>10</v>
      </c>
      <c r="E17" s="479">
        <v>10</v>
      </c>
      <c r="F17" s="479">
        <v>10</v>
      </c>
      <c r="G17" s="443">
        <v>2</v>
      </c>
      <c r="H17" s="443">
        <v>7</v>
      </c>
      <c r="I17" s="443">
        <v>2</v>
      </c>
      <c r="J17" s="443">
        <v>7</v>
      </c>
      <c r="K17" s="443"/>
      <c r="L17" s="443"/>
      <c r="M17" s="413"/>
      <c r="Y17" s="362"/>
      <c r="Z17" s="414" t="s">
        <v>5</v>
      </c>
      <c r="AA17" s="406">
        <v>160</v>
      </c>
      <c r="AB17" s="406">
        <v>160</v>
      </c>
      <c r="AC17" s="406">
        <v>160</v>
      </c>
      <c r="AD17" s="406">
        <v>160</v>
      </c>
      <c r="AE17" s="406">
        <v>100</v>
      </c>
      <c r="AF17" s="406">
        <v>250</v>
      </c>
      <c r="AG17" s="406">
        <v>100</v>
      </c>
      <c r="AH17" s="406">
        <v>250</v>
      </c>
      <c r="AI17" s="401" t="s">
        <v>42</v>
      </c>
      <c r="AJ17" s="401"/>
    </row>
    <row r="18" spans="2:36" ht="16" thickBot="1">
      <c r="B18" s="433" t="s">
        <v>77</v>
      </c>
      <c r="C18" s="443">
        <v>0</v>
      </c>
      <c r="D18" s="443">
        <v>0</v>
      </c>
      <c r="E18" s="443">
        <v>0</v>
      </c>
      <c r="F18" s="443">
        <v>0</v>
      </c>
      <c r="G18" s="443">
        <v>0</v>
      </c>
      <c r="H18" s="443">
        <v>0</v>
      </c>
      <c r="I18" s="443">
        <v>0</v>
      </c>
      <c r="J18" s="443">
        <v>0</v>
      </c>
      <c r="K18" s="443"/>
      <c r="L18" s="443"/>
      <c r="M18" s="413"/>
      <c r="Y18" s="362"/>
      <c r="Z18" s="414" t="s">
        <v>77</v>
      </c>
      <c r="AA18" s="406">
        <v>0</v>
      </c>
      <c r="AB18" s="406">
        <v>0</v>
      </c>
      <c r="AC18" s="406">
        <v>0</v>
      </c>
      <c r="AD18" s="406">
        <v>0</v>
      </c>
      <c r="AE18" s="406">
        <v>0</v>
      </c>
      <c r="AF18" s="406">
        <v>0</v>
      </c>
      <c r="AG18" s="406">
        <v>0</v>
      </c>
      <c r="AH18" s="406">
        <v>0</v>
      </c>
      <c r="AI18" s="401"/>
      <c r="AJ18" s="401"/>
    </row>
    <row r="19" spans="2:36" ht="16" thickBot="1">
      <c r="B19" s="433" t="s">
        <v>7</v>
      </c>
      <c r="C19" s="443">
        <v>100</v>
      </c>
      <c r="D19" s="443">
        <v>100</v>
      </c>
      <c r="E19" s="443">
        <v>100</v>
      </c>
      <c r="F19" s="443">
        <v>100</v>
      </c>
      <c r="G19" s="443">
        <v>100</v>
      </c>
      <c r="H19" s="443">
        <v>100</v>
      </c>
      <c r="I19" s="443">
        <v>100</v>
      </c>
      <c r="J19" s="443">
        <v>100</v>
      </c>
      <c r="K19" s="443"/>
      <c r="L19" s="443"/>
      <c r="M19" s="413"/>
      <c r="Y19" s="362"/>
      <c r="Z19" s="414" t="s">
        <v>7</v>
      </c>
      <c r="AA19" s="406">
        <v>100</v>
      </c>
      <c r="AB19" s="406">
        <v>100</v>
      </c>
      <c r="AC19" s="406">
        <v>100</v>
      </c>
      <c r="AD19" s="406">
        <v>100</v>
      </c>
      <c r="AE19" s="406">
        <v>100</v>
      </c>
      <c r="AF19" s="406">
        <v>100</v>
      </c>
      <c r="AG19" s="406">
        <v>100</v>
      </c>
      <c r="AH19" s="406">
        <v>100</v>
      </c>
      <c r="AI19" s="401"/>
      <c r="AJ19" s="401"/>
    </row>
    <row r="20" spans="2:36" ht="16" thickBot="1">
      <c r="B20" s="433" t="s">
        <v>8</v>
      </c>
      <c r="C20" s="443">
        <v>100</v>
      </c>
      <c r="D20" s="443">
        <v>100</v>
      </c>
      <c r="E20" s="443">
        <v>100</v>
      </c>
      <c r="F20" s="443">
        <v>100</v>
      </c>
      <c r="G20" s="443">
        <v>100</v>
      </c>
      <c r="H20" s="443">
        <v>100</v>
      </c>
      <c r="I20" s="443">
        <v>100</v>
      </c>
      <c r="J20" s="443">
        <v>100</v>
      </c>
      <c r="K20" s="443"/>
      <c r="L20" s="443"/>
      <c r="M20" s="413"/>
      <c r="Y20" s="362"/>
      <c r="Z20" s="414" t="s">
        <v>8</v>
      </c>
      <c r="AA20" s="406">
        <v>100</v>
      </c>
      <c r="AB20" s="406">
        <v>100</v>
      </c>
      <c r="AC20" s="406">
        <v>100</v>
      </c>
      <c r="AD20" s="406">
        <v>100</v>
      </c>
      <c r="AE20" s="406">
        <v>100</v>
      </c>
      <c r="AF20" s="406">
        <v>100</v>
      </c>
      <c r="AG20" s="406">
        <v>100</v>
      </c>
      <c r="AH20" s="406">
        <v>100</v>
      </c>
      <c r="AI20" s="401"/>
      <c r="AJ20" s="401"/>
    </row>
    <row r="21" spans="2:36" ht="16" thickBot="1">
      <c r="B21" s="433" t="s">
        <v>82</v>
      </c>
      <c r="C21" s="443" t="s">
        <v>47</v>
      </c>
      <c r="D21" s="443" t="s">
        <v>47</v>
      </c>
      <c r="E21" s="443" t="s">
        <v>47</v>
      </c>
      <c r="F21" s="443" t="s">
        <v>47</v>
      </c>
      <c r="G21" s="443" t="s">
        <v>47</v>
      </c>
      <c r="H21" s="443" t="s">
        <v>47</v>
      </c>
      <c r="I21" s="443" t="s">
        <v>47</v>
      </c>
      <c r="J21" s="443" t="s">
        <v>47</v>
      </c>
      <c r="K21" s="443"/>
      <c r="L21" s="443"/>
      <c r="M21" s="413"/>
      <c r="Y21" s="362"/>
      <c r="Z21" s="414" t="s">
        <v>82</v>
      </c>
      <c r="AA21" s="406" t="s">
        <v>47</v>
      </c>
      <c r="AB21" s="406" t="s">
        <v>47</v>
      </c>
      <c r="AC21" s="406" t="s">
        <v>47</v>
      </c>
      <c r="AD21" s="406" t="s">
        <v>47</v>
      </c>
      <c r="AE21" s="406" t="s">
        <v>47</v>
      </c>
      <c r="AF21" s="406" t="s">
        <v>47</v>
      </c>
      <c r="AG21" s="406" t="s">
        <v>47</v>
      </c>
      <c r="AH21" s="406" t="s">
        <v>47</v>
      </c>
      <c r="AI21" s="401"/>
      <c r="AJ21" s="401"/>
    </row>
    <row r="22" spans="2:36" ht="16" thickBot="1">
      <c r="B22" s="433" t="s">
        <v>86</v>
      </c>
      <c r="C22" s="443">
        <v>100</v>
      </c>
      <c r="D22" s="443">
        <v>100</v>
      </c>
      <c r="E22" s="443">
        <v>100</v>
      </c>
      <c r="F22" s="443">
        <v>100</v>
      </c>
      <c r="G22" s="443">
        <v>100</v>
      </c>
      <c r="H22" s="443">
        <v>100</v>
      </c>
      <c r="I22" s="443">
        <v>100</v>
      </c>
      <c r="J22" s="443">
        <v>100</v>
      </c>
      <c r="K22" s="443"/>
      <c r="L22" s="443"/>
      <c r="M22" s="413"/>
      <c r="Y22" s="362"/>
      <c r="Z22" s="414" t="s">
        <v>86</v>
      </c>
      <c r="AA22" s="406">
        <v>100</v>
      </c>
      <c r="AB22" s="406">
        <v>100</v>
      </c>
      <c r="AC22" s="406">
        <v>100</v>
      </c>
      <c r="AD22" s="406">
        <v>100</v>
      </c>
      <c r="AE22" s="406">
        <v>100</v>
      </c>
      <c r="AF22" s="406">
        <v>100</v>
      </c>
      <c r="AG22" s="406">
        <v>100</v>
      </c>
      <c r="AH22" s="406">
        <v>100</v>
      </c>
      <c r="AI22" s="401"/>
      <c r="AJ22" s="401"/>
    </row>
    <row r="23" spans="2:36" ht="16" thickBot="1">
      <c r="B23" s="433" t="s">
        <v>9</v>
      </c>
      <c r="C23" s="443">
        <v>100</v>
      </c>
      <c r="D23" s="443">
        <v>100</v>
      </c>
      <c r="E23" s="443">
        <v>100</v>
      </c>
      <c r="F23" s="443">
        <v>100</v>
      </c>
      <c r="G23" s="443">
        <v>100</v>
      </c>
      <c r="H23" s="443">
        <v>100</v>
      </c>
      <c r="I23" s="443">
        <v>100</v>
      </c>
      <c r="J23" s="443">
        <v>100</v>
      </c>
      <c r="K23" s="443" t="s">
        <v>6</v>
      </c>
      <c r="L23" s="443"/>
      <c r="M23" s="413"/>
      <c r="Y23" s="362"/>
      <c r="Z23" s="414" t="s">
        <v>9</v>
      </c>
      <c r="AA23" s="406">
        <v>100</v>
      </c>
      <c r="AB23" s="406">
        <v>100</v>
      </c>
      <c r="AC23" s="406">
        <v>100</v>
      </c>
      <c r="AD23" s="406">
        <v>100</v>
      </c>
      <c r="AE23" s="406">
        <v>100</v>
      </c>
      <c r="AF23" s="406">
        <v>100</v>
      </c>
      <c r="AG23" s="406">
        <v>100</v>
      </c>
      <c r="AH23" s="406">
        <v>100</v>
      </c>
      <c r="AI23" s="401" t="s">
        <v>6</v>
      </c>
      <c r="AJ23" s="401"/>
    </row>
    <row r="24" spans="2:36" ht="16" thickBot="1">
      <c r="B24" s="433" t="s">
        <v>472</v>
      </c>
      <c r="C24" s="443">
        <v>0</v>
      </c>
      <c r="D24" s="443">
        <v>0</v>
      </c>
      <c r="E24" s="443">
        <v>0</v>
      </c>
      <c r="F24" s="443">
        <v>0</v>
      </c>
      <c r="G24" s="443">
        <v>0</v>
      </c>
      <c r="H24" s="443">
        <v>0</v>
      </c>
      <c r="I24" s="443">
        <v>0</v>
      </c>
      <c r="J24" s="443">
        <v>0</v>
      </c>
      <c r="K24" s="443"/>
      <c r="L24" s="443"/>
      <c r="M24" s="413"/>
      <c r="Y24" s="362"/>
      <c r="Z24" s="414" t="s">
        <v>472</v>
      </c>
      <c r="AA24" s="406">
        <v>0</v>
      </c>
      <c r="AB24" s="406">
        <v>0</v>
      </c>
      <c r="AC24" s="406">
        <v>0</v>
      </c>
      <c r="AD24" s="406">
        <v>0</v>
      </c>
      <c r="AE24" s="406">
        <v>0</v>
      </c>
      <c r="AF24" s="406">
        <v>0</v>
      </c>
      <c r="AG24" s="406">
        <v>0</v>
      </c>
      <c r="AH24" s="406">
        <v>0</v>
      </c>
      <c r="AI24" s="401"/>
      <c r="AJ24" s="401"/>
    </row>
    <row r="25" spans="2:36" ht="16" thickBot="1">
      <c r="B25" s="433" t="s">
        <v>10</v>
      </c>
      <c r="C25" s="443">
        <v>30</v>
      </c>
      <c r="D25" s="443">
        <v>30</v>
      </c>
      <c r="E25" s="443">
        <v>30</v>
      </c>
      <c r="F25" s="443">
        <v>30</v>
      </c>
      <c r="G25" s="443">
        <v>25</v>
      </c>
      <c r="H25" s="443">
        <v>30</v>
      </c>
      <c r="I25" s="443">
        <v>25</v>
      </c>
      <c r="J25" s="443">
        <v>30</v>
      </c>
      <c r="K25" s="443"/>
      <c r="L25" s="443"/>
      <c r="M25" s="413"/>
      <c r="Y25" s="362"/>
      <c r="Z25" s="414" t="s">
        <v>10</v>
      </c>
      <c r="AA25" s="406">
        <v>30</v>
      </c>
      <c r="AB25" s="406">
        <v>30</v>
      </c>
      <c r="AC25" s="406">
        <v>30</v>
      </c>
      <c r="AD25" s="406">
        <v>30</v>
      </c>
      <c r="AE25" s="406">
        <v>25</v>
      </c>
      <c r="AF25" s="406">
        <v>30</v>
      </c>
      <c r="AG25" s="406">
        <v>25</v>
      </c>
      <c r="AH25" s="406">
        <v>30</v>
      </c>
      <c r="AI25" s="401"/>
      <c r="AJ25" s="401"/>
    </row>
    <row r="26" spans="2:36" ht="16" thickBot="1">
      <c r="B26" s="429" t="s">
        <v>488</v>
      </c>
      <c r="C26" s="444"/>
      <c r="D26" s="444"/>
      <c r="E26" s="444"/>
      <c r="F26" s="444"/>
      <c r="G26" s="444"/>
      <c r="H26" s="444"/>
      <c r="I26" s="444"/>
      <c r="J26" s="444"/>
      <c r="K26" s="444"/>
      <c r="L26" s="443"/>
      <c r="M26" s="413"/>
      <c r="Y26" s="362"/>
      <c r="Z26" s="415" t="s">
        <v>488</v>
      </c>
      <c r="AA26" s="407"/>
      <c r="AB26" s="407"/>
      <c r="AC26" s="407"/>
      <c r="AD26" s="407"/>
      <c r="AE26" s="407"/>
      <c r="AF26" s="407"/>
      <c r="AG26" s="407"/>
      <c r="AH26" s="407"/>
      <c r="AI26" s="402"/>
      <c r="AJ26" s="401"/>
    </row>
    <row r="27" spans="2:36" ht="16" thickBot="1">
      <c r="B27" s="433" t="s">
        <v>489</v>
      </c>
      <c r="C27" s="443">
        <v>100</v>
      </c>
      <c r="D27" s="443">
        <v>100</v>
      </c>
      <c r="E27" s="443">
        <v>100</v>
      </c>
      <c r="F27" s="443">
        <v>100</v>
      </c>
      <c r="G27" s="443">
        <v>100</v>
      </c>
      <c r="H27" s="443">
        <v>100</v>
      </c>
      <c r="I27" s="443">
        <v>100</v>
      </c>
      <c r="J27" s="443">
        <v>100</v>
      </c>
      <c r="K27" s="443"/>
      <c r="L27" s="443"/>
      <c r="M27" s="413"/>
      <c r="Y27" s="362"/>
      <c r="Z27" s="414" t="s">
        <v>489</v>
      </c>
      <c r="AA27" s="406">
        <v>100</v>
      </c>
      <c r="AB27" s="406">
        <v>100</v>
      </c>
      <c r="AC27" s="406">
        <v>100</v>
      </c>
      <c r="AD27" s="406">
        <v>100</v>
      </c>
      <c r="AE27" s="406">
        <v>100</v>
      </c>
      <c r="AF27" s="406">
        <v>100</v>
      </c>
      <c r="AG27" s="406">
        <v>100</v>
      </c>
      <c r="AH27" s="406">
        <v>100</v>
      </c>
      <c r="AI27" s="403"/>
      <c r="AJ27" s="403"/>
    </row>
    <row r="28" spans="2:36" ht="16" thickBot="1">
      <c r="B28" s="433" t="s">
        <v>490</v>
      </c>
      <c r="C28" s="443">
        <v>100</v>
      </c>
      <c r="D28" s="443">
        <v>100</v>
      </c>
      <c r="E28" s="443">
        <v>100</v>
      </c>
      <c r="F28" s="443">
        <v>100</v>
      </c>
      <c r="G28" s="443">
        <v>100</v>
      </c>
      <c r="H28" s="443">
        <v>100</v>
      </c>
      <c r="I28" s="443">
        <v>100</v>
      </c>
      <c r="J28" s="443">
        <v>100</v>
      </c>
      <c r="K28" s="443"/>
      <c r="L28" s="443"/>
      <c r="M28" s="413"/>
      <c r="Y28" s="362"/>
      <c r="Z28" s="414" t="s">
        <v>490</v>
      </c>
      <c r="AA28" s="406">
        <v>100</v>
      </c>
      <c r="AB28" s="406">
        <v>100</v>
      </c>
      <c r="AC28" s="406">
        <v>100</v>
      </c>
      <c r="AD28" s="406">
        <v>100</v>
      </c>
      <c r="AE28" s="406">
        <v>100</v>
      </c>
      <c r="AF28" s="406">
        <v>100</v>
      </c>
      <c r="AG28" s="406">
        <v>100</v>
      </c>
      <c r="AH28" s="406">
        <v>100</v>
      </c>
      <c r="AI28" s="403"/>
      <c r="AJ28" s="403"/>
    </row>
    <row r="29" spans="2:36" ht="16" thickBot="1">
      <c r="B29" s="433" t="s">
        <v>491</v>
      </c>
      <c r="C29" s="443">
        <v>0</v>
      </c>
      <c r="D29" s="443">
        <v>0</v>
      </c>
      <c r="E29" s="443">
        <v>0</v>
      </c>
      <c r="F29" s="443">
        <v>0</v>
      </c>
      <c r="G29" s="443">
        <v>0</v>
      </c>
      <c r="H29" s="443">
        <v>0</v>
      </c>
      <c r="I29" s="443">
        <v>0</v>
      </c>
      <c r="J29" s="443">
        <v>0</v>
      </c>
      <c r="K29" s="443"/>
      <c r="L29" s="443"/>
      <c r="M29" s="413"/>
      <c r="Y29" s="362"/>
      <c r="Z29" s="414" t="s">
        <v>491</v>
      </c>
      <c r="AA29" s="406">
        <v>0</v>
      </c>
      <c r="AB29" s="406">
        <v>0</v>
      </c>
      <c r="AC29" s="406">
        <v>0</v>
      </c>
      <c r="AD29" s="406">
        <v>0</v>
      </c>
      <c r="AE29" s="406">
        <v>0</v>
      </c>
      <c r="AF29" s="406">
        <v>0</v>
      </c>
      <c r="AG29" s="406">
        <v>0</v>
      </c>
      <c r="AH29" s="406">
        <v>0</v>
      </c>
      <c r="AI29" s="403"/>
      <c r="AJ29" s="403"/>
    </row>
    <row r="30" spans="2:36" ht="16" thickBot="1">
      <c r="B30" s="433" t="s">
        <v>492</v>
      </c>
      <c r="C30" s="443">
        <v>0</v>
      </c>
      <c r="D30" s="443">
        <v>0</v>
      </c>
      <c r="E30" s="443">
        <v>0</v>
      </c>
      <c r="F30" s="443">
        <v>0</v>
      </c>
      <c r="G30" s="443">
        <v>0</v>
      </c>
      <c r="H30" s="443">
        <v>0</v>
      </c>
      <c r="I30" s="443">
        <v>0</v>
      </c>
      <c r="J30" s="443">
        <v>0</v>
      </c>
      <c r="K30" s="443"/>
      <c r="L30" s="443"/>
      <c r="M30" s="413"/>
      <c r="Y30" s="362"/>
      <c r="Z30" s="414" t="s">
        <v>492</v>
      </c>
      <c r="AA30" s="406">
        <v>0</v>
      </c>
      <c r="AB30" s="406">
        <v>0</v>
      </c>
      <c r="AC30" s="406">
        <v>0</v>
      </c>
      <c r="AD30" s="406">
        <v>0</v>
      </c>
      <c r="AE30" s="406">
        <v>0</v>
      </c>
      <c r="AF30" s="406">
        <v>0</v>
      </c>
      <c r="AG30" s="406">
        <v>0</v>
      </c>
      <c r="AH30" s="406">
        <v>0</v>
      </c>
      <c r="AI30" s="403"/>
      <c r="AJ30" s="403"/>
    </row>
    <row r="31" spans="2:36" ht="16" thickBot="1">
      <c r="B31" s="433" t="s">
        <v>493</v>
      </c>
      <c r="C31" s="443">
        <v>0</v>
      </c>
      <c r="D31" s="443">
        <v>0</v>
      </c>
      <c r="E31" s="443">
        <v>0</v>
      </c>
      <c r="F31" s="443">
        <v>0</v>
      </c>
      <c r="G31" s="443">
        <v>0</v>
      </c>
      <c r="H31" s="443">
        <v>0</v>
      </c>
      <c r="I31" s="443">
        <v>0</v>
      </c>
      <c r="J31" s="443">
        <v>0</v>
      </c>
      <c r="K31" s="443"/>
      <c r="L31" s="443"/>
      <c r="M31" s="413"/>
      <c r="Y31" s="362"/>
      <c r="Z31" s="414" t="s">
        <v>493</v>
      </c>
      <c r="AA31" s="406">
        <v>0</v>
      </c>
      <c r="AB31" s="406">
        <v>0</v>
      </c>
      <c r="AC31" s="406">
        <v>0</v>
      </c>
      <c r="AD31" s="406">
        <v>0</v>
      </c>
      <c r="AE31" s="406">
        <v>0</v>
      </c>
      <c r="AF31" s="406">
        <v>0</v>
      </c>
      <c r="AG31" s="406">
        <v>0</v>
      </c>
      <c r="AH31" s="406">
        <v>0</v>
      </c>
      <c r="AI31" s="403"/>
      <c r="AJ31" s="403"/>
    </row>
    <row r="32" spans="2:36" ht="16" thickBot="1">
      <c r="B32" s="429" t="s">
        <v>11</v>
      </c>
      <c r="C32" s="445"/>
      <c r="D32" s="445"/>
      <c r="E32" s="445"/>
      <c r="F32" s="445"/>
      <c r="G32" s="445"/>
      <c r="H32" s="445"/>
      <c r="I32" s="445"/>
      <c r="J32" s="445"/>
      <c r="K32" s="445"/>
      <c r="L32" s="451"/>
      <c r="M32" s="413"/>
      <c r="Y32" s="362"/>
      <c r="Z32" s="415" t="s">
        <v>11</v>
      </c>
      <c r="AA32" s="408"/>
      <c r="AB32" s="408"/>
      <c r="AC32" s="408"/>
      <c r="AD32" s="408"/>
      <c r="AE32" s="408"/>
      <c r="AF32" s="408"/>
      <c r="AG32" s="408"/>
      <c r="AH32" s="408"/>
      <c r="AI32" s="397"/>
      <c r="AJ32" s="399"/>
    </row>
    <row r="33" spans="2:36" ht="15.75" customHeight="1" thickBot="1">
      <c r="B33" s="433" t="s">
        <v>474</v>
      </c>
      <c r="C33" s="1272" t="s">
        <v>541</v>
      </c>
      <c r="D33" s="1292"/>
      <c r="E33" s="1292"/>
      <c r="F33" s="1273"/>
      <c r="G33" s="443"/>
      <c r="H33" s="443"/>
      <c r="I33" s="443"/>
      <c r="J33" s="443"/>
      <c r="K33" s="443"/>
      <c r="L33" s="443"/>
      <c r="M33" s="413"/>
      <c r="Y33" s="362"/>
      <c r="Z33" s="414" t="s">
        <v>494</v>
      </c>
      <c r="AA33" s="1272" t="s">
        <v>541</v>
      </c>
      <c r="AB33" s="1292"/>
      <c r="AC33" s="1292"/>
      <c r="AD33" s="1273"/>
      <c r="AE33" s="406"/>
      <c r="AF33" s="406"/>
      <c r="AG33" s="406"/>
      <c r="AH33" s="406"/>
      <c r="AI33" s="401"/>
      <c r="AJ33" s="401"/>
    </row>
    <row r="34" spans="2:36" ht="16" thickBot="1">
      <c r="B34" s="433" t="s">
        <v>475</v>
      </c>
      <c r="C34" s="1293"/>
      <c r="D34" s="1294"/>
      <c r="E34" s="1294"/>
      <c r="F34" s="1295"/>
      <c r="G34" s="443"/>
      <c r="H34" s="443"/>
      <c r="I34" s="443"/>
      <c r="J34" s="443"/>
      <c r="K34" s="443"/>
      <c r="L34" s="443"/>
      <c r="M34" s="413"/>
      <c r="Y34" s="362"/>
      <c r="Z34" s="414" t="s">
        <v>495</v>
      </c>
      <c r="AA34" s="1293"/>
      <c r="AB34" s="1294"/>
      <c r="AC34" s="1294"/>
      <c r="AD34" s="1295"/>
      <c r="AE34" s="406"/>
      <c r="AF34" s="406"/>
      <c r="AG34" s="406"/>
      <c r="AH34" s="406"/>
      <c r="AI34" s="401"/>
      <c r="AJ34" s="401"/>
    </row>
    <row r="35" spans="2:36" ht="16" thickBot="1">
      <c r="B35" s="433" t="s">
        <v>476</v>
      </c>
      <c r="C35" s="1293"/>
      <c r="D35" s="1294"/>
      <c r="E35" s="1294"/>
      <c r="F35" s="1295"/>
      <c r="G35" s="443"/>
      <c r="H35" s="443"/>
      <c r="I35" s="443"/>
      <c r="J35" s="443"/>
      <c r="K35" s="443"/>
      <c r="L35" s="443"/>
      <c r="M35" s="413"/>
      <c r="Y35" s="362"/>
      <c r="Z35" s="414" t="s">
        <v>496</v>
      </c>
      <c r="AA35" s="1293"/>
      <c r="AB35" s="1294"/>
      <c r="AC35" s="1294"/>
      <c r="AD35" s="1295"/>
      <c r="AE35" s="406"/>
      <c r="AF35" s="406"/>
      <c r="AG35" s="406"/>
      <c r="AH35" s="406"/>
      <c r="AI35" s="401"/>
      <c r="AJ35" s="401"/>
    </row>
    <row r="36" spans="2:36" ht="16" thickBot="1">
      <c r="B36" s="433" t="s">
        <v>477</v>
      </c>
      <c r="C36" s="1293"/>
      <c r="D36" s="1294"/>
      <c r="E36" s="1294"/>
      <c r="F36" s="1295"/>
      <c r="G36" s="458"/>
      <c r="H36" s="443"/>
      <c r="I36" s="443"/>
      <c r="J36" s="443"/>
      <c r="K36" s="443"/>
      <c r="L36" s="443"/>
      <c r="M36" s="413"/>
      <c r="Y36" s="362"/>
      <c r="Z36" s="414" t="s">
        <v>497</v>
      </c>
      <c r="AA36" s="1293"/>
      <c r="AB36" s="1294"/>
      <c r="AC36" s="1294"/>
      <c r="AD36" s="1295"/>
      <c r="AE36" s="406"/>
      <c r="AF36" s="406"/>
      <c r="AG36" s="406"/>
      <c r="AH36" s="406"/>
      <c r="AI36" s="401"/>
      <c r="AJ36" s="401"/>
    </row>
    <row r="37" spans="2:36" ht="16" thickBot="1">
      <c r="B37" s="433" t="s">
        <v>18</v>
      </c>
      <c r="C37" s="1274"/>
      <c r="D37" s="1296"/>
      <c r="E37" s="1296"/>
      <c r="F37" s="1275"/>
      <c r="G37" s="458"/>
      <c r="H37" s="443"/>
      <c r="I37" s="443"/>
      <c r="J37" s="443"/>
      <c r="K37" s="443"/>
      <c r="L37" s="443"/>
      <c r="M37" s="413"/>
      <c r="Y37" s="362"/>
      <c r="Z37" s="414" t="s">
        <v>18</v>
      </c>
      <c r="AA37" s="1274"/>
      <c r="AB37" s="1296"/>
      <c r="AC37" s="1296"/>
      <c r="AD37" s="1275"/>
      <c r="AE37" s="406"/>
      <c r="AF37" s="406"/>
      <c r="AG37" s="406"/>
      <c r="AH37" s="406"/>
      <c r="AI37" s="401"/>
      <c r="AJ37" s="401"/>
    </row>
    <row r="38" spans="2:36" ht="16" thickBot="1">
      <c r="B38" s="429" t="s">
        <v>20</v>
      </c>
      <c r="C38" s="466"/>
      <c r="D38" s="466"/>
      <c r="E38" s="466"/>
      <c r="F38" s="466"/>
      <c r="G38" s="466"/>
      <c r="H38" s="445"/>
      <c r="I38" s="445"/>
      <c r="J38" s="445"/>
      <c r="K38" s="445"/>
      <c r="L38" s="451"/>
      <c r="M38" s="413"/>
      <c r="Y38" s="362"/>
      <c r="Z38" s="415" t="s">
        <v>20</v>
      </c>
      <c r="AA38" s="408"/>
      <c r="AB38" s="408"/>
      <c r="AC38" s="408"/>
      <c r="AD38" s="408"/>
      <c r="AE38" s="408"/>
      <c r="AF38" s="408"/>
      <c r="AG38" s="408"/>
      <c r="AH38" s="408"/>
      <c r="AI38" s="397"/>
      <c r="AJ38" s="399"/>
    </row>
    <row r="39" spans="2:36">
      <c r="B39" s="435" t="s">
        <v>22</v>
      </c>
      <c r="C39" s="467">
        <v>3</v>
      </c>
      <c r="D39" s="468">
        <v>2.9257462593656252</v>
      </c>
      <c r="E39" s="469">
        <v>2.7827069064549841</v>
      </c>
      <c r="F39" s="446">
        <v>2.5172658311117391</v>
      </c>
      <c r="G39" s="456">
        <v>2.4000000000000004</v>
      </c>
      <c r="H39" s="456">
        <v>3.3000000000000003</v>
      </c>
      <c r="I39" s="456">
        <v>2.0138126648893913</v>
      </c>
      <c r="J39" s="456">
        <v>2.7689924142229132</v>
      </c>
      <c r="K39" s="438" t="s">
        <v>36</v>
      </c>
      <c r="L39" s="438">
        <v>4</v>
      </c>
      <c r="M39" s="413"/>
      <c r="Y39" s="362"/>
      <c r="Z39" s="416" t="s">
        <v>22</v>
      </c>
      <c r="AA39" s="405">
        <v>106</v>
      </c>
      <c r="AB39" s="417">
        <v>103.37636783091875</v>
      </c>
      <c r="AC39" s="417">
        <v>98.322310694742768</v>
      </c>
      <c r="AD39" s="411">
        <v>88.943392699281446</v>
      </c>
      <c r="AE39" s="412">
        <v>84.800000000000011</v>
      </c>
      <c r="AF39" s="412">
        <v>116.60000000000001</v>
      </c>
      <c r="AG39" s="412">
        <v>71.154714159425154</v>
      </c>
      <c r="AH39" s="412">
        <v>97.837731969209599</v>
      </c>
      <c r="AI39" s="404" t="s">
        <v>36</v>
      </c>
      <c r="AJ39" s="404">
        <v>4</v>
      </c>
    </row>
    <row r="40" spans="2:36">
      <c r="B40" s="435" t="s">
        <v>24</v>
      </c>
      <c r="C40" s="464">
        <v>70</v>
      </c>
      <c r="D40" s="465">
        <v>70</v>
      </c>
      <c r="E40" s="442">
        <v>70</v>
      </c>
      <c r="F40" s="457">
        <v>70</v>
      </c>
      <c r="G40" s="457">
        <v>70</v>
      </c>
      <c r="H40" s="457">
        <v>70</v>
      </c>
      <c r="I40" s="457">
        <v>70</v>
      </c>
      <c r="J40" s="457">
        <v>70</v>
      </c>
      <c r="K40" s="438"/>
      <c r="L40" s="438">
        <v>4</v>
      </c>
      <c r="M40" s="413"/>
      <c r="Y40" s="362"/>
      <c r="Z40" s="416" t="s">
        <v>24</v>
      </c>
      <c r="AA40" s="405">
        <v>70</v>
      </c>
      <c r="AB40" s="405">
        <v>70</v>
      </c>
      <c r="AC40" s="405">
        <v>70</v>
      </c>
      <c r="AD40" s="409">
        <v>70</v>
      </c>
      <c r="AE40" s="420">
        <v>70</v>
      </c>
      <c r="AF40" s="420">
        <v>70</v>
      </c>
      <c r="AG40" s="420">
        <v>70</v>
      </c>
      <c r="AH40" s="420">
        <v>70</v>
      </c>
      <c r="AI40" s="404"/>
      <c r="AJ40" s="404">
        <v>4</v>
      </c>
    </row>
    <row r="41" spans="2:36" ht="16" thickBot="1">
      <c r="B41" s="433" t="s">
        <v>26</v>
      </c>
      <c r="C41" s="460">
        <v>30</v>
      </c>
      <c r="D41" s="459">
        <v>30</v>
      </c>
      <c r="E41" s="463">
        <v>30</v>
      </c>
      <c r="F41" s="458">
        <v>30</v>
      </c>
      <c r="G41" s="458">
        <v>30</v>
      </c>
      <c r="H41" s="458">
        <v>30</v>
      </c>
      <c r="I41" s="458">
        <v>30</v>
      </c>
      <c r="J41" s="458">
        <v>30</v>
      </c>
      <c r="K41" s="443"/>
      <c r="L41" s="443">
        <v>4</v>
      </c>
      <c r="M41" s="413"/>
      <c r="Y41" s="362"/>
      <c r="Z41" s="414" t="s">
        <v>26</v>
      </c>
      <c r="AA41" s="406">
        <v>30</v>
      </c>
      <c r="AB41" s="406">
        <v>30</v>
      </c>
      <c r="AC41" s="406">
        <v>30</v>
      </c>
      <c r="AD41" s="410">
        <v>30</v>
      </c>
      <c r="AE41" s="421">
        <v>30</v>
      </c>
      <c r="AF41" s="421">
        <v>30</v>
      </c>
      <c r="AG41" s="421">
        <v>30</v>
      </c>
      <c r="AH41" s="421">
        <v>30</v>
      </c>
      <c r="AI41" s="401"/>
      <c r="AJ41" s="401">
        <v>4</v>
      </c>
    </row>
    <row r="42" spans="2:36" ht="16" thickBot="1">
      <c r="B42" s="433" t="s">
        <v>28</v>
      </c>
      <c r="C42" s="458">
        <v>0</v>
      </c>
      <c r="D42" s="458">
        <v>0</v>
      </c>
      <c r="E42" s="458">
        <v>0</v>
      </c>
      <c r="F42" s="458">
        <v>0</v>
      </c>
      <c r="G42" s="458">
        <v>0</v>
      </c>
      <c r="H42" s="443">
        <v>0</v>
      </c>
      <c r="I42" s="443">
        <v>0</v>
      </c>
      <c r="J42" s="443">
        <v>0</v>
      </c>
      <c r="K42" s="443"/>
      <c r="L42" s="443"/>
      <c r="M42" s="413"/>
      <c r="Y42" s="362"/>
      <c r="Z42" s="414" t="s">
        <v>28</v>
      </c>
      <c r="AA42" s="421">
        <v>0</v>
      </c>
      <c r="AB42" s="421">
        <v>0</v>
      </c>
      <c r="AC42" s="421">
        <v>0</v>
      </c>
      <c r="AD42" s="423">
        <v>0</v>
      </c>
      <c r="AE42" s="421">
        <v>0</v>
      </c>
      <c r="AF42" s="406">
        <v>0</v>
      </c>
      <c r="AG42" s="406">
        <v>0</v>
      </c>
      <c r="AH42" s="406">
        <v>0</v>
      </c>
      <c r="AI42" s="401"/>
      <c r="AJ42" s="401"/>
    </row>
    <row r="43" spans="2:36" ht="16" thickBot="1">
      <c r="B43" s="433" t="s">
        <v>44</v>
      </c>
      <c r="C43" s="462">
        <v>50</v>
      </c>
      <c r="D43" s="470">
        <v>48.762437656093752</v>
      </c>
      <c r="E43" s="455">
        <v>46.378448440916401</v>
      </c>
      <c r="F43" s="461">
        <v>41.954430518528987</v>
      </c>
      <c r="G43" s="458">
        <v>45</v>
      </c>
      <c r="H43" s="443">
        <v>60</v>
      </c>
      <c r="I43" s="443">
        <v>35</v>
      </c>
      <c r="J43" s="443">
        <v>50</v>
      </c>
      <c r="K43" s="443" t="s">
        <v>106</v>
      </c>
      <c r="L43" s="443"/>
      <c r="M43" s="413"/>
      <c r="Y43" s="362"/>
      <c r="Z43" s="414" t="s">
        <v>44</v>
      </c>
      <c r="AA43" s="406">
        <v>500</v>
      </c>
      <c r="AB43" s="424">
        <v>490</v>
      </c>
      <c r="AC43" s="424">
        <v>460</v>
      </c>
      <c r="AD43" s="419">
        <v>420</v>
      </c>
      <c r="AE43" s="406">
        <v>450</v>
      </c>
      <c r="AF43" s="406">
        <v>600</v>
      </c>
      <c r="AG43" s="406">
        <v>350</v>
      </c>
      <c r="AH43" s="406">
        <v>500</v>
      </c>
      <c r="AI43" s="401" t="s">
        <v>106</v>
      </c>
      <c r="AJ43" s="401"/>
    </row>
    <row r="44" spans="2:36" s="427" customFormat="1" ht="16" thickBot="1">
      <c r="B44" s="433"/>
      <c r="C44" s="462"/>
      <c r="D44" s="447"/>
      <c r="E44" s="454"/>
      <c r="F44" s="454"/>
      <c r="G44" s="458"/>
      <c r="H44" s="443"/>
      <c r="I44" s="443"/>
      <c r="J44" s="443"/>
      <c r="K44" s="443"/>
      <c r="L44" s="443"/>
      <c r="M44" s="449"/>
      <c r="Y44" s="439"/>
      <c r="Z44" s="450"/>
      <c r="AA44" s="443"/>
      <c r="AB44" s="447"/>
      <c r="AC44" s="447"/>
      <c r="AD44" s="448"/>
      <c r="AE44" s="443"/>
      <c r="AF44" s="443"/>
      <c r="AG44" s="443"/>
      <c r="AH44" s="443"/>
      <c r="AI44" s="434"/>
      <c r="AJ44" s="434"/>
    </row>
    <row r="45" spans="2:36" s="427" customFormat="1" ht="16" thickBot="1">
      <c r="B45" s="433"/>
      <c r="C45" s="462"/>
      <c r="D45" s="447"/>
      <c r="E45" s="454"/>
      <c r="F45" s="454"/>
      <c r="G45" s="458"/>
      <c r="H45" s="443"/>
      <c r="I45" s="443"/>
      <c r="J45" s="443"/>
      <c r="K45" s="443"/>
      <c r="L45" s="443"/>
      <c r="M45" s="449"/>
      <c r="Y45" s="439"/>
      <c r="Z45" s="450"/>
      <c r="AA45" s="443"/>
      <c r="AB45" s="447"/>
      <c r="AC45" s="447"/>
      <c r="AD45" s="448"/>
      <c r="AE45" s="443"/>
      <c r="AF45" s="443"/>
      <c r="AG45" s="443"/>
      <c r="AH45" s="443"/>
      <c r="AI45" s="434"/>
      <c r="AJ45" s="434"/>
    </row>
    <row r="46" spans="2:36" ht="16" thickBot="1">
      <c r="B46" s="433" t="s">
        <v>482</v>
      </c>
      <c r="C46" s="462">
        <v>0</v>
      </c>
      <c r="D46" s="462">
        <v>0</v>
      </c>
      <c r="E46" s="462">
        <v>0</v>
      </c>
      <c r="F46" s="462">
        <v>0</v>
      </c>
      <c r="G46" s="458">
        <v>0</v>
      </c>
      <c r="H46" s="443">
        <v>0</v>
      </c>
      <c r="I46" s="443">
        <v>0</v>
      </c>
      <c r="J46" s="443">
        <v>0</v>
      </c>
      <c r="K46" s="443"/>
      <c r="L46" s="443"/>
      <c r="M46" s="413"/>
      <c r="Y46" s="362"/>
      <c r="Z46" s="414" t="s">
        <v>482</v>
      </c>
      <c r="AA46" s="422">
        <v>0</v>
      </c>
      <c r="AB46" s="422">
        <v>0</v>
      </c>
      <c r="AC46" s="422">
        <v>0</v>
      </c>
      <c r="AD46" s="425">
        <v>0</v>
      </c>
      <c r="AE46" s="421">
        <v>0</v>
      </c>
      <c r="AF46" s="406">
        <v>0</v>
      </c>
      <c r="AG46" s="406">
        <v>0</v>
      </c>
      <c r="AH46" s="406">
        <v>0</v>
      </c>
      <c r="AI46" s="401"/>
      <c r="AJ46" s="401"/>
    </row>
    <row r="47" spans="2:36" ht="16" thickBot="1">
      <c r="B47" s="429" t="s">
        <v>499</v>
      </c>
      <c r="C47" s="437"/>
      <c r="D47" s="437"/>
      <c r="E47" s="437"/>
      <c r="F47" s="437"/>
      <c r="G47" s="437"/>
      <c r="H47" s="430"/>
      <c r="I47" s="430"/>
      <c r="J47" s="430"/>
      <c r="K47" s="430"/>
      <c r="L47" s="432"/>
      <c r="M47" s="394"/>
      <c r="Y47" s="362"/>
      <c r="Z47" s="396" t="s">
        <v>499</v>
      </c>
      <c r="AA47" s="397"/>
      <c r="AB47" s="397"/>
      <c r="AC47" s="397"/>
      <c r="AD47" s="397"/>
      <c r="AE47" s="397"/>
      <c r="AF47" s="397"/>
      <c r="AG47" s="397"/>
      <c r="AH47" s="397"/>
      <c r="AI47" s="397"/>
      <c r="AJ47" s="399"/>
    </row>
    <row r="48" spans="2:36" ht="16" thickBot="1">
      <c r="B48" s="433" t="s">
        <v>503</v>
      </c>
      <c r="C48" s="509">
        <f>C39/C$17*Euro</f>
        <v>2.2349999999999999</v>
      </c>
      <c r="D48" s="509">
        <f>D39/D$17*Euro</f>
        <v>2.179680963227391</v>
      </c>
      <c r="E48" s="509">
        <f>E39/E$17*Euro</f>
        <v>2.0731166453089633</v>
      </c>
      <c r="F48" s="509">
        <f>F39/F$17*Euro</f>
        <v>1.8753630441782456</v>
      </c>
      <c r="G48" s="401"/>
      <c r="H48" s="401"/>
      <c r="I48" s="401"/>
      <c r="J48" s="401"/>
      <c r="K48" s="401"/>
      <c r="L48" s="401"/>
      <c r="M48" s="394"/>
      <c r="Y48" s="362"/>
      <c r="Z48" s="433" t="s">
        <v>503</v>
      </c>
      <c r="AA48" s="471">
        <f>AA39/AA$17*Euro</f>
        <v>4.9356249999999999</v>
      </c>
      <c r="AB48" s="471">
        <f>AB39/AB$17*Euro</f>
        <v>4.8134621271271545</v>
      </c>
      <c r="AC48" s="471">
        <f>AC39/AC$17*Euro</f>
        <v>4.5781325917239606</v>
      </c>
      <c r="AD48" s="471">
        <f>AD39/AD$17*Euro</f>
        <v>4.1414267225602925</v>
      </c>
      <c r="AE48" s="401"/>
      <c r="AF48" s="401"/>
      <c r="AG48" s="401"/>
      <c r="AH48" s="401"/>
      <c r="AI48" s="401"/>
      <c r="AJ48" s="401"/>
    </row>
    <row r="49" spans="2:36" ht="16" thickBot="1">
      <c r="B49" s="433" t="s">
        <v>504</v>
      </c>
      <c r="C49" s="509">
        <f>C42/C$17*Euro</f>
        <v>0</v>
      </c>
      <c r="D49" s="509">
        <f>D42/D$17*Euro</f>
        <v>0</v>
      </c>
      <c r="E49" s="509">
        <f>E42/E$17*Euro</f>
        <v>0</v>
      </c>
      <c r="F49" s="509">
        <f>F42/F$17*Euro</f>
        <v>0</v>
      </c>
      <c r="G49" s="401"/>
      <c r="H49" s="401"/>
      <c r="I49" s="401"/>
      <c r="J49" s="401"/>
      <c r="K49" s="401"/>
      <c r="L49" s="401"/>
      <c r="M49" s="394"/>
      <c r="Y49" s="362"/>
      <c r="Z49" s="433" t="s">
        <v>504</v>
      </c>
      <c r="AA49" s="471">
        <f>AA42/AA$17*Euro</f>
        <v>0</v>
      </c>
      <c r="AB49" s="471">
        <f>AB42/AB$17*Euro</f>
        <v>0</v>
      </c>
      <c r="AC49" s="471">
        <f>AC42/AC$17*Euro</f>
        <v>0</v>
      </c>
      <c r="AD49" s="471">
        <f>AD42/AD$17*Euro</f>
        <v>0</v>
      </c>
      <c r="AE49" s="401"/>
      <c r="AF49" s="401"/>
      <c r="AG49" s="401"/>
      <c r="AH49" s="401"/>
      <c r="AI49" s="401"/>
      <c r="AJ49" s="401"/>
    </row>
    <row r="50" spans="2:36" ht="16" thickBot="1">
      <c r="B50" s="433"/>
      <c r="C50" s="479"/>
      <c r="D50" s="479"/>
      <c r="E50" s="479"/>
      <c r="F50" s="479"/>
      <c r="G50" s="401"/>
      <c r="H50" s="401"/>
      <c r="I50" s="401"/>
      <c r="J50" s="401"/>
      <c r="K50" s="401"/>
      <c r="L50" s="401"/>
      <c r="M50" s="394"/>
      <c r="Y50" s="362"/>
      <c r="Z50" s="433"/>
      <c r="AA50" s="434"/>
      <c r="AB50" s="434"/>
      <c r="AC50" s="434"/>
      <c r="AD50" s="434"/>
      <c r="AE50" s="401"/>
      <c r="AF50" s="401"/>
      <c r="AG50" s="401"/>
      <c r="AH50" s="401"/>
      <c r="AI50" s="401"/>
      <c r="AJ50" s="401"/>
    </row>
    <row r="51" spans="2:36" ht="16" thickBot="1">
      <c r="B51" s="453" t="s">
        <v>502</v>
      </c>
      <c r="C51" s="509">
        <f>C43/C17/1000*Euro</f>
        <v>3.7249999999999998E-2</v>
      </c>
      <c r="D51" s="509">
        <f>D43/D17/1000*Euro</f>
        <v>3.6328016053789852E-2</v>
      </c>
      <c r="E51" s="509">
        <f>E43/E17/1000*Euro</f>
        <v>3.4551944088482722E-2</v>
      </c>
      <c r="F51" s="509">
        <f>F43/F17/1000*Euro</f>
        <v>3.1256050736304095E-2</v>
      </c>
      <c r="G51" s="401"/>
      <c r="H51" s="401"/>
      <c r="I51" s="401"/>
      <c r="J51" s="401"/>
      <c r="K51" s="401"/>
      <c r="L51" s="401"/>
      <c r="M51" s="394"/>
      <c r="Y51" s="362"/>
      <c r="Z51" s="453" t="s">
        <v>502</v>
      </c>
      <c r="AA51" s="471">
        <f>AA43/AA17/1000*Euro</f>
        <v>2.3281250000000003E-2</v>
      </c>
      <c r="AB51" s="471">
        <f>AB43/AB17/1000*Euro</f>
        <v>2.2815625000000003E-2</v>
      </c>
      <c r="AC51" s="471">
        <f>AC43/AC17/1000*Euro</f>
        <v>2.141875E-2</v>
      </c>
      <c r="AD51" s="471">
        <f>AD43/AD17/1000*Euro</f>
        <v>1.9556250000000001E-2</v>
      </c>
      <c r="AE51" s="401"/>
      <c r="AF51" s="401"/>
      <c r="AG51" s="401"/>
      <c r="AH51" s="401"/>
      <c r="AI51" s="401"/>
      <c r="AJ51" s="401"/>
    </row>
    <row r="52" spans="2:36">
      <c r="B52" s="452" t="s">
        <v>505</v>
      </c>
      <c r="C52" s="508">
        <f>C46/3.6*Euro</f>
        <v>0</v>
      </c>
      <c r="D52" s="508">
        <f>D46/3.6*Euro</f>
        <v>0</v>
      </c>
      <c r="E52" s="508">
        <f>E46/3.6*Euro</f>
        <v>0</v>
      </c>
      <c r="F52" s="508">
        <f>F46/3.6*Euro</f>
        <v>0</v>
      </c>
      <c r="G52" s="404"/>
      <c r="H52" s="404"/>
      <c r="I52" s="404"/>
      <c r="J52" s="404"/>
      <c r="K52" s="404"/>
      <c r="L52" s="404"/>
      <c r="Z52" s="452" t="s">
        <v>505</v>
      </c>
      <c r="AA52" s="508">
        <f>AA46/3.6*Euro</f>
        <v>0</v>
      </c>
      <c r="AB52" s="508">
        <f>AB46/3.6*Euro</f>
        <v>0</v>
      </c>
      <c r="AC52" s="508">
        <f>AC46/3.6*Euro</f>
        <v>0</v>
      </c>
      <c r="AD52" s="508">
        <f>AD46/3.6*Euro</f>
        <v>0</v>
      </c>
      <c r="AE52" s="404"/>
      <c r="AF52" s="404"/>
      <c r="AG52" s="404"/>
      <c r="AH52" s="404"/>
      <c r="AI52" s="404"/>
      <c r="AJ52" s="404"/>
    </row>
    <row r="53" spans="2:36">
      <c r="B53" s="452"/>
      <c r="C53" s="436"/>
      <c r="D53" s="436"/>
      <c r="E53" s="436"/>
      <c r="F53" s="436"/>
    </row>
  </sheetData>
  <mergeCells count="23">
    <mergeCell ref="C33:F37"/>
    <mergeCell ref="L14:L15"/>
    <mergeCell ref="C13:L13"/>
    <mergeCell ref="B14:B15"/>
    <mergeCell ref="C14:C15"/>
    <mergeCell ref="D14:D15"/>
    <mergeCell ref="E14:E15"/>
    <mergeCell ref="F14:F15"/>
    <mergeCell ref="G14:H15"/>
    <mergeCell ref="I14:J15"/>
    <mergeCell ref="K14:K15"/>
    <mergeCell ref="AA33:AD37"/>
    <mergeCell ref="Z14:Z15"/>
    <mergeCell ref="AA14:AA15"/>
    <mergeCell ref="AB14:AB15"/>
    <mergeCell ref="AC14:AC15"/>
    <mergeCell ref="AD14:AD15"/>
    <mergeCell ref="B4:G4"/>
    <mergeCell ref="AA13:AJ13"/>
    <mergeCell ref="AE14:AF15"/>
    <mergeCell ref="AG14:AH15"/>
    <mergeCell ref="AI14:AI15"/>
    <mergeCell ref="AJ14:AJ15"/>
  </mergeCells>
  <pageMargins left="0.7" right="0.7" top="0.75" bottom="0.75" header="0.3" footer="0.3"/>
  <pageSetup paperSize="9"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sheetPr>
  <dimension ref="A1:AN66"/>
  <sheetViews>
    <sheetView zoomScale="90" zoomScaleNormal="90" workbookViewId="0">
      <selection activeCell="Q17" sqref="Q17"/>
    </sheetView>
  </sheetViews>
  <sheetFormatPr baseColWidth="10" defaultColWidth="8.83203125" defaultRowHeight="15"/>
  <cols>
    <col min="1" max="1" width="16.83203125" customWidth="1"/>
    <col min="2" max="2" width="36.6640625" customWidth="1"/>
    <col min="3" max="3" width="10.6640625" bestFit="1" customWidth="1"/>
    <col min="7" max="7" width="11.1640625" customWidth="1"/>
    <col min="8" max="8" width="12" customWidth="1"/>
    <col min="11" max="11" width="7.83203125" customWidth="1"/>
    <col min="26" max="26" width="30.6640625" customWidth="1"/>
  </cols>
  <sheetData>
    <row r="1" spans="2:40" s="111" customFormat="1">
      <c r="B1" s="8" t="s">
        <v>244</v>
      </c>
    </row>
    <row r="2" spans="2:40" s="111" customFormat="1" ht="16" thickBot="1">
      <c r="B2" s="1263" t="str">
        <f>C13</f>
        <v>Solar heating system - One-family house, existing building.</v>
      </c>
      <c r="C2" s="1264"/>
      <c r="D2" s="1264"/>
      <c r="E2" s="1264"/>
      <c r="F2" s="1264"/>
      <c r="G2" s="1265"/>
    </row>
    <row r="3" spans="2:40" s="427" customFormat="1">
      <c r="B3" s="351"/>
      <c r="C3" s="351"/>
      <c r="D3" s="351"/>
      <c r="E3" s="351"/>
      <c r="F3" s="351"/>
      <c r="G3" s="351"/>
      <c r="Z3" s="1260">
        <f>C40</f>
        <v>65</v>
      </c>
      <c r="AA3" s="1261"/>
      <c r="AB3" s="1261"/>
      <c r="AC3" s="1261"/>
      <c r="AD3" s="1261"/>
      <c r="AE3" s="1262"/>
      <c r="AF3" s="159"/>
      <c r="AG3" s="36"/>
      <c r="AH3"/>
      <c r="AI3"/>
      <c r="AJ3"/>
      <c r="AK3"/>
      <c r="AL3"/>
      <c r="AM3"/>
      <c r="AN3"/>
    </row>
    <row r="4" spans="2:40" s="427" customFormat="1" ht="16" thickBot="1">
      <c r="B4" s="351"/>
      <c r="C4" s="351"/>
      <c r="D4" s="351"/>
      <c r="E4" s="351"/>
      <c r="F4" s="351"/>
      <c r="G4" s="351"/>
      <c r="Z4" s="1263">
        <f>C41</f>
        <v>35</v>
      </c>
      <c r="AA4" s="1264"/>
      <c r="AB4" s="1264"/>
      <c r="AC4" s="1264"/>
      <c r="AD4" s="1264"/>
      <c r="AE4" s="1265"/>
      <c r="AF4"/>
      <c r="AG4"/>
      <c r="AH4"/>
      <c r="AI4"/>
      <c r="AJ4"/>
      <c r="AK4"/>
      <c r="AL4"/>
      <c r="AM4"/>
      <c r="AN4"/>
    </row>
    <row r="5" spans="2:40" s="427" customFormat="1" ht="31" thickTop="1">
      <c r="B5" s="132" t="s">
        <v>255</v>
      </c>
      <c r="C5" s="133" t="s">
        <v>256</v>
      </c>
      <c r="D5" s="134" t="s">
        <v>257</v>
      </c>
      <c r="E5" s="134" t="s">
        <v>259</v>
      </c>
      <c r="F5" s="135" t="s">
        <v>260</v>
      </c>
      <c r="G5" s="136" t="s">
        <v>261</v>
      </c>
      <c r="H5" s="136" t="s">
        <v>262</v>
      </c>
      <c r="I5" s="136" t="s">
        <v>263</v>
      </c>
      <c r="J5" s="136" t="s">
        <v>264</v>
      </c>
      <c r="K5" s="136" t="s">
        <v>265</v>
      </c>
      <c r="L5" s="136" t="s">
        <v>266</v>
      </c>
      <c r="M5" s="136" t="s">
        <v>267</v>
      </c>
      <c r="N5" s="136" t="s">
        <v>268</v>
      </c>
      <c r="O5" s="137" t="s">
        <v>269</v>
      </c>
      <c r="Z5" s="132" t="s">
        <v>255</v>
      </c>
      <c r="AA5" s="133" t="s">
        <v>256</v>
      </c>
      <c r="AB5" s="134" t="s">
        <v>257</v>
      </c>
      <c r="AC5" s="134" t="s">
        <v>259</v>
      </c>
      <c r="AD5" s="135" t="s">
        <v>260</v>
      </c>
      <c r="AE5" s="136" t="s">
        <v>261</v>
      </c>
      <c r="AF5" s="136" t="s">
        <v>262</v>
      </c>
      <c r="AG5" s="136" t="s">
        <v>263</v>
      </c>
      <c r="AH5" s="136" t="s">
        <v>264</v>
      </c>
      <c r="AI5" s="136" t="s">
        <v>265</v>
      </c>
      <c r="AJ5" s="136" t="s">
        <v>266</v>
      </c>
      <c r="AK5" s="136" t="s">
        <v>267</v>
      </c>
      <c r="AL5" s="136" t="s">
        <v>268</v>
      </c>
      <c r="AM5" s="137" t="s">
        <v>269</v>
      </c>
    </row>
    <row r="6" spans="2:40" s="111" customFormat="1" ht="16" thickBot="1">
      <c r="B6" s="138"/>
      <c r="C6" s="31"/>
      <c r="D6" s="32"/>
      <c r="E6" s="32"/>
      <c r="F6" s="33"/>
      <c r="G6" s="31"/>
      <c r="H6" s="31"/>
      <c r="I6" s="31"/>
      <c r="J6" s="31"/>
      <c r="K6" s="31"/>
      <c r="L6" s="31"/>
      <c r="M6" s="31"/>
      <c r="N6" s="31"/>
      <c r="O6" s="139"/>
      <c r="Q6" s="1308" t="s">
        <v>857</v>
      </c>
      <c r="R6" s="1308"/>
      <c r="S6" s="1308"/>
      <c r="T6" s="1308"/>
      <c r="U6" s="1308"/>
      <c r="V6" s="1308"/>
      <c r="W6" s="1308"/>
      <c r="Z6" s="138"/>
      <c r="AA6" s="31"/>
      <c r="AB6" s="32"/>
      <c r="AC6" s="32"/>
      <c r="AD6" s="33"/>
      <c r="AE6" s="31"/>
      <c r="AF6" s="31"/>
      <c r="AG6" s="31"/>
      <c r="AH6" s="31"/>
      <c r="AI6" s="31"/>
      <c r="AJ6" s="31"/>
      <c r="AK6" s="31"/>
      <c r="AL6" s="31"/>
      <c r="AM6" s="139"/>
    </row>
    <row r="7" spans="2:40">
      <c r="B7" s="140"/>
      <c r="C7" s="37"/>
      <c r="D7" s="38"/>
      <c r="E7" s="38"/>
      <c r="F7" s="37" t="s">
        <v>270</v>
      </c>
      <c r="G7" s="37" t="s">
        <v>252</v>
      </c>
      <c r="H7" s="37" t="s">
        <v>253</v>
      </c>
      <c r="I7" s="37" t="s">
        <v>271</v>
      </c>
      <c r="J7" s="37" t="s">
        <v>271</v>
      </c>
      <c r="K7" s="37" t="s">
        <v>272</v>
      </c>
      <c r="L7" s="37" t="s">
        <v>272</v>
      </c>
      <c r="M7" s="37" t="s">
        <v>272</v>
      </c>
      <c r="N7" s="37" t="s">
        <v>272</v>
      </c>
      <c r="O7" s="141" t="s">
        <v>272</v>
      </c>
      <c r="Q7" s="1308"/>
      <c r="R7" s="1308"/>
      <c r="S7" s="1308"/>
      <c r="T7" s="1308"/>
      <c r="U7" s="1308"/>
      <c r="V7" s="1308"/>
      <c r="W7" s="1308"/>
      <c r="Z7" s="140"/>
      <c r="AA7" s="37"/>
      <c r="AB7" s="38"/>
      <c r="AC7" s="38"/>
      <c r="AD7" s="37" t="s">
        <v>270</v>
      </c>
      <c r="AE7" s="37" t="s">
        <v>252</v>
      </c>
      <c r="AF7" s="37" t="s">
        <v>253</v>
      </c>
      <c r="AG7" s="37" t="s">
        <v>271</v>
      </c>
      <c r="AH7" s="37" t="s">
        <v>271</v>
      </c>
      <c r="AI7" s="37" t="s">
        <v>272</v>
      </c>
      <c r="AJ7" s="37" t="s">
        <v>272</v>
      </c>
      <c r="AK7" s="37" t="s">
        <v>272</v>
      </c>
      <c r="AL7" s="37" t="s">
        <v>272</v>
      </c>
      <c r="AM7" s="141" t="s">
        <v>272</v>
      </c>
    </row>
    <row r="8" spans="2:40">
      <c r="B8" s="39">
        <f>C14</f>
        <v>2015</v>
      </c>
      <c r="C8" s="39">
        <f>B8</f>
        <v>2015</v>
      </c>
      <c r="D8" s="39" t="e">
        <f>C22/100</f>
        <v>#VALUE!</v>
      </c>
      <c r="E8" s="39">
        <f>C25</f>
        <v>20</v>
      </c>
      <c r="F8" s="226">
        <f>C52</f>
        <v>7.1428571428571415</v>
      </c>
      <c r="G8" s="226">
        <f>C55</f>
        <v>0.10642857142857143</v>
      </c>
      <c r="H8" s="226">
        <f>C56</f>
        <v>8.3233536957951024</v>
      </c>
      <c r="J8" s="1175">
        <f>$C$50/$Q$9</f>
        <v>0.76190476190476175</v>
      </c>
      <c r="K8" s="39"/>
      <c r="L8" s="39"/>
      <c r="M8" s="39"/>
      <c r="N8" s="39"/>
      <c r="O8" s="142"/>
      <c r="Q8" t="s">
        <v>858</v>
      </c>
      <c r="R8" t="s">
        <v>859</v>
      </c>
      <c r="Z8" s="39">
        <f>AA14</f>
        <v>2015</v>
      </c>
      <c r="AA8" s="39">
        <f>Z8</f>
        <v>2015</v>
      </c>
      <c r="AB8" s="39" t="e">
        <f>AA22/100</f>
        <v>#VALUE!</v>
      </c>
      <c r="AC8" s="39">
        <f>AA25</f>
        <v>20</v>
      </c>
      <c r="AD8" s="226">
        <f>AA52</f>
        <v>4.5714285714285721</v>
      </c>
      <c r="AE8" s="226">
        <f>AA55</f>
        <v>1.0642857142857143E-2</v>
      </c>
      <c r="AF8" s="226">
        <f>AA56</f>
        <v>4.9940122174770618</v>
      </c>
      <c r="AG8" s="39"/>
      <c r="AH8" s="39"/>
      <c r="AI8" s="39"/>
      <c r="AJ8" s="39"/>
      <c r="AK8" s="39"/>
      <c r="AL8" s="39"/>
      <c r="AM8" s="142"/>
    </row>
    <row r="9" spans="2:40">
      <c r="B9" s="39">
        <f>D14</f>
        <v>2020</v>
      </c>
      <c r="C9" s="39"/>
      <c r="D9" s="39" t="e">
        <f>D22/100</f>
        <v>#VALUE!</v>
      </c>
      <c r="E9" s="39">
        <f>D25</f>
        <v>25</v>
      </c>
      <c r="F9" s="226">
        <f>D52</f>
        <v>6.4285714285714279</v>
      </c>
      <c r="G9" s="226">
        <f>D55</f>
        <v>0.1037943315822567</v>
      </c>
      <c r="H9" s="226">
        <f>D56</f>
        <v>8.6189851432178486</v>
      </c>
      <c r="J9" s="1175">
        <f>$D$50/$Q$10</f>
        <v>0.80952380952380953</v>
      </c>
      <c r="K9" s="39"/>
      <c r="L9" s="39"/>
      <c r="M9" s="39"/>
      <c r="N9" s="39"/>
      <c r="O9" s="142"/>
      <c r="Q9" s="1178">
        <v>750</v>
      </c>
      <c r="R9">
        <v>2012</v>
      </c>
      <c r="Z9" s="39">
        <f>AB14</f>
        <v>2020</v>
      </c>
      <c r="AA9" s="39"/>
      <c r="AB9" s="39" t="e">
        <f>AB22/100</f>
        <v>#VALUE!</v>
      </c>
      <c r="AC9" s="39">
        <f>AB25</f>
        <v>25</v>
      </c>
      <c r="AD9" s="226">
        <f>AB52</f>
        <v>4.2857142857142856</v>
      </c>
      <c r="AE9" s="226">
        <f>AB55</f>
        <v>1.0379433158225671E-2</v>
      </c>
      <c r="AF9" s="226">
        <f>AB56</f>
        <v>5.1713910859307095</v>
      </c>
      <c r="AG9" s="39"/>
      <c r="AH9" s="39"/>
      <c r="AI9" s="39"/>
      <c r="AJ9" s="39"/>
      <c r="AK9" s="39"/>
      <c r="AL9" s="39"/>
      <c r="AM9" s="142"/>
    </row>
    <row r="10" spans="2:40">
      <c r="B10" s="39">
        <f>E14</f>
        <v>2030</v>
      </c>
      <c r="C10" s="39"/>
      <c r="D10" s="39" t="e">
        <f>E22/100</f>
        <v>#VALUE!</v>
      </c>
      <c r="E10" s="39">
        <f>E25</f>
        <v>30</v>
      </c>
      <c r="F10" s="226">
        <f>E52</f>
        <v>5.9523809523809526</v>
      </c>
      <c r="G10" s="226">
        <f>E55</f>
        <v>9.8719840252807778E-2</v>
      </c>
      <c r="H10" s="226">
        <f>E56</f>
        <v>11.742630769541696</v>
      </c>
      <c r="J10" s="1175">
        <f>$E$50/$Q$10</f>
        <v>0.85714285714285698</v>
      </c>
      <c r="K10" s="39"/>
      <c r="L10" s="39"/>
      <c r="M10" s="39"/>
      <c r="N10" s="39"/>
      <c r="O10" s="142"/>
      <c r="Q10">
        <v>750</v>
      </c>
      <c r="R10">
        <v>2020</v>
      </c>
      <c r="Z10" s="39">
        <f>AC14</f>
        <v>2030</v>
      </c>
      <c r="AA10" s="39"/>
      <c r="AB10" s="39" t="e">
        <f>AC22/100</f>
        <v>#VALUE!</v>
      </c>
      <c r="AC10" s="39">
        <f>AC25</f>
        <v>30</v>
      </c>
      <c r="AD10" s="226">
        <f>AC52</f>
        <v>3.9285714285714284</v>
      </c>
      <c r="AE10" s="226">
        <f>AC55</f>
        <v>9.8446428571428574E-3</v>
      </c>
      <c r="AF10" s="226">
        <f>AC56</f>
        <v>7.0455784617250172</v>
      </c>
      <c r="AG10" s="39"/>
      <c r="AH10" s="39"/>
      <c r="AI10" s="39"/>
      <c r="AJ10" s="39"/>
      <c r="AK10" s="39"/>
      <c r="AL10" s="39"/>
      <c r="AM10" s="142"/>
    </row>
    <row r="11" spans="2:40" ht="16" thickBot="1">
      <c r="B11" s="39">
        <f>F14</f>
        <v>2050</v>
      </c>
      <c r="C11" s="39"/>
      <c r="D11" s="39" t="e">
        <f>F22/100</f>
        <v>#VALUE!</v>
      </c>
      <c r="E11" s="39">
        <f>F25</f>
        <v>30</v>
      </c>
      <c r="F11" s="226">
        <f>F52</f>
        <v>4.7619047619047619</v>
      </c>
      <c r="G11" s="226">
        <f>F55</f>
        <v>8.9303002103725979E-2</v>
      </c>
      <c r="H11" s="226">
        <f>F56</f>
        <v>17.103168588720809</v>
      </c>
      <c r="I11" s="143"/>
      <c r="J11" s="1175">
        <f>$F$50/$Q$10</f>
        <v>0.95238095238095233</v>
      </c>
      <c r="K11" s="143"/>
      <c r="L11" s="143"/>
      <c r="M11" s="143"/>
      <c r="N11" s="143"/>
      <c r="O11" s="144"/>
      <c r="Z11" s="39">
        <f>AD14</f>
        <v>2050</v>
      </c>
      <c r="AA11" s="39"/>
      <c r="AB11" s="39" t="e">
        <f>AD22/100</f>
        <v>#VALUE!</v>
      </c>
      <c r="AC11" s="39">
        <f>AD25</f>
        <v>30</v>
      </c>
      <c r="AD11" s="226">
        <f>AD52</f>
        <v>3.5714285714285716</v>
      </c>
      <c r="AE11" s="226">
        <f>AD55</f>
        <v>9.0464285714285716E-3</v>
      </c>
      <c r="AF11" s="226">
        <f>AD56</f>
        <v>10.261901153232486</v>
      </c>
      <c r="AG11" s="143"/>
      <c r="AH11" s="143"/>
      <c r="AI11" s="143"/>
      <c r="AJ11" s="143"/>
      <c r="AK11" s="143"/>
      <c r="AL11" s="143"/>
      <c r="AM11" s="144"/>
    </row>
    <row r="12" spans="2:40" ht="17" thickTop="1" thickBot="1">
      <c r="B12" s="473"/>
      <c r="C12" s="474"/>
      <c r="D12" s="475"/>
      <c r="E12" s="475"/>
      <c r="F12" s="475"/>
      <c r="G12" s="475"/>
      <c r="H12" s="476"/>
      <c r="J12" s="1260"/>
      <c r="K12" s="1261"/>
      <c r="L12" s="1261"/>
      <c r="M12" s="1261"/>
      <c r="N12" s="1261"/>
      <c r="O12" s="1262"/>
    </row>
    <row r="13" spans="2:40" ht="16" thickBot="1">
      <c r="B13" s="488" t="s">
        <v>0</v>
      </c>
      <c r="C13" s="1305" t="s">
        <v>551</v>
      </c>
      <c r="D13" s="1306"/>
      <c r="E13" s="1306"/>
      <c r="F13" s="1306"/>
      <c r="G13" s="1306"/>
      <c r="H13" s="1306"/>
      <c r="I13" s="1306"/>
      <c r="J13" s="1306"/>
      <c r="K13" s="1306"/>
      <c r="L13" s="1307"/>
      <c r="Z13" s="517" t="s">
        <v>0</v>
      </c>
      <c r="AA13" s="1305" t="s">
        <v>559</v>
      </c>
      <c r="AB13" s="1306"/>
      <c r="AC13" s="1306"/>
      <c r="AD13" s="1306"/>
      <c r="AE13" s="1306"/>
      <c r="AF13" s="1306"/>
      <c r="AG13" s="1306"/>
      <c r="AH13" s="1306"/>
      <c r="AI13" s="1306"/>
      <c r="AJ13" s="1307"/>
    </row>
    <row r="14" spans="2:40">
      <c r="B14" s="1301"/>
      <c r="C14" s="1303">
        <v>2015</v>
      </c>
      <c r="D14" s="1303">
        <v>2020</v>
      </c>
      <c r="E14" s="1303">
        <v>2030</v>
      </c>
      <c r="F14" s="1303">
        <v>2050</v>
      </c>
      <c r="G14" s="1297" t="s">
        <v>467</v>
      </c>
      <c r="H14" s="1298"/>
      <c r="I14" s="1297" t="s">
        <v>468</v>
      </c>
      <c r="J14" s="1298"/>
      <c r="K14" s="1303" t="s">
        <v>2</v>
      </c>
      <c r="L14" s="1303" t="s">
        <v>3</v>
      </c>
      <c r="Z14" s="1301"/>
      <c r="AA14" s="1303">
        <v>2015</v>
      </c>
      <c r="AB14" s="1303">
        <v>2020</v>
      </c>
      <c r="AC14" s="1303">
        <v>2030</v>
      </c>
      <c r="AD14" s="1303">
        <v>2050</v>
      </c>
      <c r="AE14" s="1297" t="s">
        <v>467</v>
      </c>
      <c r="AF14" s="1298"/>
      <c r="AG14" s="1297" t="s">
        <v>468</v>
      </c>
      <c r="AH14" s="1298"/>
      <c r="AI14" s="1303" t="s">
        <v>2</v>
      </c>
      <c r="AJ14" s="1303" t="s">
        <v>3</v>
      </c>
    </row>
    <row r="15" spans="2:40" ht="16" thickBot="1">
      <c r="B15" s="1302"/>
      <c r="C15" s="1304"/>
      <c r="D15" s="1304"/>
      <c r="E15" s="1304"/>
      <c r="F15" s="1304"/>
      <c r="G15" s="1299"/>
      <c r="H15" s="1300"/>
      <c r="I15" s="1299"/>
      <c r="J15" s="1300"/>
      <c r="K15" s="1304"/>
      <c r="L15" s="1304"/>
      <c r="Z15" s="1302"/>
      <c r="AA15" s="1304"/>
      <c r="AB15" s="1304"/>
      <c r="AC15" s="1304"/>
      <c r="AD15" s="1304"/>
      <c r="AE15" s="1299"/>
      <c r="AF15" s="1300"/>
      <c r="AG15" s="1299"/>
      <c r="AH15" s="1300"/>
      <c r="AI15" s="1304"/>
      <c r="AJ15" s="1304"/>
    </row>
    <row r="16" spans="2:40" ht="16" thickBot="1">
      <c r="B16" s="489" t="s">
        <v>4</v>
      </c>
      <c r="C16" s="490"/>
      <c r="D16" s="490"/>
      <c r="E16" s="490"/>
      <c r="F16" s="490"/>
      <c r="G16" s="491" t="s">
        <v>469</v>
      </c>
      <c r="H16" s="491" t="s">
        <v>470</v>
      </c>
      <c r="I16" s="491" t="s">
        <v>469</v>
      </c>
      <c r="J16" s="491" t="s">
        <v>470</v>
      </c>
      <c r="K16" s="490"/>
      <c r="L16" s="492"/>
      <c r="Z16" s="518" t="s">
        <v>4</v>
      </c>
      <c r="AA16" s="519"/>
      <c r="AB16" s="519"/>
      <c r="AC16" s="519"/>
      <c r="AD16" s="519"/>
      <c r="AE16" s="520" t="s">
        <v>469</v>
      </c>
      <c r="AF16" s="520" t="s">
        <v>470</v>
      </c>
      <c r="AG16" s="520" t="s">
        <v>469</v>
      </c>
      <c r="AH16" s="520" t="s">
        <v>470</v>
      </c>
      <c r="AI16" s="519"/>
      <c r="AJ16" s="521"/>
    </row>
    <row r="17" spans="1:36" ht="16" thickBot="1">
      <c r="B17" s="487" t="s">
        <v>5</v>
      </c>
      <c r="C17" s="497">
        <v>4.2</v>
      </c>
      <c r="D17" s="497">
        <v>4.2</v>
      </c>
      <c r="E17" s="497">
        <v>4.2</v>
      </c>
      <c r="F17" s="497">
        <v>4.2</v>
      </c>
      <c r="G17" s="497">
        <v>3</v>
      </c>
      <c r="H17" s="497">
        <v>6</v>
      </c>
      <c r="I17" s="497">
        <v>3</v>
      </c>
      <c r="J17" s="497">
        <v>6</v>
      </c>
      <c r="K17" s="497" t="s">
        <v>552</v>
      </c>
      <c r="L17" s="497">
        <v>1</v>
      </c>
      <c r="Z17" s="532" t="s">
        <v>5</v>
      </c>
      <c r="AA17" s="531">
        <v>140</v>
      </c>
      <c r="AB17" s="531">
        <v>140</v>
      </c>
      <c r="AC17" s="531">
        <v>140</v>
      </c>
      <c r="AD17" s="531">
        <v>140</v>
      </c>
      <c r="AE17" s="531">
        <v>100</v>
      </c>
      <c r="AF17" s="531">
        <v>200</v>
      </c>
      <c r="AG17" s="531">
        <v>100</v>
      </c>
      <c r="AH17" s="531">
        <v>200</v>
      </c>
      <c r="AI17" s="531" t="s">
        <v>552</v>
      </c>
      <c r="AJ17" s="531">
        <v>1</v>
      </c>
    </row>
    <row r="18" spans="1:36" ht="16" thickBot="1">
      <c r="B18" s="487" t="s">
        <v>77</v>
      </c>
      <c r="C18" s="497">
        <v>0</v>
      </c>
      <c r="D18" s="497">
        <v>0</v>
      </c>
      <c r="E18" s="497">
        <v>0</v>
      </c>
      <c r="F18" s="497">
        <v>0</v>
      </c>
      <c r="G18" s="497">
        <v>0</v>
      </c>
      <c r="H18" s="497">
        <v>0</v>
      </c>
      <c r="I18" s="497">
        <v>0</v>
      </c>
      <c r="J18" s="497">
        <v>0</v>
      </c>
      <c r="K18" s="497"/>
      <c r="L18" s="497"/>
      <c r="Z18" s="532" t="s">
        <v>77</v>
      </c>
      <c r="AA18" s="531">
        <v>0</v>
      </c>
      <c r="AB18" s="531">
        <v>0</v>
      </c>
      <c r="AC18" s="531">
        <v>0</v>
      </c>
      <c r="AD18" s="531">
        <v>0</v>
      </c>
      <c r="AE18" s="531">
        <v>0</v>
      </c>
      <c r="AF18" s="531">
        <v>0</v>
      </c>
      <c r="AG18" s="531">
        <v>0</v>
      </c>
      <c r="AH18" s="531">
        <v>0</v>
      </c>
      <c r="AI18" s="531"/>
      <c r="AJ18" s="531"/>
    </row>
    <row r="19" spans="1:36" ht="25" thickBot="1">
      <c r="B19" s="487" t="s">
        <v>7</v>
      </c>
      <c r="C19" s="497">
        <v>5</v>
      </c>
      <c r="D19" s="497">
        <v>5</v>
      </c>
      <c r="E19" s="497">
        <v>5</v>
      </c>
      <c r="F19" s="497">
        <v>5</v>
      </c>
      <c r="G19" s="497">
        <v>0</v>
      </c>
      <c r="H19" s="497">
        <v>10</v>
      </c>
      <c r="I19" s="497">
        <v>0</v>
      </c>
      <c r="J19" s="497">
        <v>10</v>
      </c>
      <c r="K19" s="497" t="s">
        <v>553</v>
      </c>
      <c r="L19" s="497">
        <v>1</v>
      </c>
      <c r="Z19" s="532" t="s">
        <v>7</v>
      </c>
      <c r="AA19" s="531">
        <v>0</v>
      </c>
      <c r="AB19" s="531">
        <v>0</v>
      </c>
      <c r="AC19" s="531">
        <v>0</v>
      </c>
      <c r="AD19" s="531">
        <v>0</v>
      </c>
      <c r="AE19" s="531">
        <v>0</v>
      </c>
      <c r="AF19" s="531">
        <v>0</v>
      </c>
      <c r="AG19" s="531">
        <v>0</v>
      </c>
      <c r="AH19" s="531">
        <v>0</v>
      </c>
      <c r="AI19" s="531" t="s">
        <v>553</v>
      </c>
      <c r="AJ19" s="531">
        <v>1</v>
      </c>
    </row>
    <row r="20" spans="1:36" ht="25" thickBot="1">
      <c r="B20" s="487" t="s">
        <v>8</v>
      </c>
      <c r="C20" s="497">
        <v>65</v>
      </c>
      <c r="D20" s="497">
        <v>65</v>
      </c>
      <c r="E20" s="497">
        <v>65</v>
      </c>
      <c r="F20" s="497">
        <v>65</v>
      </c>
      <c r="G20" s="497">
        <v>40</v>
      </c>
      <c r="H20" s="497">
        <v>70</v>
      </c>
      <c r="I20" s="497">
        <v>40</v>
      </c>
      <c r="J20" s="497">
        <v>70</v>
      </c>
      <c r="K20" s="497" t="s">
        <v>553</v>
      </c>
      <c r="L20" s="497">
        <v>1</v>
      </c>
      <c r="Z20" s="532" t="s">
        <v>8</v>
      </c>
      <c r="AA20" s="531">
        <v>65</v>
      </c>
      <c r="AB20" s="531">
        <v>65</v>
      </c>
      <c r="AC20" s="531">
        <v>65</v>
      </c>
      <c r="AD20" s="531">
        <v>65</v>
      </c>
      <c r="AE20" s="531">
        <v>40</v>
      </c>
      <c r="AF20" s="531">
        <v>70</v>
      </c>
      <c r="AG20" s="531">
        <v>40</v>
      </c>
      <c r="AH20" s="531">
        <v>70</v>
      </c>
      <c r="AI20" s="531" t="s">
        <v>553</v>
      </c>
      <c r="AJ20" s="531">
        <v>1</v>
      </c>
    </row>
    <row r="21" spans="1:36" ht="16" thickBot="1">
      <c r="B21" s="487" t="s">
        <v>82</v>
      </c>
      <c r="C21" s="497" t="s">
        <v>47</v>
      </c>
      <c r="D21" s="497" t="s">
        <v>47</v>
      </c>
      <c r="E21" s="497" t="s">
        <v>47</v>
      </c>
      <c r="F21" s="497" t="s">
        <v>47</v>
      </c>
      <c r="G21" s="497" t="s">
        <v>47</v>
      </c>
      <c r="H21" s="497" t="s">
        <v>47</v>
      </c>
      <c r="I21" s="497" t="s">
        <v>47</v>
      </c>
      <c r="J21" s="497" t="s">
        <v>47</v>
      </c>
      <c r="K21" s="497"/>
      <c r="L21" s="497"/>
      <c r="Z21" s="532" t="s">
        <v>82</v>
      </c>
      <c r="AA21" s="531" t="s">
        <v>47</v>
      </c>
      <c r="AB21" s="531" t="s">
        <v>47</v>
      </c>
      <c r="AC21" s="531" t="s">
        <v>47</v>
      </c>
      <c r="AD21" s="531" t="s">
        <v>47</v>
      </c>
      <c r="AE21" s="531" t="s">
        <v>47</v>
      </c>
      <c r="AF21" s="531" t="s">
        <v>47</v>
      </c>
      <c r="AG21" s="531" t="s">
        <v>47</v>
      </c>
      <c r="AH21" s="531" t="s">
        <v>47</v>
      </c>
      <c r="AI21" s="531"/>
      <c r="AJ21" s="531"/>
    </row>
    <row r="22" spans="1:36" ht="16" thickBot="1">
      <c r="B22" s="487" t="s">
        <v>86</v>
      </c>
      <c r="C22" s="497" t="s">
        <v>47</v>
      </c>
      <c r="D22" s="497" t="s">
        <v>47</v>
      </c>
      <c r="E22" s="497" t="s">
        <v>47</v>
      </c>
      <c r="F22" s="497" t="s">
        <v>47</v>
      </c>
      <c r="G22" s="497" t="s">
        <v>47</v>
      </c>
      <c r="H22" s="497" t="s">
        <v>47</v>
      </c>
      <c r="I22" s="497" t="s">
        <v>47</v>
      </c>
      <c r="J22" s="497" t="s">
        <v>47</v>
      </c>
      <c r="K22" s="497"/>
      <c r="L22" s="497"/>
      <c r="Z22" s="532" t="s">
        <v>86</v>
      </c>
      <c r="AA22" s="531" t="s">
        <v>47</v>
      </c>
      <c r="AB22" s="531" t="s">
        <v>47</v>
      </c>
      <c r="AC22" s="531" t="s">
        <v>47</v>
      </c>
      <c r="AD22" s="531" t="s">
        <v>47</v>
      </c>
      <c r="AE22" s="531" t="s">
        <v>47</v>
      </c>
      <c r="AF22" s="531" t="s">
        <v>47</v>
      </c>
      <c r="AG22" s="531" t="s">
        <v>47</v>
      </c>
      <c r="AH22" s="531" t="s">
        <v>47</v>
      </c>
      <c r="AI22" s="531"/>
      <c r="AJ22" s="531"/>
    </row>
    <row r="23" spans="1:36" ht="16" thickBot="1">
      <c r="B23" s="487" t="s">
        <v>9</v>
      </c>
      <c r="C23" s="497" t="s">
        <v>47</v>
      </c>
      <c r="D23" s="497" t="s">
        <v>47</v>
      </c>
      <c r="E23" s="497" t="s">
        <v>47</v>
      </c>
      <c r="F23" s="497" t="s">
        <v>47</v>
      </c>
      <c r="G23" s="497" t="s">
        <v>47</v>
      </c>
      <c r="H23" s="497" t="s">
        <v>47</v>
      </c>
      <c r="I23" s="497" t="s">
        <v>47</v>
      </c>
      <c r="J23" s="497" t="s">
        <v>47</v>
      </c>
      <c r="K23" s="497"/>
      <c r="L23" s="497"/>
      <c r="Z23" s="532" t="s">
        <v>9</v>
      </c>
      <c r="AA23" s="531" t="s">
        <v>47</v>
      </c>
      <c r="AB23" s="531" t="s">
        <v>47</v>
      </c>
      <c r="AC23" s="531" t="s">
        <v>47</v>
      </c>
      <c r="AD23" s="531" t="s">
        <v>47</v>
      </c>
      <c r="AE23" s="531" t="s">
        <v>47</v>
      </c>
      <c r="AF23" s="531" t="s">
        <v>47</v>
      </c>
      <c r="AG23" s="531" t="s">
        <v>47</v>
      </c>
      <c r="AH23" s="531" t="s">
        <v>47</v>
      </c>
      <c r="AI23" s="531"/>
      <c r="AJ23" s="531"/>
    </row>
    <row r="24" spans="1:36" ht="16" thickBot="1">
      <c r="A24">
        <f>4.2*850</f>
        <v>3570</v>
      </c>
      <c r="B24" s="487" t="s">
        <v>472</v>
      </c>
      <c r="C24" s="497">
        <v>150</v>
      </c>
      <c r="D24" s="497">
        <v>150</v>
      </c>
      <c r="E24" s="497">
        <v>150</v>
      </c>
      <c r="F24" s="497">
        <v>150</v>
      </c>
      <c r="G24" s="497">
        <v>75</v>
      </c>
      <c r="H24" s="497">
        <v>200</v>
      </c>
      <c r="I24" s="497">
        <v>100</v>
      </c>
      <c r="J24" s="497">
        <v>200</v>
      </c>
      <c r="K24" s="497"/>
      <c r="L24" s="497"/>
      <c r="Z24" s="532" t="s">
        <v>472</v>
      </c>
      <c r="AA24" s="531">
        <v>3000</v>
      </c>
      <c r="AB24" s="531">
        <v>3000</v>
      </c>
      <c r="AC24" s="531">
        <v>3000</v>
      </c>
      <c r="AD24" s="531">
        <v>3000</v>
      </c>
      <c r="AE24" s="531">
        <v>2000</v>
      </c>
      <c r="AF24" s="531">
        <v>4000</v>
      </c>
      <c r="AG24" s="531">
        <v>2000</v>
      </c>
      <c r="AH24" s="531">
        <v>4000</v>
      </c>
      <c r="AI24" s="531"/>
      <c r="AJ24" s="531"/>
    </row>
    <row r="25" spans="1:36" ht="16" thickBot="1">
      <c r="B25" s="487" t="s">
        <v>10</v>
      </c>
      <c r="C25" s="497">
        <v>20</v>
      </c>
      <c r="D25" s="497">
        <v>25</v>
      </c>
      <c r="E25" s="497">
        <v>30</v>
      </c>
      <c r="F25" s="497">
        <v>30</v>
      </c>
      <c r="G25" s="497">
        <v>20</v>
      </c>
      <c r="H25" s="497">
        <v>30</v>
      </c>
      <c r="I25" s="497">
        <v>25</v>
      </c>
      <c r="J25" s="497">
        <v>35</v>
      </c>
      <c r="K25" s="497" t="s">
        <v>15</v>
      </c>
      <c r="L25" s="497">
        <v>1</v>
      </c>
      <c r="Z25" s="532" t="s">
        <v>10</v>
      </c>
      <c r="AA25" s="531">
        <v>20</v>
      </c>
      <c r="AB25" s="531">
        <v>25</v>
      </c>
      <c r="AC25" s="531">
        <v>30</v>
      </c>
      <c r="AD25" s="531">
        <v>30</v>
      </c>
      <c r="AE25" s="531">
        <v>20</v>
      </c>
      <c r="AF25" s="531">
        <v>30</v>
      </c>
      <c r="AG25" s="531">
        <v>25</v>
      </c>
      <c r="AH25" s="531">
        <v>35</v>
      </c>
      <c r="AI25" s="531" t="s">
        <v>15</v>
      </c>
      <c r="AJ25" s="531">
        <v>1</v>
      </c>
    </row>
    <row r="26" spans="1:36" ht="16" thickBot="1">
      <c r="B26" s="489" t="s">
        <v>488</v>
      </c>
      <c r="C26" s="498"/>
      <c r="D26" s="498"/>
      <c r="E26" s="498"/>
      <c r="F26" s="498"/>
      <c r="G26" s="498"/>
      <c r="H26" s="498"/>
      <c r="I26" s="498"/>
      <c r="J26" s="498"/>
      <c r="K26" s="498"/>
      <c r="L26" s="497"/>
      <c r="Z26" s="535" t="s">
        <v>488</v>
      </c>
      <c r="AA26" s="533"/>
      <c r="AB26" s="533"/>
      <c r="AC26" s="533"/>
      <c r="AD26" s="533"/>
      <c r="AE26" s="533"/>
      <c r="AF26" s="533"/>
      <c r="AG26" s="533"/>
      <c r="AH26" s="533"/>
      <c r="AI26" s="533"/>
      <c r="AJ26" s="531"/>
    </row>
    <row r="27" spans="1:36" ht="16" thickBot="1">
      <c r="B27" s="487" t="s">
        <v>489</v>
      </c>
      <c r="C27" s="493" t="s">
        <v>47</v>
      </c>
      <c r="D27" s="493" t="s">
        <v>47</v>
      </c>
      <c r="E27" s="493" t="s">
        <v>47</v>
      </c>
      <c r="F27" s="493" t="s">
        <v>47</v>
      </c>
      <c r="G27" s="493" t="s">
        <v>47</v>
      </c>
      <c r="H27" s="493" t="s">
        <v>47</v>
      </c>
      <c r="I27" s="493" t="s">
        <v>47</v>
      </c>
      <c r="J27" s="493" t="s">
        <v>47</v>
      </c>
      <c r="K27" s="497"/>
      <c r="L27" s="497"/>
      <c r="Z27" s="532" t="s">
        <v>489</v>
      </c>
      <c r="AA27" s="524" t="s">
        <v>47</v>
      </c>
      <c r="AB27" s="524" t="s">
        <v>47</v>
      </c>
      <c r="AC27" s="524" t="s">
        <v>47</v>
      </c>
      <c r="AD27" s="524" t="s">
        <v>47</v>
      </c>
      <c r="AE27" s="524" t="s">
        <v>47</v>
      </c>
      <c r="AF27" s="524" t="s">
        <v>47</v>
      </c>
      <c r="AG27" s="524" t="s">
        <v>47</v>
      </c>
      <c r="AH27" s="524" t="s">
        <v>47</v>
      </c>
      <c r="AI27" s="531"/>
      <c r="AJ27" s="531"/>
    </row>
    <row r="28" spans="1:36" ht="16" thickBot="1">
      <c r="B28" s="487" t="s">
        <v>490</v>
      </c>
      <c r="C28" s="493" t="s">
        <v>47</v>
      </c>
      <c r="D28" s="493" t="s">
        <v>47</v>
      </c>
      <c r="E28" s="493" t="s">
        <v>47</v>
      </c>
      <c r="F28" s="493" t="s">
        <v>47</v>
      </c>
      <c r="G28" s="493" t="s">
        <v>47</v>
      </c>
      <c r="H28" s="493" t="s">
        <v>47</v>
      </c>
      <c r="I28" s="493" t="s">
        <v>47</v>
      </c>
      <c r="J28" s="493" t="s">
        <v>47</v>
      </c>
      <c r="K28" s="497"/>
      <c r="L28" s="497"/>
      <c r="Z28" s="532" t="s">
        <v>490</v>
      </c>
      <c r="AA28" s="524" t="s">
        <v>47</v>
      </c>
      <c r="AB28" s="524" t="s">
        <v>47</v>
      </c>
      <c r="AC28" s="524" t="s">
        <v>47</v>
      </c>
      <c r="AD28" s="524" t="s">
        <v>47</v>
      </c>
      <c r="AE28" s="524" t="s">
        <v>47</v>
      </c>
      <c r="AF28" s="524" t="s">
        <v>47</v>
      </c>
      <c r="AG28" s="524" t="s">
        <v>47</v>
      </c>
      <c r="AH28" s="524" t="s">
        <v>47</v>
      </c>
      <c r="AI28" s="531"/>
      <c r="AJ28" s="531"/>
    </row>
    <row r="29" spans="1:36" ht="16" thickBot="1">
      <c r="B29" s="487" t="s">
        <v>491</v>
      </c>
      <c r="C29" s="493" t="s">
        <v>47</v>
      </c>
      <c r="D29" s="493" t="s">
        <v>47</v>
      </c>
      <c r="E29" s="493" t="s">
        <v>47</v>
      </c>
      <c r="F29" s="493" t="s">
        <v>47</v>
      </c>
      <c r="G29" s="493" t="s">
        <v>47</v>
      </c>
      <c r="H29" s="493" t="s">
        <v>47</v>
      </c>
      <c r="I29" s="493" t="s">
        <v>47</v>
      </c>
      <c r="J29" s="493" t="s">
        <v>47</v>
      </c>
      <c r="K29" s="497"/>
      <c r="L29" s="497"/>
      <c r="Z29" s="532" t="s">
        <v>491</v>
      </c>
      <c r="AA29" s="524" t="s">
        <v>47</v>
      </c>
      <c r="AB29" s="524" t="s">
        <v>47</v>
      </c>
      <c r="AC29" s="524" t="s">
        <v>47</v>
      </c>
      <c r="AD29" s="524" t="s">
        <v>47</v>
      </c>
      <c r="AE29" s="524" t="s">
        <v>47</v>
      </c>
      <c r="AF29" s="524" t="s">
        <v>47</v>
      </c>
      <c r="AG29" s="524" t="s">
        <v>47</v>
      </c>
      <c r="AH29" s="524" t="s">
        <v>47</v>
      </c>
      <c r="AI29" s="531"/>
      <c r="AJ29" s="531"/>
    </row>
    <row r="30" spans="1:36" ht="16" thickBot="1">
      <c r="B30" s="487" t="s">
        <v>492</v>
      </c>
      <c r="C30" s="493" t="s">
        <v>47</v>
      </c>
      <c r="D30" s="493" t="s">
        <v>47</v>
      </c>
      <c r="E30" s="493" t="s">
        <v>47</v>
      </c>
      <c r="F30" s="493" t="s">
        <v>47</v>
      </c>
      <c r="G30" s="493" t="s">
        <v>47</v>
      </c>
      <c r="H30" s="493" t="s">
        <v>47</v>
      </c>
      <c r="I30" s="493" t="s">
        <v>47</v>
      </c>
      <c r="J30" s="493" t="s">
        <v>47</v>
      </c>
      <c r="K30" s="497"/>
      <c r="L30" s="497"/>
      <c r="Z30" s="532" t="s">
        <v>492</v>
      </c>
      <c r="AA30" s="524" t="s">
        <v>47</v>
      </c>
      <c r="AB30" s="524" t="s">
        <v>47</v>
      </c>
      <c r="AC30" s="524" t="s">
        <v>47</v>
      </c>
      <c r="AD30" s="524" t="s">
        <v>47</v>
      </c>
      <c r="AE30" s="524" t="s">
        <v>47</v>
      </c>
      <c r="AF30" s="524" t="s">
        <v>47</v>
      </c>
      <c r="AG30" s="524" t="s">
        <v>47</v>
      </c>
      <c r="AH30" s="524" t="s">
        <v>47</v>
      </c>
      <c r="AI30" s="531"/>
      <c r="AJ30" s="531"/>
    </row>
    <row r="31" spans="1:36" ht="17" thickTop="1" thickBot="1">
      <c r="B31" s="487" t="s">
        <v>493</v>
      </c>
      <c r="C31" s="493" t="s">
        <v>47</v>
      </c>
      <c r="D31" s="493" t="s">
        <v>47</v>
      </c>
      <c r="E31" s="493" t="s">
        <v>47</v>
      </c>
      <c r="F31" s="493" t="s">
        <v>47</v>
      </c>
      <c r="G31" s="493" t="s">
        <v>47</v>
      </c>
      <c r="H31" s="493" t="s">
        <v>47</v>
      </c>
      <c r="I31" s="493" t="s">
        <v>47</v>
      </c>
      <c r="J31" s="493" t="s">
        <v>47</v>
      </c>
      <c r="K31" s="497"/>
      <c r="L31" s="497"/>
      <c r="M31" s="153"/>
      <c r="N31" s="153"/>
      <c r="O31" s="154"/>
      <c r="P31" s="152"/>
      <c r="Z31" s="532" t="s">
        <v>493</v>
      </c>
      <c r="AA31" s="524" t="s">
        <v>47</v>
      </c>
      <c r="AB31" s="524" t="s">
        <v>47</v>
      </c>
      <c r="AC31" s="524" t="s">
        <v>47</v>
      </c>
      <c r="AD31" s="524" t="s">
        <v>47</v>
      </c>
      <c r="AE31" s="524" t="s">
        <v>47</v>
      </c>
      <c r="AF31" s="524" t="s">
        <v>47</v>
      </c>
      <c r="AG31" s="524" t="s">
        <v>47</v>
      </c>
      <c r="AH31" s="524" t="s">
        <v>47</v>
      </c>
      <c r="AI31" s="531"/>
      <c r="AJ31" s="531"/>
    </row>
    <row r="32" spans="1:36" ht="16" thickBot="1">
      <c r="B32" s="489" t="s">
        <v>11</v>
      </c>
      <c r="C32" s="501"/>
      <c r="D32" s="501"/>
      <c r="E32" s="501"/>
      <c r="F32" s="501"/>
      <c r="G32" s="501"/>
      <c r="H32" s="501"/>
      <c r="I32" s="501"/>
      <c r="J32" s="501"/>
      <c r="K32" s="501"/>
      <c r="L32" s="502"/>
      <c r="M32" s="36"/>
      <c r="N32" s="36"/>
      <c r="O32" s="157"/>
      <c r="Z32" s="535" t="s">
        <v>11</v>
      </c>
      <c r="AA32" s="536"/>
      <c r="AB32" s="536"/>
      <c r="AC32" s="536"/>
      <c r="AD32" s="536"/>
      <c r="AE32" s="536"/>
      <c r="AF32" s="536"/>
      <c r="AG32" s="536"/>
      <c r="AH32" s="536"/>
      <c r="AI32" s="536"/>
      <c r="AJ32" s="537"/>
    </row>
    <row r="33" spans="2:36" ht="16" thickBot="1">
      <c r="B33" s="487" t="s">
        <v>474</v>
      </c>
      <c r="C33" s="497">
        <v>0</v>
      </c>
      <c r="D33" s="497">
        <v>0</v>
      </c>
      <c r="E33" s="497">
        <v>0</v>
      </c>
      <c r="F33" s="497">
        <v>0</v>
      </c>
      <c r="G33" s="497">
        <v>0</v>
      </c>
      <c r="H33" s="497">
        <v>0</v>
      </c>
      <c r="I33" s="497">
        <v>0</v>
      </c>
      <c r="J33" s="497">
        <v>0</v>
      </c>
      <c r="K33" s="497"/>
      <c r="L33" s="497"/>
      <c r="M33" s="36"/>
      <c r="N33" s="36"/>
      <c r="O33" s="157"/>
      <c r="P33" s="113"/>
      <c r="Z33" s="532" t="s">
        <v>494</v>
      </c>
      <c r="AA33" s="531">
        <v>0</v>
      </c>
      <c r="AB33" s="531">
        <v>0</v>
      </c>
      <c r="AC33" s="531">
        <v>0</v>
      </c>
      <c r="AD33" s="531">
        <v>0</v>
      </c>
      <c r="AE33" s="531">
        <v>0</v>
      </c>
      <c r="AF33" s="531">
        <v>0</v>
      </c>
      <c r="AG33" s="531">
        <v>0</v>
      </c>
      <c r="AH33" s="531">
        <v>0</v>
      </c>
      <c r="AI33" s="531"/>
      <c r="AJ33" s="531"/>
    </row>
    <row r="34" spans="2:36" ht="16" thickBot="1">
      <c r="B34" s="487" t="s">
        <v>475</v>
      </c>
      <c r="C34" s="497">
        <v>0</v>
      </c>
      <c r="D34" s="497">
        <v>0</v>
      </c>
      <c r="E34" s="497">
        <v>0</v>
      </c>
      <c r="F34" s="497">
        <v>0</v>
      </c>
      <c r="G34" s="497">
        <v>0</v>
      </c>
      <c r="H34" s="497">
        <v>0</v>
      </c>
      <c r="I34" s="497">
        <v>0</v>
      </c>
      <c r="J34" s="497">
        <v>0</v>
      </c>
      <c r="K34" s="497"/>
      <c r="L34" s="497"/>
      <c r="M34" s="36"/>
      <c r="N34" s="36"/>
      <c r="O34" s="157"/>
      <c r="Z34" s="532" t="s">
        <v>495</v>
      </c>
      <c r="AA34" s="531">
        <v>0</v>
      </c>
      <c r="AB34" s="531">
        <v>0</v>
      </c>
      <c r="AC34" s="531">
        <v>0</v>
      </c>
      <c r="AD34" s="531">
        <v>0</v>
      </c>
      <c r="AE34" s="531">
        <v>0</v>
      </c>
      <c r="AF34" s="531">
        <v>0</v>
      </c>
      <c r="AG34" s="531">
        <v>0</v>
      </c>
      <c r="AH34" s="531">
        <v>0</v>
      </c>
      <c r="AI34" s="531"/>
      <c r="AJ34" s="531"/>
    </row>
    <row r="35" spans="2:36" ht="16" thickBot="1">
      <c r="B35" s="487" t="s">
        <v>476</v>
      </c>
      <c r="C35" s="497">
        <v>0</v>
      </c>
      <c r="D35" s="497">
        <v>0</v>
      </c>
      <c r="E35" s="497">
        <v>0</v>
      </c>
      <c r="F35" s="497">
        <v>0</v>
      </c>
      <c r="G35" s="497">
        <v>0</v>
      </c>
      <c r="H35" s="497">
        <v>0</v>
      </c>
      <c r="I35" s="497">
        <v>0</v>
      </c>
      <c r="J35" s="497">
        <v>0</v>
      </c>
      <c r="K35" s="497"/>
      <c r="L35" s="497"/>
      <c r="M35" s="36"/>
      <c r="N35" s="36"/>
      <c r="O35" s="157"/>
      <c r="Z35" s="532" t="s">
        <v>496</v>
      </c>
      <c r="AA35" s="531">
        <v>0</v>
      </c>
      <c r="AB35" s="531">
        <v>0</v>
      </c>
      <c r="AC35" s="531">
        <v>0</v>
      </c>
      <c r="AD35" s="531">
        <v>0</v>
      </c>
      <c r="AE35" s="531">
        <v>0</v>
      </c>
      <c r="AF35" s="531">
        <v>0</v>
      </c>
      <c r="AG35" s="531">
        <v>0</v>
      </c>
      <c r="AH35" s="531">
        <v>0</v>
      </c>
      <c r="AI35" s="531"/>
      <c r="AJ35" s="531"/>
    </row>
    <row r="36" spans="2:36" ht="16" thickBot="1">
      <c r="B36" s="487" t="s">
        <v>477</v>
      </c>
      <c r="C36" s="497">
        <v>0</v>
      </c>
      <c r="D36" s="497">
        <v>0</v>
      </c>
      <c r="E36" s="497">
        <v>0</v>
      </c>
      <c r="F36" s="497">
        <v>0</v>
      </c>
      <c r="G36" s="497">
        <v>0</v>
      </c>
      <c r="H36" s="497">
        <v>0</v>
      </c>
      <c r="I36" s="497">
        <v>0</v>
      </c>
      <c r="J36" s="497">
        <v>0</v>
      </c>
      <c r="K36" s="497"/>
      <c r="L36" s="497"/>
      <c r="M36" s="36"/>
      <c r="N36" s="157"/>
      <c r="O36" s="157"/>
      <c r="Z36" s="532" t="s">
        <v>497</v>
      </c>
      <c r="AA36" s="531">
        <v>0</v>
      </c>
      <c r="AB36" s="531">
        <v>0</v>
      </c>
      <c r="AC36" s="531">
        <v>0</v>
      </c>
      <c r="AD36" s="531">
        <v>0</v>
      </c>
      <c r="AE36" s="531">
        <v>0</v>
      </c>
      <c r="AF36" s="531">
        <v>0</v>
      </c>
      <c r="AG36" s="531">
        <v>0</v>
      </c>
      <c r="AH36" s="531">
        <v>0</v>
      </c>
      <c r="AI36" s="531"/>
      <c r="AJ36" s="531"/>
    </row>
    <row r="37" spans="2:36" ht="16" thickBot="1">
      <c r="B37" s="487" t="s">
        <v>18</v>
      </c>
      <c r="C37" s="497">
        <v>0</v>
      </c>
      <c r="D37" s="497">
        <v>0</v>
      </c>
      <c r="E37" s="497">
        <v>0</v>
      </c>
      <c r="F37" s="497">
        <v>0</v>
      </c>
      <c r="G37" s="497">
        <v>0</v>
      </c>
      <c r="H37" s="497">
        <v>0</v>
      </c>
      <c r="I37" s="497">
        <v>0</v>
      </c>
      <c r="J37" s="497">
        <v>0</v>
      </c>
      <c r="K37" s="497"/>
      <c r="L37" s="497"/>
      <c r="M37" s="36"/>
      <c r="N37" s="157"/>
      <c r="O37" s="157"/>
      <c r="Z37" s="532" t="s">
        <v>18</v>
      </c>
      <c r="AA37" s="531">
        <v>0</v>
      </c>
      <c r="AB37" s="531">
        <v>0</v>
      </c>
      <c r="AC37" s="531">
        <v>0</v>
      </c>
      <c r="AD37" s="531">
        <v>0</v>
      </c>
      <c r="AE37" s="531">
        <v>0</v>
      </c>
      <c r="AF37" s="531">
        <v>0</v>
      </c>
      <c r="AG37" s="531">
        <v>0</v>
      </c>
      <c r="AH37" s="531">
        <v>0</v>
      </c>
      <c r="AI37" s="531"/>
      <c r="AJ37" s="531"/>
    </row>
    <row r="38" spans="2:36" ht="16" thickBot="1">
      <c r="B38" s="489" t="s">
        <v>20</v>
      </c>
      <c r="C38" s="501"/>
      <c r="D38" s="501"/>
      <c r="E38" s="501"/>
      <c r="F38" s="501"/>
      <c r="G38" s="501"/>
      <c r="H38" s="501"/>
      <c r="I38" s="501"/>
      <c r="J38" s="501"/>
      <c r="K38" s="501"/>
      <c r="L38" s="502"/>
      <c r="M38" s="155"/>
      <c r="N38" s="156"/>
      <c r="O38" s="156"/>
      <c r="Z38" s="535" t="s">
        <v>20</v>
      </c>
      <c r="AA38" s="536"/>
      <c r="AB38" s="536"/>
      <c r="AC38" s="536"/>
      <c r="AD38" s="536"/>
      <c r="AE38" s="536"/>
      <c r="AF38" s="536"/>
      <c r="AG38" s="536"/>
      <c r="AH38" s="536"/>
      <c r="AI38" s="536"/>
      <c r="AJ38" s="537"/>
    </row>
    <row r="39" spans="2:36">
      <c r="B39" s="485" t="s">
        <v>22</v>
      </c>
      <c r="C39" s="496">
        <v>4.0268456375838921</v>
      </c>
      <c r="D39" s="496">
        <v>3.624161073825503</v>
      </c>
      <c r="E39" s="496">
        <v>3.3557046979865772</v>
      </c>
      <c r="F39" s="496">
        <v>2.6845637583892619</v>
      </c>
      <c r="G39" s="496">
        <v>3.2214765100671139</v>
      </c>
      <c r="H39" s="496">
        <v>4.4295302013422821</v>
      </c>
      <c r="I39" s="496">
        <v>2.1476510067114094</v>
      </c>
      <c r="J39" s="496">
        <v>2.9530201342281881</v>
      </c>
      <c r="K39" s="495" t="s">
        <v>19</v>
      </c>
      <c r="L39" s="495">
        <v>6</v>
      </c>
      <c r="Z39" s="530" t="s">
        <v>22</v>
      </c>
      <c r="AA39" s="538">
        <v>85.90604026845638</v>
      </c>
      <c r="AB39" s="538">
        <v>80.53691275167786</v>
      </c>
      <c r="AC39" s="538">
        <v>73.825503355704697</v>
      </c>
      <c r="AD39" s="538">
        <v>67.114093959731548</v>
      </c>
      <c r="AE39" s="538">
        <v>68.724832214765101</v>
      </c>
      <c r="AF39" s="538">
        <v>94.496644295302019</v>
      </c>
      <c r="AG39" s="538">
        <v>53.691275167785243</v>
      </c>
      <c r="AH39" s="538">
        <v>73.825503355704711</v>
      </c>
      <c r="AI39" s="529" t="s">
        <v>19</v>
      </c>
      <c r="AJ39" s="529">
        <v>6</v>
      </c>
    </row>
    <row r="40" spans="2:36" ht="16" thickBot="1">
      <c r="B40" s="485" t="s">
        <v>24</v>
      </c>
      <c r="C40" s="495">
        <v>65</v>
      </c>
      <c r="D40" s="495">
        <v>65</v>
      </c>
      <c r="E40" s="495">
        <v>65</v>
      </c>
      <c r="F40" s="495">
        <v>65</v>
      </c>
      <c r="G40" s="495">
        <v>60</v>
      </c>
      <c r="H40" s="495">
        <v>70</v>
      </c>
      <c r="I40" s="495">
        <v>60</v>
      </c>
      <c r="J40" s="495">
        <v>70</v>
      </c>
      <c r="K40" s="495"/>
      <c r="L40" s="495"/>
      <c r="O40" s="160"/>
      <c r="Z40" s="530" t="s">
        <v>24</v>
      </c>
      <c r="AA40" s="529">
        <v>65</v>
      </c>
      <c r="AB40" s="529">
        <v>65</v>
      </c>
      <c r="AC40" s="529">
        <v>65</v>
      </c>
      <c r="AD40" s="529">
        <v>65</v>
      </c>
      <c r="AE40" s="529">
        <v>60</v>
      </c>
      <c r="AF40" s="529">
        <v>70</v>
      </c>
      <c r="AG40" s="529">
        <v>60</v>
      </c>
      <c r="AH40" s="529">
        <v>70</v>
      </c>
      <c r="AI40" s="529"/>
      <c r="AJ40" s="529"/>
    </row>
    <row r="41" spans="2:36" ht="16" thickBot="1">
      <c r="B41" s="487" t="s">
        <v>26</v>
      </c>
      <c r="C41" s="497">
        <v>35</v>
      </c>
      <c r="D41" s="497">
        <v>35</v>
      </c>
      <c r="E41" s="497">
        <v>35</v>
      </c>
      <c r="F41" s="497">
        <v>35</v>
      </c>
      <c r="G41" s="497">
        <v>30</v>
      </c>
      <c r="H41" s="497">
        <v>40</v>
      </c>
      <c r="I41" s="497">
        <v>30</v>
      </c>
      <c r="J41" s="497">
        <v>40</v>
      </c>
      <c r="K41" s="497"/>
      <c r="L41" s="497"/>
      <c r="Z41" s="532" t="s">
        <v>26</v>
      </c>
      <c r="AA41" s="531">
        <v>35</v>
      </c>
      <c r="AB41" s="531">
        <v>35</v>
      </c>
      <c r="AC41" s="531">
        <v>35</v>
      </c>
      <c r="AD41" s="531">
        <v>35</v>
      </c>
      <c r="AE41" s="531">
        <v>30</v>
      </c>
      <c r="AF41" s="531">
        <v>40</v>
      </c>
      <c r="AG41" s="531">
        <v>30</v>
      </c>
      <c r="AH41" s="531">
        <v>40</v>
      </c>
      <c r="AI41" s="531"/>
      <c r="AJ41" s="531"/>
    </row>
    <row r="42" spans="2:36" ht="16" thickBot="1">
      <c r="B42" s="487" t="s">
        <v>28</v>
      </c>
      <c r="C42" s="497">
        <v>0</v>
      </c>
      <c r="D42" s="497">
        <v>0</v>
      </c>
      <c r="E42" s="497">
        <v>0</v>
      </c>
      <c r="F42" s="497">
        <v>0</v>
      </c>
      <c r="G42" s="497">
        <v>0</v>
      </c>
      <c r="H42" s="497">
        <v>0</v>
      </c>
      <c r="I42" s="497">
        <v>0</v>
      </c>
      <c r="J42" s="497">
        <v>0</v>
      </c>
      <c r="K42" s="497"/>
      <c r="L42" s="497"/>
      <c r="Z42" s="532" t="s">
        <v>28</v>
      </c>
      <c r="AA42" s="531">
        <v>0</v>
      </c>
      <c r="AB42" s="531">
        <v>0</v>
      </c>
      <c r="AC42" s="531">
        <v>0</v>
      </c>
      <c r="AD42" s="531">
        <v>0</v>
      </c>
      <c r="AE42" s="531">
        <v>0</v>
      </c>
      <c r="AF42" s="531">
        <v>0</v>
      </c>
      <c r="AG42" s="531">
        <v>0</v>
      </c>
      <c r="AH42" s="531">
        <v>0</v>
      </c>
      <c r="AI42" s="531"/>
      <c r="AJ42" s="531"/>
    </row>
    <row r="43" spans="2:36" ht="16" thickBot="1">
      <c r="B43" s="487" t="s">
        <v>44</v>
      </c>
      <c r="C43" s="500">
        <v>60</v>
      </c>
      <c r="D43" s="494">
        <v>58.514925187312507</v>
      </c>
      <c r="E43" s="499">
        <v>55.654138129099685</v>
      </c>
      <c r="F43" s="499">
        <v>50.345316622234783</v>
      </c>
      <c r="G43" s="497">
        <v>40</v>
      </c>
      <c r="H43" s="497">
        <v>80</v>
      </c>
      <c r="I43" s="497">
        <v>40</v>
      </c>
      <c r="J43" s="497">
        <v>80</v>
      </c>
      <c r="K43" s="497" t="s">
        <v>554</v>
      </c>
      <c r="L43" s="497"/>
      <c r="Z43" s="532" t="s">
        <v>44</v>
      </c>
      <c r="AA43" s="534">
        <v>200</v>
      </c>
      <c r="AB43" s="528">
        <v>195.04975062437501</v>
      </c>
      <c r="AC43" s="528">
        <v>185</v>
      </c>
      <c r="AD43" s="528">
        <v>170</v>
      </c>
      <c r="AE43" s="531">
        <v>130</v>
      </c>
      <c r="AF43" s="531">
        <v>260</v>
      </c>
      <c r="AG43" s="531">
        <v>80</v>
      </c>
      <c r="AH43" s="531">
        <v>200</v>
      </c>
      <c r="AI43" s="531" t="s">
        <v>554</v>
      </c>
      <c r="AJ43" s="531"/>
    </row>
    <row r="44" spans="2:36" ht="16" thickBot="1">
      <c r="B44" s="484" t="s">
        <v>482</v>
      </c>
      <c r="C44" s="503">
        <v>4.0220232623976333</v>
      </c>
      <c r="D44" s="503">
        <v>4.1648787269240604</v>
      </c>
      <c r="E44" s="503">
        <v>5.6742913785704845</v>
      </c>
      <c r="F44" s="503">
        <v>8.26461837844227</v>
      </c>
      <c r="G44" s="500">
        <v>3</v>
      </c>
      <c r="H44" s="500">
        <v>7</v>
      </c>
      <c r="I44" s="500">
        <v>5</v>
      </c>
      <c r="J44" s="500">
        <v>9</v>
      </c>
      <c r="K44" s="497" t="s">
        <v>23</v>
      </c>
      <c r="L44" s="497"/>
      <c r="Z44" s="525" t="s">
        <v>482</v>
      </c>
      <c r="AA44" s="539">
        <v>2.4132139574385802</v>
      </c>
      <c r="AB44" s="539">
        <v>2.498927236154437</v>
      </c>
      <c r="AC44" s="539">
        <v>3.4045748271422904</v>
      </c>
      <c r="AD44" s="539">
        <v>4.958771027065362</v>
      </c>
      <c r="AE44" s="539">
        <v>1.8000000000000005</v>
      </c>
      <c r="AF44" s="539">
        <v>4.2000000000000011</v>
      </c>
      <c r="AG44" s="539">
        <v>3</v>
      </c>
      <c r="AH44" s="539">
        <v>5.3999999999999995</v>
      </c>
      <c r="AI44" s="531" t="s">
        <v>23</v>
      </c>
      <c r="AJ44" s="531"/>
    </row>
    <row r="45" spans="2:36" ht="16" thickBot="1">
      <c r="B45" s="489" t="s">
        <v>499</v>
      </c>
      <c r="C45" s="501"/>
      <c r="D45" s="501"/>
      <c r="E45" s="501"/>
      <c r="F45" s="501"/>
      <c r="G45" s="501"/>
      <c r="H45" s="501"/>
      <c r="I45" s="501"/>
      <c r="J45" s="501"/>
      <c r="K45" s="501"/>
      <c r="L45" s="502"/>
      <c r="Z45" s="535" t="s">
        <v>499</v>
      </c>
      <c r="AA45" s="536"/>
      <c r="AB45" s="536"/>
      <c r="AC45" s="536"/>
      <c r="AD45" s="536"/>
      <c r="AE45" s="536"/>
      <c r="AF45" s="536"/>
      <c r="AG45" s="536"/>
      <c r="AH45" s="536"/>
      <c r="AI45" s="536"/>
      <c r="AJ45" s="537"/>
    </row>
    <row r="46" spans="2:36" ht="16" thickBot="1">
      <c r="B46" s="487" t="s">
        <v>555</v>
      </c>
      <c r="C46" s="503">
        <v>6</v>
      </c>
      <c r="D46" s="503">
        <v>6</v>
      </c>
      <c r="E46" s="503">
        <v>6</v>
      </c>
      <c r="F46" s="503">
        <v>6</v>
      </c>
      <c r="G46" s="503">
        <v>4</v>
      </c>
      <c r="H46" s="503">
        <v>9</v>
      </c>
      <c r="I46" s="503">
        <v>4</v>
      </c>
      <c r="J46" s="503">
        <v>9</v>
      </c>
      <c r="K46" s="497" t="s">
        <v>40</v>
      </c>
      <c r="L46" s="497">
        <v>1</v>
      </c>
      <c r="Z46" s="532" t="s">
        <v>560</v>
      </c>
      <c r="AA46" s="531">
        <v>200</v>
      </c>
      <c r="AB46" s="531">
        <v>200</v>
      </c>
      <c r="AC46" s="531">
        <v>200</v>
      </c>
      <c r="AD46" s="531">
        <v>200</v>
      </c>
      <c r="AE46" s="534">
        <v>140</v>
      </c>
      <c r="AF46" s="534">
        <v>290</v>
      </c>
      <c r="AG46" s="534">
        <v>140</v>
      </c>
      <c r="AH46" s="534">
        <v>290</v>
      </c>
      <c r="AI46" s="531" t="s">
        <v>40</v>
      </c>
      <c r="AJ46" s="531">
        <v>1</v>
      </c>
    </row>
    <row r="47" spans="2:36" ht="16" thickBot="1">
      <c r="B47" s="487" t="s">
        <v>556</v>
      </c>
      <c r="C47" s="497">
        <v>400</v>
      </c>
      <c r="D47" s="497">
        <v>425</v>
      </c>
      <c r="E47" s="497">
        <v>450</v>
      </c>
      <c r="F47" s="497">
        <v>500</v>
      </c>
      <c r="G47" s="497">
        <v>300</v>
      </c>
      <c r="H47" s="497">
        <v>450</v>
      </c>
      <c r="I47" s="497">
        <v>400</v>
      </c>
      <c r="J47" s="497">
        <v>550</v>
      </c>
      <c r="K47" s="497" t="s">
        <v>41</v>
      </c>
      <c r="L47" s="497">
        <v>1</v>
      </c>
      <c r="Z47" s="532" t="s">
        <v>556</v>
      </c>
      <c r="AA47" s="531">
        <v>400</v>
      </c>
      <c r="AB47" s="531">
        <v>425</v>
      </c>
      <c r="AC47" s="531">
        <v>450</v>
      </c>
      <c r="AD47" s="531">
        <v>500</v>
      </c>
      <c r="AE47" s="531">
        <v>300</v>
      </c>
      <c r="AF47" s="531">
        <v>450</v>
      </c>
      <c r="AG47" s="531">
        <v>400</v>
      </c>
      <c r="AH47" s="531">
        <v>550</v>
      </c>
      <c r="AI47" s="531" t="s">
        <v>41</v>
      </c>
      <c r="AJ47" s="531">
        <v>1</v>
      </c>
    </row>
    <row r="48" spans="2:36" ht="16" thickBot="1">
      <c r="B48" s="483"/>
      <c r="C48" s="486"/>
      <c r="D48" s="486"/>
      <c r="E48" s="486"/>
      <c r="F48" s="486"/>
      <c r="G48" s="486"/>
      <c r="H48" s="486"/>
      <c r="I48" s="486"/>
      <c r="J48" s="486"/>
      <c r="K48" s="486"/>
      <c r="L48" s="486"/>
      <c r="Z48" s="516"/>
      <c r="AA48" s="515"/>
      <c r="AB48" s="515"/>
      <c r="AC48" s="515"/>
      <c r="AD48" s="515"/>
      <c r="AE48" s="515"/>
      <c r="AF48" s="515"/>
      <c r="AG48" s="515"/>
      <c r="AH48" s="515"/>
      <c r="AI48" s="515"/>
      <c r="AJ48" s="515"/>
    </row>
    <row r="49" spans="2:36" ht="16" thickBot="1">
      <c r="B49" s="487" t="s">
        <v>557</v>
      </c>
      <c r="C49" s="505">
        <v>0.70000000000000007</v>
      </c>
      <c r="D49" s="505">
        <v>0.70000000000000007</v>
      </c>
      <c r="E49" s="505">
        <v>0.70000000000000007</v>
      </c>
      <c r="F49" s="505">
        <v>0.70000000000000007</v>
      </c>
      <c r="G49" s="505">
        <v>0.75</v>
      </c>
      <c r="H49" s="505">
        <v>0.66666666666666663</v>
      </c>
      <c r="I49" s="505">
        <v>0.75</v>
      </c>
      <c r="J49" s="505">
        <v>0.66666666666666663</v>
      </c>
      <c r="K49" s="486"/>
      <c r="L49" s="486"/>
      <c r="Z49" s="516" t="s">
        <v>557</v>
      </c>
      <c r="AA49" s="542">
        <v>0.7</v>
      </c>
      <c r="AB49" s="542">
        <v>0.7</v>
      </c>
      <c r="AC49" s="542">
        <v>0.7</v>
      </c>
      <c r="AD49" s="542">
        <v>0.7</v>
      </c>
      <c r="AE49" s="542">
        <v>0.7142857142857143</v>
      </c>
      <c r="AF49" s="542">
        <v>0.68965517241379315</v>
      </c>
      <c r="AG49" s="542">
        <v>0.7142857142857143</v>
      </c>
      <c r="AH49" s="542">
        <v>0.68965517241379315</v>
      </c>
      <c r="AI49" s="515"/>
      <c r="AJ49" s="515"/>
    </row>
    <row r="50" spans="2:36" ht="16" thickBot="1">
      <c r="B50" s="487" t="s">
        <v>558</v>
      </c>
      <c r="C50" s="504">
        <v>571.42857142857133</v>
      </c>
      <c r="D50" s="504">
        <v>607.14285714285711</v>
      </c>
      <c r="E50" s="504">
        <v>642.85714285714278</v>
      </c>
      <c r="F50" s="504">
        <v>714.28571428571422</v>
      </c>
      <c r="G50" s="504">
        <v>400</v>
      </c>
      <c r="H50" s="504">
        <v>675</v>
      </c>
      <c r="I50" s="504">
        <v>533.33333333333337</v>
      </c>
      <c r="J50" s="504">
        <v>825</v>
      </c>
      <c r="K50" s="486"/>
      <c r="L50" s="486"/>
      <c r="Z50" s="516" t="s">
        <v>561</v>
      </c>
      <c r="AA50" s="541">
        <v>571.42857142857144</v>
      </c>
      <c r="AB50" s="541">
        <v>607.14285714285722</v>
      </c>
      <c r="AC50" s="541">
        <v>642.85714285714289</v>
      </c>
      <c r="AD50" s="541">
        <v>714.28571428571433</v>
      </c>
      <c r="AE50" s="541">
        <v>420</v>
      </c>
      <c r="AF50" s="541">
        <v>652.5</v>
      </c>
      <c r="AG50" s="541">
        <v>560</v>
      </c>
      <c r="AH50" s="541">
        <v>797.5</v>
      </c>
      <c r="AI50" s="515"/>
      <c r="AJ50" s="515"/>
    </row>
    <row r="52" spans="2:36" ht="16" thickBot="1">
      <c r="B52" s="512" t="s">
        <v>503</v>
      </c>
      <c r="C52" s="540">
        <f>C39/C$17*Euro</f>
        <v>7.1428571428571415</v>
      </c>
      <c r="D52" s="540">
        <f>D39/D$17*Euro</f>
        <v>6.4285714285714279</v>
      </c>
      <c r="E52" s="540">
        <f>E39/E$17*Euro</f>
        <v>5.9523809523809526</v>
      </c>
      <c r="F52" s="540">
        <f>F39/F$17*Euro</f>
        <v>4.7619047619047619</v>
      </c>
      <c r="Z52" s="512" t="s">
        <v>503</v>
      </c>
      <c r="AA52" s="540">
        <f>AA39/AA$17*Euro</f>
        <v>4.5714285714285721</v>
      </c>
      <c r="AB52" s="540">
        <f>AB39/AB$17*Euro</f>
        <v>4.2857142857142856</v>
      </c>
      <c r="AC52" s="540">
        <f>AC39/AC$17*Euro</f>
        <v>3.9285714285714284</v>
      </c>
      <c r="AD52" s="540">
        <f>AD39/AD$17*Euro</f>
        <v>3.5714285714285716</v>
      </c>
    </row>
    <row r="53" spans="2:36" ht="16" thickBot="1">
      <c r="B53" s="512" t="s">
        <v>504</v>
      </c>
      <c r="C53" s="540">
        <f>C42/C$17*Euro</f>
        <v>0</v>
      </c>
      <c r="D53" s="540">
        <f>D42/D$17*Euro</f>
        <v>0</v>
      </c>
      <c r="E53" s="540">
        <f>E42/E$17*Euro</f>
        <v>0</v>
      </c>
      <c r="F53" s="540">
        <f>F42/F$17*Euro</f>
        <v>0</v>
      </c>
      <c r="Z53" s="512" t="s">
        <v>504</v>
      </c>
      <c r="AA53" s="540">
        <f>AA42/AA$17*Euro</f>
        <v>0</v>
      </c>
      <c r="AB53" s="540">
        <f>AB42/AB$17*Euro</f>
        <v>0</v>
      </c>
      <c r="AC53" s="540">
        <f>AC42/AC$17*Euro</f>
        <v>0</v>
      </c>
      <c r="AD53" s="540">
        <f>AD42/AD$17*Euro</f>
        <v>0</v>
      </c>
    </row>
    <row r="54" spans="2:36" ht="16" thickBot="1">
      <c r="B54" s="512"/>
      <c r="C54" s="513"/>
      <c r="D54" s="513"/>
      <c r="E54" s="513"/>
      <c r="F54" s="513"/>
      <c r="Z54" s="512"/>
      <c r="AA54" s="513"/>
      <c r="AB54" s="513"/>
      <c r="AC54" s="513"/>
      <c r="AD54" s="513"/>
    </row>
    <row r="55" spans="2:36" ht="16" thickBot="1">
      <c r="B55" s="527" t="s">
        <v>502</v>
      </c>
      <c r="C55" s="540">
        <f>C43/C17/1000*Euro</f>
        <v>0.10642857142857143</v>
      </c>
      <c r="D55" s="540">
        <f>D43/D17/1000*Euro</f>
        <v>0.1037943315822567</v>
      </c>
      <c r="E55" s="540">
        <f>E43/E17/1000*Euro</f>
        <v>9.8719840252807778E-2</v>
      </c>
      <c r="F55" s="540">
        <f>F43/F17/1000*Euro</f>
        <v>8.9303002103725979E-2</v>
      </c>
      <c r="Z55" s="527" t="s">
        <v>502</v>
      </c>
      <c r="AA55" s="540">
        <f>AA43/AA17/1000*Euro</f>
        <v>1.0642857142857143E-2</v>
      </c>
      <c r="AB55" s="540">
        <f>AB43/AB17/1000*Euro</f>
        <v>1.0379433158225671E-2</v>
      </c>
      <c r="AC55" s="540">
        <f>AC43/AC17/1000*Euro</f>
        <v>9.8446428571428574E-3</v>
      </c>
      <c r="AD55" s="540">
        <f>AD43/AD17/1000*Euro</f>
        <v>9.0464285714285716E-3</v>
      </c>
    </row>
    <row r="56" spans="2:36">
      <c r="B56" s="526" t="s">
        <v>505</v>
      </c>
      <c r="C56" s="514">
        <f>C44/3.6*Euro</f>
        <v>8.3233536957951024</v>
      </c>
      <c r="D56" s="514">
        <f>D44/3.6*Euro</f>
        <v>8.6189851432178486</v>
      </c>
      <c r="E56" s="514">
        <f>E44/3.6*Euro</f>
        <v>11.742630769541696</v>
      </c>
      <c r="F56" s="514">
        <f>F44/3.6*Euro</f>
        <v>17.103168588720809</v>
      </c>
      <c r="Z56" s="526" t="s">
        <v>505</v>
      </c>
      <c r="AA56" s="514">
        <f>AA44/3.6*Euro</f>
        <v>4.9940122174770618</v>
      </c>
      <c r="AB56" s="514">
        <f>AB44/3.6*Euro</f>
        <v>5.1713910859307095</v>
      </c>
      <c r="AC56" s="514">
        <f>AC44/3.6*Euro</f>
        <v>7.0455784617250172</v>
      </c>
      <c r="AD56" s="514">
        <f>AD44/3.6*Euro</f>
        <v>10.261901153232486</v>
      </c>
    </row>
    <row r="60" spans="2:36">
      <c r="C60">
        <f>4.2*C50</f>
        <v>2399.9999999999995</v>
      </c>
      <c r="D60" s="821">
        <f t="shared" ref="D60:F60" si="0">4.2*D50</f>
        <v>2550</v>
      </c>
      <c r="E60" s="821">
        <f t="shared" si="0"/>
        <v>2700</v>
      </c>
      <c r="F60" s="821">
        <f t="shared" si="0"/>
        <v>3000</v>
      </c>
    </row>
    <row r="61" spans="2:36">
      <c r="C61">
        <f>C60/18000</f>
        <v>0.1333333333333333</v>
      </c>
      <c r="D61" s="821">
        <f t="shared" ref="D61:F61" si="1">D60/18000</f>
        <v>0.14166666666666666</v>
      </c>
      <c r="E61" s="821">
        <f t="shared" si="1"/>
        <v>0.15</v>
      </c>
      <c r="F61" s="821">
        <f t="shared" si="1"/>
        <v>0.16666666666666666</v>
      </c>
    </row>
    <row r="62" spans="2:36">
      <c r="B62">
        <f>18000/(10*8760)</f>
        <v>0.20547945205479451</v>
      </c>
      <c r="C62">
        <f>18000/C60</f>
        <v>7.5000000000000018</v>
      </c>
    </row>
    <row r="63" spans="2:36">
      <c r="C63">
        <f>C61*0.2</f>
        <v>2.6666666666666661E-2</v>
      </c>
      <c r="D63" s="821">
        <f t="shared" ref="D63:F63" si="2">D61*0.2</f>
        <v>2.8333333333333335E-2</v>
      </c>
      <c r="E63" s="821">
        <f t="shared" si="2"/>
        <v>0.03</v>
      </c>
      <c r="F63" s="821">
        <f t="shared" si="2"/>
        <v>3.3333333333333333E-2</v>
      </c>
    </row>
    <row r="64" spans="2:36">
      <c r="B64">
        <f>8760*10*0.2</f>
        <v>17520</v>
      </c>
    </row>
    <row r="66" spans="2:2">
      <c r="B66">
        <v>2400</v>
      </c>
    </row>
  </sheetData>
  <mergeCells count="25">
    <mergeCell ref="Q6:W7"/>
    <mergeCell ref="J12:O12"/>
    <mergeCell ref="Z3:AE3"/>
    <mergeCell ref="B2:G2"/>
    <mergeCell ref="Z4:AE4"/>
    <mergeCell ref="B14:B15"/>
    <mergeCell ref="C14:C15"/>
    <mergeCell ref="D14:D15"/>
    <mergeCell ref="E14:E15"/>
    <mergeCell ref="F14:F15"/>
    <mergeCell ref="C13:L13"/>
    <mergeCell ref="G14:H15"/>
    <mergeCell ref="I14:J15"/>
    <mergeCell ref="K14:K15"/>
    <mergeCell ref="L14:L15"/>
    <mergeCell ref="AE14:AF15"/>
    <mergeCell ref="Z14:Z15"/>
    <mergeCell ref="AG14:AH15"/>
    <mergeCell ref="AI14:AI15"/>
    <mergeCell ref="AA13:AJ13"/>
    <mergeCell ref="AJ14:AJ15"/>
    <mergeCell ref="AD14:AD15"/>
    <mergeCell ref="AA14:AA15"/>
    <mergeCell ref="AB14:AB15"/>
    <mergeCell ref="AC14:AC15"/>
  </mergeCells>
  <pageMargins left="0.7" right="0.7" top="0.75" bottom="0.75" header="0.3" footer="0.3"/>
  <pageSetup paperSize="9"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4"/>
  </sheetPr>
  <dimension ref="A1:BC162"/>
  <sheetViews>
    <sheetView zoomScaleNormal="100" workbookViewId="0">
      <selection activeCell="N28" sqref="N28"/>
    </sheetView>
  </sheetViews>
  <sheetFormatPr baseColWidth="10" defaultColWidth="8.83203125" defaultRowHeight="15"/>
  <cols>
    <col min="2" max="2" width="36.6640625" customWidth="1"/>
    <col min="3" max="3" width="12.1640625" bestFit="1" customWidth="1"/>
    <col min="4" max="4" width="11.1640625" bestFit="1" customWidth="1"/>
    <col min="5" max="6" width="12.1640625" bestFit="1" customWidth="1"/>
    <col min="10" max="10" width="9.1640625" customWidth="1"/>
    <col min="18" max="18" width="9.1640625" customWidth="1"/>
    <col min="26" max="26" width="29.33203125" customWidth="1"/>
  </cols>
  <sheetData>
    <row r="1" spans="2:39">
      <c r="B1" s="8" t="s">
        <v>241</v>
      </c>
    </row>
    <row r="3" spans="2:39" ht="16" thickBot="1">
      <c r="B3" s="1263">
        <f>C21</f>
        <v>2015</v>
      </c>
      <c r="C3" s="1264"/>
      <c r="D3" s="1264"/>
      <c r="E3" s="1264"/>
      <c r="F3" s="1264"/>
      <c r="G3" s="1265"/>
      <c r="J3" s="821" t="s">
        <v>783</v>
      </c>
      <c r="Z3" s="1263">
        <f>C52</f>
        <v>0</v>
      </c>
      <c r="AA3" s="1264"/>
      <c r="AB3" s="1264"/>
      <c r="AC3" s="1264"/>
      <c r="AD3" s="1264"/>
      <c r="AE3" s="1265"/>
    </row>
    <row r="4" spans="2:39" ht="16" thickBot="1">
      <c r="B4" s="34" t="s">
        <v>273</v>
      </c>
      <c r="J4" s="821">
        <v>0.2</v>
      </c>
      <c r="Z4" s="34" t="s">
        <v>273</v>
      </c>
    </row>
    <row r="5" spans="2:39" s="511" customFormat="1" ht="31" thickTop="1">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132" t="s">
        <v>255</v>
      </c>
      <c r="AA5" s="133" t="s">
        <v>256</v>
      </c>
      <c r="AB5" s="134" t="s">
        <v>257</v>
      </c>
      <c r="AC5" s="134" t="s">
        <v>259</v>
      </c>
      <c r="AD5" s="135" t="s">
        <v>260</v>
      </c>
      <c r="AE5" s="136" t="s">
        <v>261</v>
      </c>
      <c r="AF5" s="136" t="s">
        <v>262</v>
      </c>
      <c r="AG5" s="136" t="s">
        <v>263</v>
      </c>
      <c r="AH5" s="136" t="s">
        <v>264</v>
      </c>
      <c r="AI5" s="136" t="s">
        <v>265</v>
      </c>
      <c r="AJ5" s="136" t="s">
        <v>266</v>
      </c>
      <c r="AK5" s="136" t="s">
        <v>267</v>
      </c>
      <c r="AL5" s="136" t="s">
        <v>268</v>
      </c>
      <c r="AM5" s="137" t="s">
        <v>269</v>
      </c>
    </row>
    <row r="6" spans="2:39" s="511" customFormat="1" ht="16" thickBot="1">
      <c r="B6" s="31"/>
      <c r="C6" s="31"/>
      <c r="D6" s="32"/>
      <c r="E6" s="32"/>
      <c r="F6" s="33"/>
      <c r="G6" s="31"/>
      <c r="H6" s="31"/>
      <c r="I6" s="31"/>
      <c r="J6" s="31"/>
      <c r="K6" s="31"/>
      <c r="L6" s="31"/>
      <c r="M6" s="31"/>
      <c r="N6" s="31"/>
      <c r="O6" s="31"/>
      <c r="Z6" s="138"/>
      <c r="AA6" s="31"/>
      <c r="AB6" s="32"/>
      <c r="AC6" s="32"/>
      <c r="AD6" s="33"/>
      <c r="AE6" s="31"/>
      <c r="AF6" s="31"/>
      <c r="AG6" s="31"/>
      <c r="AH6" s="31"/>
      <c r="AI6" s="31"/>
      <c r="AJ6" s="31"/>
      <c r="AK6" s="31"/>
      <c r="AL6" s="31"/>
      <c r="AM6" s="139"/>
    </row>
    <row r="7" spans="2:39" s="821" customFormat="1">
      <c r="B7" s="37"/>
      <c r="C7" s="37"/>
      <c r="D7" s="38"/>
      <c r="E7" s="38" t="s">
        <v>637</v>
      </c>
      <c r="F7" s="38" t="s">
        <v>353</v>
      </c>
      <c r="G7" s="38" t="s">
        <v>354</v>
      </c>
      <c r="H7" s="38" t="s">
        <v>355</v>
      </c>
      <c r="I7" s="37" t="s">
        <v>271</v>
      </c>
      <c r="J7" s="37" t="s">
        <v>271</v>
      </c>
      <c r="K7" s="37" t="s">
        <v>272</v>
      </c>
      <c r="L7" s="37" t="s">
        <v>272</v>
      </c>
      <c r="M7" s="37" t="s">
        <v>272</v>
      </c>
      <c r="N7" s="37" t="s">
        <v>272</v>
      </c>
      <c r="O7" s="37" t="s">
        <v>272</v>
      </c>
      <c r="Z7" s="140"/>
      <c r="AA7" s="37"/>
      <c r="AB7" s="38"/>
      <c r="AC7" s="38"/>
      <c r="AD7" s="37" t="s">
        <v>270</v>
      </c>
      <c r="AE7" s="37" t="s">
        <v>252</v>
      </c>
      <c r="AF7" s="37" t="s">
        <v>253</v>
      </c>
      <c r="AG7" s="37" t="s">
        <v>271</v>
      </c>
      <c r="AH7" s="37" t="s">
        <v>271</v>
      </c>
      <c r="AI7" s="37" t="s">
        <v>272</v>
      </c>
      <c r="AJ7" s="37" t="s">
        <v>272</v>
      </c>
      <c r="AK7" s="37" t="s">
        <v>272</v>
      </c>
      <c r="AL7" s="37" t="s">
        <v>272</v>
      </c>
      <c r="AM7" s="141" t="s">
        <v>272</v>
      </c>
    </row>
    <row r="8" spans="2:39" s="511" customFormat="1">
      <c r="B8" s="1266" t="s">
        <v>801</v>
      </c>
      <c r="C8" s="1267"/>
      <c r="D8" s="1267"/>
      <c r="E8" s="1267"/>
      <c r="F8" s="1267"/>
      <c r="G8" s="1267"/>
      <c r="H8" s="1267"/>
      <c r="I8" s="1267"/>
      <c r="J8" s="1267"/>
      <c r="K8" s="1267"/>
      <c r="L8" s="1267"/>
      <c r="M8" s="1267"/>
      <c r="N8" s="1267"/>
      <c r="O8" s="1268"/>
      <c r="Z8" s="1266" t="s">
        <v>817</v>
      </c>
      <c r="AA8" s="1267"/>
      <c r="AB8" s="1267"/>
      <c r="AC8" s="1267"/>
      <c r="AD8" s="1267"/>
      <c r="AE8" s="1267"/>
      <c r="AF8" s="1267"/>
      <c r="AG8" s="1267"/>
      <c r="AH8" s="1267"/>
      <c r="AI8" s="1267"/>
      <c r="AJ8" s="1267"/>
      <c r="AK8" s="1267"/>
      <c r="AL8" s="1267"/>
      <c r="AM8" s="1268"/>
    </row>
    <row r="9" spans="2:39" s="821" customFormat="1">
      <c r="B9" s="39">
        <f>C21</f>
        <v>2015</v>
      </c>
      <c r="C9" s="39">
        <f>B9</f>
        <v>2015</v>
      </c>
      <c r="D9" s="39">
        <f>(C30+C28)/2/100</f>
        <v>3.5750000000000002</v>
      </c>
      <c r="E9" s="39">
        <f>C32</f>
        <v>18</v>
      </c>
      <c r="F9" s="226">
        <f>C54</f>
        <v>7.45</v>
      </c>
      <c r="G9" s="226">
        <f>C57</f>
        <v>0.21679500000000002</v>
      </c>
      <c r="H9" s="226">
        <f>C58</f>
        <v>0</v>
      </c>
      <c r="I9" s="39"/>
      <c r="J9" s="39">
        <f>$J$4*C25/100</f>
        <v>0.2</v>
      </c>
      <c r="K9" s="39"/>
      <c r="L9" s="39"/>
      <c r="M9" s="39"/>
      <c r="N9" s="39"/>
      <c r="O9" s="39"/>
      <c r="Z9" s="39">
        <f>AA21</f>
        <v>2015</v>
      </c>
      <c r="AA9" s="39">
        <f>Z9</f>
        <v>2015</v>
      </c>
      <c r="AB9" s="39">
        <f>(AA30+AA28)/2/100</f>
        <v>3.875</v>
      </c>
      <c r="AC9" s="39">
        <f>AA32</f>
        <v>15</v>
      </c>
      <c r="AD9" s="226">
        <f>AA54</f>
        <v>2.7937500000000002</v>
      </c>
      <c r="AE9" s="226">
        <f>AA57</f>
        <v>3.0544999999999996E-2</v>
      </c>
      <c r="AF9" s="226">
        <f>AA58</f>
        <v>1.0347222222222223</v>
      </c>
      <c r="AG9" s="39"/>
      <c r="AH9" s="39">
        <f>$J$4*AA25/100</f>
        <v>0.2</v>
      </c>
      <c r="AI9" s="39"/>
      <c r="AJ9" s="39"/>
      <c r="AK9" s="39"/>
      <c r="AL9" s="39"/>
      <c r="AM9" s="39"/>
    </row>
    <row r="10" spans="2:39" s="511" customFormat="1">
      <c r="B10" s="39">
        <f>D21</f>
        <v>2020</v>
      </c>
      <c r="C10" s="39"/>
      <c r="D10" s="39">
        <f>(D30+D28)/2/100</f>
        <v>3.6749999999999998</v>
      </c>
      <c r="E10" s="39">
        <f>D32</f>
        <v>18</v>
      </c>
      <c r="F10" s="226">
        <f>D54</f>
        <v>7.0029999999999992</v>
      </c>
      <c r="G10" s="226">
        <f>D57</f>
        <v>0.20713396234501746</v>
      </c>
      <c r="H10" s="226">
        <f>D58</f>
        <v>0</v>
      </c>
      <c r="I10" s="39"/>
      <c r="J10" s="39">
        <f>$J$4*D25/100</f>
        <v>0.2</v>
      </c>
      <c r="K10" s="39"/>
      <c r="L10" s="39"/>
      <c r="M10" s="39"/>
      <c r="N10" s="39"/>
      <c r="O10" s="39"/>
      <c r="Z10" s="39">
        <f>AB21</f>
        <v>2020</v>
      </c>
      <c r="AA10" s="39"/>
      <c r="AB10" s="39">
        <f>(AB30+AB28)/2/100</f>
        <v>3.9750000000000001</v>
      </c>
      <c r="AC10" s="39">
        <f>AB32</f>
        <v>15</v>
      </c>
      <c r="AD10" s="226">
        <f>AB54</f>
        <v>2.626125</v>
      </c>
      <c r="AE10" s="226">
        <f>AB57</f>
        <v>3.0731250000000002E-2</v>
      </c>
      <c r="AF10" s="226">
        <f>AB58</f>
        <v>0.97263888888888872</v>
      </c>
      <c r="AG10" s="39"/>
      <c r="AH10" s="39">
        <f>$J$4*AB25/100</f>
        <v>0.2</v>
      </c>
      <c r="AI10" s="39"/>
      <c r="AJ10" s="39"/>
      <c r="AK10" s="39"/>
      <c r="AL10" s="39"/>
      <c r="AM10" s="39"/>
    </row>
    <row r="11" spans="2:39" s="511" customFormat="1">
      <c r="B11" s="39">
        <f>E21</f>
        <v>2030</v>
      </c>
      <c r="C11" s="39"/>
      <c r="D11" s="39">
        <f>(E30+E28)/2/100</f>
        <v>3.875</v>
      </c>
      <c r="E11" s="39">
        <f>E32</f>
        <v>18</v>
      </c>
      <c r="F11" s="226">
        <f>E54</f>
        <v>6.3324999999999996</v>
      </c>
      <c r="G11" s="226">
        <f>E57</f>
        <v>0.19006189014921157</v>
      </c>
      <c r="H11" s="226">
        <f>E58</f>
        <v>0</v>
      </c>
      <c r="I11" s="39"/>
      <c r="J11" s="39">
        <f>$J$4*E25/100</f>
        <v>0.2</v>
      </c>
      <c r="K11" s="39"/>
      <c r="L11" s="39"/>
      <c r="M11" s="39"/>
      <c r="N11" s="39"/>
      <c r="O11" s="39"/>
      <c r="Z11" s="39">
        <f>AC21</f>
        <v>2030</v>
      </c>
      <c r="AA11" s="39"/>
      <c r="AB11" s="39">
        <f>(AC30+AC28)/2/100</f>
        <v>4.0999999999999996</v>
      </c>
      <c r="AC11" s="39">
        <f>AC32</f>
        <v>15</v>
      </c>
      <c r="AD11" s="226">
        <f>AC54</f>
        <v>2.3653750000000002</v>
      </c>
      <c r="AE11" s="226">
        <f>AC57</f>
        <v>3.475425E-2</v>
      </c>
      <c r="AF11" s="226">
        <f>AC58</f>
        <v>0.86916666666666664</v>
      </c>
      <c r="AG11" s="39"/>
      <c r="AH11" s="39">
        <f>$J$4*AC25/100</f>
        <v>0.2</v>
      </c>
      <c r="AI11" s="39"/>
      <c r="AJ11" s="39"/>
      <c r="AK11" s="39"/>
      <c r="AL11" s="39"/>
      <c r="AM11" s="39"/>
    </row>
    <row r="12" spans="2:39" s="511" customFormat="1">
      <c r="B12" s="39">
        <f>F21</f>
        <v>2050</v>
      </c>
      <c r="C12" s="39"/>
      <c r="D12" s="39">
        <f>(F30+F28)/2/100</f>
        <v>4.05</v>
      </c>
      <c r="E12" s="39">
        <f>F32</f>
        <v>18</v>
      </c>
      <c r="F12" s="226">
        <f>F54</f>
        <v>5.6619999999999999</v>
      </c>
      <c r="G12" s="226">
        <f>F57</f>
        <v>0.17785762965173399</v>
      </c>
      <c r="H12" s="226">
        <f>F58</f>
        <v>0</v>
      </c>
      <c r="I12" s="39"/>
      <c r="J12" s="39">
        <f>$J$4*F25/100</f>
        <v>0.2</v>
      </c>
      <c r="K12" s="39"/>
      <c r="L12" s="39"/>
      <c r="M12" s="39"/>
      <c r="N12" s="39"/>
      <c r="O12" s="39"/>
      <c r="Z12" s="39">
        <f>AD21</f>
        <v>2050</v>
      </c>
      <c r="AA12" s="39"/>
      <c r="AB12" s="39">
        <f>(AD30+AD28)/2/100</f>
        <v>4.3250000000000002</v>
      </c>
      <c r="AC12" s="39">
        <f>AD32</f>
        <v>15</v>
      </c>
      <c r="AD12" s="226">
        <f>AD54</f>
        <v>2.1232500000000001</v>
      </c>
      <c r="AE12" s="226">
        <f>AD57</f>
        <v>4.4904874999999997E-2</v>
      </c>
      <c r="AF12" s="226">
        <f>AD58</f>
        <v>0.78638888888888892</v>
      </c>
      <c r="AG12" s="39"/>
      <c r="AH12" s="39">
        <f>$J$4*AD25/100</f>
        <v>0.2</v>
      </c>
      <c r="AI12" s="39"/>
      <c r="AJ12" s="39"/>
      <c r="AK12" s="39"/>
      <c r="AL12" s="39"/>
      <c r="AM12" s="39"/>
    </row>
    <row r="13" spans="2:39">
      <c r="B13" s="1266" t="s">
        <v>800</v>
      </c>
      <c r="C13" s="1267"/>
      <c r="D13" s="1267"/>
      <c r="E13" s="1267"/>
      <c r="F13" s="1267"/>
      <c r="G13" s="1267"/>
      <c r="H13" s="1267"/>
      <c r="I13" s="1267"/>
      <c r="J13" s="1267"/>
      <c r="K13" s="1267"/>
      <c r="L13" s="1267"/>
      <c r="M13" s="1267"/>
      <c r="N13" s="1267"/>
      <c r="O13" s="1268"/>
      <c r="Z13" s="1266" t="s">
        <v>818</v>
      </c>
      <c r="AA13" s="1267"/>
      <c r="AB13" s="1267"/>
      <c r="AC13" s="1267"/>
      <c r="AD13" s="1267"/>
      <c r="AE13" s="1267"/>
      <c r="AF13" s="1267"/>
      <c r="AG13" s="1267"/>
      <c r="AH13" s="1267"/>
      <c r="AI13" s="1267"/>
      <c r="AJ13" s="1267"/>
      <c r="AK13" s="1267"/>
      <c r="AL13" s="1267"/>
      <c r="AM13" s="1268"/>
    </row>
    <row r="14" spans="2:39" s="821" customFormat="1">
      <c r="B14" s="39">
        <f>C63</f>
        <v>2015</v>
      </c>
      <c r="C14" s="39">
        <f>B14</f>
        <v>2015</v>
      </c>
      <c r="D14" s="39">
        <f>(C72+C70)/2/100</f>
        <v>3.05</v>
      </c>
      <c r="E14" s="39">
        <f>C74</f>
        <v>18</v>
      </c>
      <c r="F14" s="226">
        <f>C96</f>
        <v>13.0375</v>
      </c>
      <c r="G14" s="226">
        <f>C99</f>
        <v>0.54198749999999996</v>
      </c>
      <c r="H14" s="226">
        <f>C100</f>
        <v>0</v>
      </c>
      <c r="I14" s="39"/>
      <c r="J14" s="39">
        <f>$J$4*C67/100</f>
        <v>0.2</v>
      </c>
      <c r="K14" s="39"/>
      <c r="L14" s="39"/>
      <c r="M14" s="39"/>
      <c r="N14" s="39"/>
      <c r="O14" s="39"/>
      <c r="Z14" s="39">
        <f>AA63</f>
        <v>2015</v>
      </c>
      <c r="AA14" s="39">
        <f>Z14</f>
        <v>2015</v>
      </c>
      <c r="AB14" s="39">
        <f>(AA72+AA70)/2/100</f>
        <v>3.8</v>
      </c>
      <c r="AC14" s="39">
        <f>AA74</f>
        <v>15</v>
      </c>
      <c r="AD14" s="226">
        <f>AA96</f>
        <v>3.4921875</v>
      </c>
      <c r="AE14" s="226">
        <f>AA99</f>
        <v>7.63625E-2</v>
      </c>
      <c r="AF14" s="226">
        <f>AA100</f>
        <v>1.0347222222222223</v>
      </c>
      <c r="AG14" s="39"/>
      <c r="AH14" s="39">
        <f>$J$4*AA67/100</f>
        <v>0.2</v>
      </c>
      <c r="AI14" s="39"/>
      <c r="AJ14" s="39"/>
      <c r="AK14" s="39"/>
      <c r="AL14" s="39"/>
      <c r="AM14" s="39"/>
    </row>
    <row r="15" spans="2:39" s="821" customFormat="1">
      <c r="B15" s="39">
        <f>D63</f>
        <v>2020</v>
      </c>
      <c r="C15" s="39"/>
      <c r="D15" s="39">
        <f>(D72+D70)/2/100</f>
        <v>3.2</v>
      </c>
      <c r="E15" s="39">
        <f>D74</f>
        <v>18</v>
      </c>
      <c r="F15" s="226">
        <f>D96</f>
        <v>12.2925</v>
      </c>
      <c r="G15" s="226">
        <f>D99</f>
        <v>0.51783490586254366</v>
      </c>
      <c r="H15" s="226">
        <f>D100</f>
        <v>0</v>
      </c>
      <c r="I15" s="39"/>
      <c r="J15" s="39">
        <f>$J$4*D67/100</f>
        <v>0.2</v>
      </c>
      <c r="K15" s="39"/>
      <c r="L15" s="39"/>
      <c r="M15" s="39"/>
      <c r="N15" s="39"/>
      <c r="O15" s="39"/>
      <c r="Z15" s="39">
        <f>AB63</f>
        <v>2020</v>
      </c>
      <c r="AA15" s="39"/>
      <c r="AB15" s="39">
        <f>(AB72+AB70)/2/100</f>
        <v>3.9</v>
      </c>
      <c r="AC15" s="39">
        <f>AB74</f>
        <v>15</v>
      </c>
      <c r="AD15" s="226">
        <f>AB96</f>
        <v>3.3059374999999998</v>
      </c>
      <c r="AE15" s="226">
        <f>AB99</f>
        <v>7.6828125000000011E-2</v>
      </c>
      <c r="AF15" s="226">
        <f>AB100</f>
        <v>0.97263888888888872</v>
      </c>
      <c r="AG15" s="39"/>
      <c r="AH15" s="39">
        <f>$J$4*AB67/100</f>
        <v>0.2</v>
      </c>
      <c r="AI15" s="39"/>
      <c r="AJ15" s="39"/>
      <c r="AK15" s="39"/>
      <c r="AL15" s="39"/>
      <c r="AM15" s="39"/>
    </row>
    <row r="16" spans="2:39" s="821" customFormat="1">
      <c r="B16" s="39">
        <f>E63</f>
        <v>2030</v>
      </c>
      <c r="C16" s="39"/>
      <c r="D16" s="39">
        <f>(E72+E70)/2/100</f>
        <v>3.3250000000000002</v>
      </c>
      <c r="E16" s="39">
        <f>E74</f>
        <v>18</v>
      </c>
      <c r="F16" s="226">
        <f>E96</f>
        <v>10.988750000000001</v>
      </c>
      <c r="G16" s="226">
        <f>E99</f>
        <v>0.47515472537302883</v>
      </c>
      <c r="H16" s="226">
        <f>E100</f>
        <v>0</v>
      </c>
      <c r="I16" s="39"/>
      <c r="J16" s="39">
        <f>$J$4*E67/100</f>
        <v>0.2</v>
      </c>
      <c r="K16" s="39"/>
      <c r="L16" s="39"/>
      <c r="M16" s="39"/>
      <c r="N16" s="39"/>
      <c r="O16" s="39"/>
      <c r="Z16" s="39">
        <f>AC63</f>
        <v>2030</v>
      </c>
      <c r="AA16" s="39"/>
      <c r="AB16" s="39">
        <f>(AC72+AC70)/2/100</f>
        <v>3.9750000000000001</v>
      </c>
      <c r="AC16" s="39">
        <f>AC74</f>
        <v>15</v>
      </c>
      <c r="AD16" s="226">
        <f>AC96</f>
        <v>2.9334375000000001</v>
      </c>
      <c r="AE16" s="226">
        <f>AC99</f>
        <v>8.6885624999999994E-2</v>
      </c>
      <c r="AF16" s="226">
        <f>AC100</f>
        <v>0.86916666666666664</v>
      </c>
      <c r="AG16" s="39"/>
      <c r="AH16" s="39">
        <f>$J$4*AC67/100</f>
        <v>0.2</v>
      </c>
      <c r="AI16" s="39"/>
      <c r="AJ16" s="39"/>
      <c r="AK16" s="39"/>
      <c r="AL16" s="39"/>
      <c r="AM16" s="39"/>
    </row>
    <row r="17" spans="1:55" s="821" customFormat="1">
      <c r="B17" s="39">
        <f>F63</f>
        <v>2050</v>
      </c>
      <c r="C17" s="39"/>
      <c r="D17" s="39">
        <f>(F72+F70)/2/100</f>
        <v>3.5</v>
      </c>
      <c r="E17" s="39">
        <f>F74</f>
        <v>18</v>
      </c>
      <c r="F17" s="226">
        <f>F96</f>
        <v>9.8712499999999999</v>
      </c>
      <c r="G17" s="226">
        <f>F99</f>
        <v>0.44464407412933504</v>
      </c>
      <c r="H17" s="226">
        <f>F100</f>
        <v>0</v>
      </c>
      <c r="I17" s="39"/>
      <c r="J17" s="39">
        <f>$J$4*F67/100</f>
        <v>0.2</v>
      </c>
      <c r="K17" s="39"/>
      <c r="L17" s="39"/>
      <c r="M17" s="39"/>
      <c r="N17" s="39"/>
      <c r="O17" s="39"/>
      <c r="Z17" s="39">
        <f>AD63</f>
        <v>2050</v>
      </c>
      <c r="AA17" s="39"/>
      <c r="AB17" s="39">
        <f>(AD72+AD70)/2/100</f>
        <v>4.0750000000000002</v>
      </c>
      <c r="AC17" s="39">
        <f>AD74</f>
        <v>15</v>
      </c>
      <c r="AD17" s="226">
        <f>AD96</f>
        <v>2.6540625000000002</v>
      </c>
      <c r="AE17" s="226">
        <f>AD99</f>
        <v>0.1122621875</v>
      </c>
      <c r="AF17" s="226">
        <f>AD100</f>
        <v>0.78638888888888892</v>
      </c>
      <c r="AG17" s="39"/>
      <c r="AH17" s="39">
        <f>$J$4*AD67/100</f>
        <v>0.2</v>
      </c>
      <c r="AI17" s="39"/>
      <c r="AJ17" s="39"/>
      <c r="AK17" s="39"/>
      <c r="AL17" s="39"/>
      <c r="AM17" s="39"/>
    </row>
    <row r="18" spans="1:55" s="821" customFormat="1">
      <c r="B18" s="603"/>
      <c r="C18" s="603"/>
      <c r="D18" s="603"/>
      <c r="E18" s="603"/>
      <c r="F18" s="847"/>
      <c r="G18" s="847"/>
      <c r="H18" s="847"/>
      <c r="I18" s="603"/>
      <c r="J18" s="603"/>
      <c r="K18" s="603"/>
      <c r="L18" s="603"/>
      <c r="M18" s="603"/>
      <c r="N18" s="603"/>
      <c r="O18" s="603"/>
      <c r="Z18" s="603"/>
      <c r="AA18" s="603"/>
      <c r="AB18" s="603"/>
      <c r="AC18" s="603"/>
      <c r="AD18" s="847"/>
      <c r="AE18" s="847"/>
      <c r="AF18" s="847"/>
      <c r="AG18" s="603"/>
      <c r="AH18" s="603"/>
      <c r="AI18" s="603"/>
      <c r="AJ18" s="603"/>
      <c r="AK18" s="603"/>
      <c r="AL18" s="603"/>
      <c r="AM18" s="603"/>
    </row>
    <row r="19" spans="1:55" s="821" customFormat="1" ht="16" thickBot="1">
      <c r="B19" s="603"/>
      <c r="C19" s="603"/>
      <c r="D19" s="603"/>
      <c r="E19" s="603"/>
      <c r="F19" s="604"/>
      <c r="G19" s="604"/>
      <c r="H19" s="671"/>
      <c r="I19" s="603"/>
      <c r="J19" s="603"/>
      <c r="K19" s="603"/>
      <c r="L19" s="603"/>
      <c r="M19" s="603"/>
      <c r="N19" s="603"/>
      <c r="O19" s="603"/>
      <c r="Z19" s="603"/>
      <c r="AA19" s="603"/>
      <c r="AB19" s="603"/>
      <c r="AC19" s="603"/>
      <c r="AD19" s="604"/>
      <c r="AE19" s="604"/>
      <c r="AF19" s="671"/>
      <c r="AG19" s="603"/>
      <c r="AH19" s="603"/>
      <c r="AI19" s="603"/>
      <c r="AJ19" s="603"/>
      <c r="AK19" s="603"/>
      <c r="AL19" s="603"/>
      <c r="AM19" s="603"/>
    </row>
    <row r="20" spans="1:55" ht="15.75" customHeight="1" thickBot="1">
      <c r="B20" s="1061" t="s">
        <v>0</v>
      </c>
      <c r="C20" s="1249" t="s">
        <v>609</v>
      </c>
      <c r="D20" s="1250"/>
      <c r="E20" s="1250"/>
      <c r="F20" s="1250"/>
      <c r="G20" s="1250"/>
      <c r="H20" s="1250"/>
      <c r="I20" s="1250"/>
      <c r="J20" s="1250"/>
      <c r="K20" s="1250"/>
      <c r="L20" s="1251"/>
      <c r="M20" s="351"/>
      <c r="N20" s="351"/>
      <c r="O20" s="351"/>
      <c r="Z20" s="739" t="s">
        <v>0</v>
      </c>
      <c r="AA20" s="1249" t="s">
        <v>816</v>
      </c>
      <c r="AB20" s="1250"/>
      <c r="AC20" s="1250"/>
      <c r="AD20" s="1250"/>
      <c r="AE20" s="1250"/>
      <c r="AF20" s="1250"/>
      <c r="AG20" s="1250"/>
      <c r="AH20" s="1250"/>
      <c r="AI20" s="1250"/>
      <c r="AJ20" s="1251"/>
      <c r="AK20" s="351"/>
      <c r="AL20" s="351"/>
      <c r="AM20" s="351"/>
    </row>
    <row r="21" spans="1:55" ht="15.75" customHeight="1" thickBot="1">
      <c r="A21" s="562"/>
      <c r="B21" s="1062"/>
      <c r="C21" s="1255">
        <v>2015</v>
      </c>
      <c r="D21" s="1256">
        <v>2020</v>
      </c>
      <c r="E21" s="1256">
        <v>2030</v>
      </c>
      <c r="F21" s="1252">
        <v>2050</v>
      </c>
      <c r="G21" s="1254" t="s">
        <v>467</v>
      </c>
      <c r="H21" s="1252"/>
      <c r="I21" s="1255" t="s">
        <v>468</v>
      </c>
      <c r="J21" s="1252"/>
      <c r="K21" s="1256" t="s">
        <v>2</v>
      </c>
      <c r="L21" s="1256" t="s">
        <v>3</v>
      </c>
      <c r="M21" s="351"/>
      <c r="N21" s="351"/>
      <c r="O21" s="351"/>
      <c r="P21" s="439"/>
      <c r="Q21" s="439"/>
      <c r="R21" s="439"/>
      <c r="S21" s="439"/>
      <c r="T21" s="439"/>
      <c r="U21" s="439"/>
      <c r="V21" s="562"/>
      <c r="W21" s="562"/>
      <c r="X21" s="562"/>
      <c r="Y21" s="562"/>
      <c r="Z21" s="564"/>
      <c r="AA21" s="1256">
        <v>2015</v>
      </c>
      <c r="AB21" s="1256">
        <v>2020</v>
      </c>
      <c r="AC21" s="1256">
        <v>2030</v>
      </c>
      <c r="AD21" s="1256">
        <v>2050</v>
      </c>
      <c r="AE21" s="1309" t="s">
        <v>467</v>
      </c>
      <c r="AF21" s="1310"/>
      <c r="AG21" s="1309" t="s">
        <v>468</v>
      </c>
      <c r="AH21" s="1310"/>
      <c r="AI21" s="1256" t="s">
        <v>2</v>
      </c>
      <c r="AJ21" s="1256" t="s">
        <v>3</v>
      </c>
      <c r="AK21" s="351"/>
      <c r="AL21" s="351"/>
      <c r="AM21" s="351"/>
      <c r="AN21" s="562"/>
      <c r="AO21" s="562"/>
      <c r="AP21" s="562"/>
      <c r="AQ21" s="562"/>
      <c r="AR21" s="562"/>
      <c r="AS21" s="562"/>
      <c r="AT21" s="562"/>
      <c r="AU21" s="562"/>
      <c r="AV21" s="562"/>
      <c r="AW21" s="562"/>
      <c r="AX21" s="562"/>
      <c r="AY21" s="562"/>
      <c r="AZ21" s="562"/>
      <c r="BA21" s="562"/>
      <c r="BB21" s="562"/>
      <c r="BC21" s="562"/>
    </row>
    <row r="22" spans="1:55" ht="15.75" customHeight="1" thickBot="1">
      <c r="A22" s="562"/>
      <c r="B22" s="1063" t="s">
        <v>4</v>
      </c>
      <c r="C22" s="1259"/>
      <c r="D22" s="1257"/>
      <c r="E22" s="1257"/>
      <c r="F22" s="1253"/>
      <c r="G22" s="1064" t="s">
        <v>469</v>
      </c>
      <c r="H22" s="1065" t="s">
        <v>470</v>
      </c>
      <c r="I22" s="1065" t="s">
        <v>469</v>
      </c>
      <c r="J22" s="1066" t="s">
        <v>470</v>
      </c>
      <c r="K22" s="1257"/>
      <c r="L22" s="1257"/>
      <c r="M22" s="561"/>
      <c r="N22" s="561"/>
      <c r="O22" s="561"/>
      <c r="P22" s="439"/>
      <c r="Q22" s="439"/>
      <c r="R22" s="439"/>
      <c r="S22" s="439"/>
      <c r="T22" s="439"/>
      <c r="U22" s="439"/>
      <c r="V22" s="562"/>
      <c r="W22" s="562"/>
      <c r="X22" s="562"/>
      <c r="Y22" s="562"/>
      <c r="Z22" s="766" t="s">
        <v>4</v>
      </c>
      <c r="AA22" s="1257"/>
      <c r="AB22" s="1257"/>
      <c r="AC22" s="1257"/>
      <c r="AD22" s="1257"/>
      <c r="AE22" s="741" t="s">
        <v>469</v>
      </c>
      <c r="AF22" s="742" t="s">
        <v>470</v>
      </c>
      <c r="AG22" s="742" t="s">
        <v>469</v>
      </c>
      <c r="AH22" s="743" t="s">
        <v>470</v>
      </c>
      <c r="AI22" s="1257"/>
      <c r="AJ22" s="1257"/>
      <c r="AK22" s="561"/>
      <c r="AL22" s="561"/>
      <c r="AM22" s="561"/>
      <c r="AN22" s="562"/>
      <c r="AO22" s="562"/>
      <c r="AP22" s="562"/>
      <c r="AQ22" s="562"/>
      <c r="AR22" s="562"/>
      <c r="AS22" s="562"/>
      <c r="AT22" s="562"/>
      <c r="AU22" s="562"/>
      <c r="AV22" s="562"/>
      <c r="AW22" s="562"/>
      <c r="AX22" s="562"/>
      <c r="AY22" s="562"/>
      <c r="AZ22" s="562"/>
      <c r="BA22" s="562"/>
      <c r="BB22" s="562"/>
      <c r="BC22" s="562"/>
    </row>
    <row r="23" spans="1:55" ht="16" thickBot="1">
      <c r="A23" s="562"/>
      <c r="B23" s="1067" t="s">
        <v>5</v>
      </c>
      <c r="C23" s="1076">
        <v>10</v>
      </c>
      <c r="D23" s="1076">
        <v>10</v>
      </c>
      <c r="E23" s="1076">
        <v>10</v>
      </c>
      <c r="F23" s="1076">
        <v>10</v>
      </c>
      <c r="G23" s="1060">
        <v>5</v>
      </c>
      <c r="H23" s="1060">
        <v>15</v>
      </c>
      <c r="I23" s="1060">
        <v>5</v>
      </c>
      <c r="J23" s="1060">
        <v>15</v>
      </c>
      <c r="K23" s="1060"/>
      <c r="L23" s="1060" t="s">
        <v>571</v>
      </c>
      <c r="M23" s="826"/>
      <c r="N23" s="826"/>
      <c r="O23" s="826"/>
      <c r="P23" s="439"/>
      <c r="Q23" s="439"/>
      <c r="R23" s="439"/>
      <c r="S23" s="439"/>
      <c r="T23" s="439"/>
      <c r="U23" s="439"/>
      <c r="V23" s="562"/>
      <c r="W23" s="562"/>
      <c r="X23" s="562"/>
      <c r="Y23" s="562"/>
      <c r="Z23" s="744" t="s">
        <v>5</v>
      </c>
      <c r="AA23" s="771">
        <v>400</v>
      </c>
      <c r="AB23" s="771">
        <v>400</v>
      </c>
      <c r="AC23" s="771">
        <v>400</v>
      </c>
      <c r="AD23" s="771">
        <v>400</v>
      </c>
      <c r="AE23" s="854">
        <v>300</v>
      </c>
      <c r="AF23" s="854">
        <v>500</v>
      </c>
      <c r="AG23" s="854">
        <v>300</v>
      </c>
      <c r="AH23" s="854">
        <v>500</v>
      </c>
      <c r="AI23" s="854"/>
      <c r="AJ23" s="854">
        <v>5.6</v>
      </c>
      <c r="AK23" s="826"/>
      <c r="AL23" s="826"/>
      <c r="AM23" s="826"/>
      <c r="AN23" s="562"/>
      <c r="AO23" s="562"/>
      <c r="AP23" s="562"/>
      <c r="AQ23" s="562"/>
      <c r="AR23" s="562"/>
      <c r="AS23" s="562"/>
      <c r="AT23" s="562"/>
      <c r="AU23" s="562"/>
      <c r="AV23" s="562"/>
      <c r="AW23" s="562"/>
      <c r="AX23" s="562"/>
      <c r="AY23" s="562"/>
      <c r="AZ23" s="562"/>
      <c r="BA23" s="562"/>
      <c r="BB23" s="562"/>
      <c r="BC23" s="562"/>
    </row>
    <row r="24" spans="1:55" ht="16" thickBot="1">
      <c r="A24" s="562"/>
      <c r="B24" s="1067" t="s">
        <v>77</v>
      </c>
      <c r="C24" s="1060">
        <v>0</v>
      </c>
      <c r="D24" s="1060">
        <v>0</v>
      </c>
      <c r="E24" s="1060">
        <v>0</v>
      </c>
      <c r="F24" s="1060">
        <v>0</v>
      </c>
      <c r="G24" s="1060">
        <v>0</v>
      </c>
      <c r="H24" s="1060">
        <v>0</v>
      </c>
      <c r="I24" s="1060">
        <v>0</v>
      </c>
      <c r="J24" s="1060">
        <v>0</v>
      </c>
      <c r="K24" s="1060"/>
      <c r="L24" s="1060"/>
      <c r="M24" s="826"/>
      <c r="N24" s="826"/>
      <c r="O24" s="826"/>
      <c r="P24" s="439"/>
      <c r="Q24" s="439"/>
      <c r="R24" s="439"/>
      <c r="S24" s="439"/>
      <c r="T24" s="439"/>
      <c r="U24" s="439"/>
      <c r="V24" s="562"/>
      <c r="W24" s="562"/>
      <c r="X24" s="562"/>
      <c r="Y24" s="562"/>
      <c r="Z24" s="744" t="s">
        <v>77</v>
      </c>
      <c r="AA24" s="854">
        <v>0</v>
      </c>
      <c r="AB24" s="854">
        <v>0</v>
      </c>
      <c r="AC24" s="854">
        <v>0</v>
      </c>
      <c r="AD24" s="854">
        <v>0</v>
      </c>
      <c r="AE24" s="854">
        <v>0</v>
      </c>
      <c r="AF24" s="854">
        <v>0</v>
      </c>
      <c r="AG24" s="854">
        <v>0</v>
      </c>
      <c r="AH24" s="854">
        <v>0</v>
      </c>
      <c r="AI24" s="854"/>
      <c r="AJ24" s="854"/>
      <c r="AK24" s="826"/>
      <c r="AL24" s="826"/>
      <c r="AM24" s="826"/>
      <c r="AN24" s="562"/>
      <c r="AO24" s="562"/>
      <c r="AP24" s="562"/>
      <c r="AQ24" s="562"/>
      <c r="AR24" s="562"/>
      <c r="AS24" s="562"/>
      <c r="AT24" s="562"/>
      <c r="AU24" s="562"/>
      <c r="AV24" s="562"/>
      <c r="AW24" s="562"/>
      <c r="AX24" s="562"/>
      <c r="AY24" s="562"/>
      <c r="AZ24" s="562"/>
      <c r="BA24" s="562"/>
      <c r="BB24" s="562"/>
      <c r="BC24" s="562"/>
    </row>
    <row r="25" spans="1:55" ht="25" thickBot="1">
      <c r="A25" s="562"/>
      <c r="B25" s="1067" t="s">
        <v>7</v>
      </c>
      <c r="C25" s="1060">
        <v>100</v>
      </c>
      <c r="D25" s="1060">
        <v>100</v>
      </c>
      <c r="E25" s="1060">
        <v>100</v>
      </c>
      <c r="F25" s="1060">
        <v>100</v>
      </c>
      <c r="G25" s="1060">
        <v>70</v>
      </c>
      <c r="H25" s="1060">
        <v>100</v>
      </c>
      <c r="I25" s="1060">
        <v>70</v>
      </c>
      <c r="J25" s="1060">
        <v>100</v>
      </c>
      <c r="K25" s="1060" t="s">
        <v>610</v>
      </c>
      <c r="L25" s="1060" t="s">
        <v>572</v>
      </c>
      <c r="M25" s="826"/>
      <c r="N25" s="826"/>
      <c r="O25" s="826"/>
      <c r="P25" s="439"/>
      <c r="Q25" s="439"/>
      <c r="R25" s="439"/>
      <c r="S25" s="439"/>
      <c r="T25" s="439"/>
      <c r="U25" s="439"/>
      <c r="V25" s="562"/>
      <c r="W25" s="562"/>
      <c r="X25" s="562"/>
      <c r="Y25" s="562"/>
      <c r="Z25" s="744" t="s">
        <v>7</v>
      </c>
      <c r="AA25" s="854">
        <v>100</v>
      </c>
      <c r="AB25" s="854">
        <v>100</v>
      </c>
      <c r="AC25" s="854">
        <v>100</v>
      </c>
      <c r="AD25" s="854">
        <v>100</v>
      </c>
      <c r="AE25" s="854">
        <v>70</v>
      </c>
      <c r="AF25" s="854">
        <v>100</v>
      </c>
      <c r="AG25" s="854">
        <v>70</v>
      </c>
      <c r="AH25" s="854">
        <v>100</v>
      </c>
      <c r="AI25" s="854" t="s">
        <v>23</v>
      </c>
      <c r="AJ25" s="854"/>
      <c r="AK25" s="826"/>
      <c r="AL25" s="826"/>
      <c r="AM25" s="826"/>
      <c r="AN25" s="562"/>
      <c r="AO25" s="562"/>
      <c r="AP25" s="562"/>
      <c r="AQ25" s="562"/>
      <c r="AR25" s="562"/>
      <c r="AS25" s="562"/>
      <c r="AT25" s="562"/>
      <c r="AU25" s="562"/>
      <c r="AV25" s="562"/>
      <c r="AW25" s="562"/>
      <c r="AX25" s="562"/>
      <c r="AY25" s="562"/>
      <c r="AZ25" s="562"/>
      <c r="BA25" s="562"/>
      <c r="BB25" s="562"/>
      <c r="BC25" s="562"/>
    </row>
    <row r="26" spans="1:55" ht="25" thickBot="1">
      <c r="A26" s="562"/>
      <c r="B26" s="1067" t="s">
        <v>8</v>
      </c>
      <c r="C26" s="1060">
        <v>100</v>
      </c>
      <c r="D26" s="1060">
        <v>100</v>
      </c>
      <c r="E26" s="1060">
        <v>100</v>
      </c>
      <c r="F26" s="1060">
        <v>100</v>
      </c>
      <c r="G26" s="1060">
        <v>70</v>
      </c>
      <c r="H26" s="1060">
        <v>100</v>
      </c>
      <c r="I26" s="1060">
        <v>70</v>
      </c>
      <c r="J26" s="1060">
        <v>100</v>
      </c>
      <c r="K26" s="1060" t="s">
        <v>610</v>
      </c>
      <c r="L26" s="1060">
        <v>1.2</v>
      </c>
      <c r="M26" s="826"/>
      <c r="N26" s="826"/>
      <c r="O26" s="826"/>
      <c r="P26" s="439"/>
      <c r="Q26" s="439"/>
      <c r="R26" s="439"/>
      <c r="S26" s="439"/>
      <c r="T26" s="439"/>
      <c r="U26" s="439"/>
      <c r="V26" s="562"/>
      <c r="W26" s="562"/>
      <c r="X26" s="562"/>
      <c r="Y26" s="562"/>
      <c r="Z26" s="744" t="s">
        <v>8</v>
      </c>
      <c r="AA26" s="854">
        <v>100</v>
      </c>
      <c r="AB26" s="854">
        <v>100</v>
      </c>
      <c r="AC26" s="854">
        <v>100</v>
      </c>
      <c r="AD26" s="854">
        <v>100</v>
      </c>
      <c r="AE26" s="854">
        <v>70</v>
      </c>
      <c r="AF26" s="854">
        <v>100</v>
      </c>
      <c r="AG26" s="854">
        <v>70</v>
      </c>
      <c r="AH26" s="854">
        <v>100</v>
      </c>
      <c r="AI26" s="854" t="s">
        <v>23</v>
      </c>
      <c r="AJ26" s="854"/>
      <c r="AK26" s="826"/>
      <c r="AL26" s="826"/>
      <c r="AM26" s="826"/>
      <c r="AN26" s="562"/>
      <c r="AO26" s="562"/>
      <c r="AP26" s="562"/>
      <c r="AQ26" s="562"/>
      <c r="AR26" s="562"/>
      <c r="AS26" s="562"/>
      <c r="AT26" s="562"/>
      <c r="AU26" s="562"/>
      <c r="AV26" s="562"/>
      <c r="AW26" s="562"/>
      <c r="AX26" s="562"/>
      <c r="AY26" s="562"/>
      <c r="AZ26" s="562"/>
      <c r="BA26" s="562"/>
      <c r="BB26" s="562"/>
      <c r="BC26" s="562"/>
    </row>
    <row r="27" spans="1:55" s="821" customFormat="1" ht="25" thickBot="1">
      <c r="B27" s="1067" t="s">
        <v>573</v>
      </c>
      <c r="C27" s="1060">
        <v>400</v>
      </c>
      <c r="D27" s="1060">
        <v>410</v>
      </c>
      <c r="E27" s="1060">
        <v>430</v>
      </c>
      <c r="F27" s="1060">
        <v>450</v>
      </c>
      <c r="G27" s="1060">
        <v>380</v>
      </c>
      <c r="H27" s="1060">
        <v>450</v>
      </c>
      <c r="I27" s="1060">
        <v>380</v>
      </c>
      <c r="J27" s="1060">
        <v>500</v>
      </c>
      <c r="K27" s="1060" t="s">
        <v>498</v>
      </c>
      <c r="L27" s="1060" t="s">
        <v>574</v>
      </c>
      <c r="M27" s="826"/>
      <c r="N27" s="826"/>
      <c r="O27" s="826"/>
      <c r="P27" s="826"/>
      <c r="Q27" s="826"/>
      <c r="R27" s="826"/>
      <c r="S27" s="826"/>
      <c r="T27" s="826"/>
      <c r="U27" s="826"/>
      <c r="Z27" s="744" t="s">
        <v>573</v>
      </c>
      <c r="AA27" s="854">
        <v>430</v>
      </c>
      <c r="AB27" s="854">
        <v>440</v>
      </c>
      <c r="AC27" s="854">
        <v>450</v>
      </c>
      <c r="AD27" s="854">
        <v>480</v>
      </c>
      <c r="AE27" s="854">
        <v>430</v>
      </c>
      <c r="AF27" s="854">
        <v>460</v>
      </c>
      <c r="AG27" s="854">
        <v>440</v>
      </c>
      <c r="AH27" s="854">
        <v>500</v>
      </c>
      <c r="AI27" s="854" t="s">
        <v>498</v>
      </c>
      <c r="AJ27" s="854" t="s">
        <v>598</v>
      </c>
      <c r="AK27" s="826"/>
      <c r="AL27" s="826"/>
      <c r="AM27" s="826"/>
    </row>
    <row r="28" spans="1:55" s="821" customFormat="1" ht="25" thickBot="1">
      <c r="B28" s="1067" t="s">
        <v>575</v>
      </c>
      <c r="C28" s="1060">
        <v>390</v>
      </c>
      <c r="D28" s="1060">
        <v>400</v>
      </c>
      <c r="E28" s="1060">
        <v>420</v>
      </c>
      <c r="F28" s="1060">
        <v>440</v>
      </c>
      <c r="G28" s="1060">
        <v>370</v>
      </c>
      <c r="H28" s="1060">
        <v>440</v>
      </c>
      <c r="I28" s="1060">
        <v>370</v>
      </c>
      <c r="J28" s="1060">
        <v>490</v>
      </c>
      <c r="K28" s="1060" t="s">
        <v>481</v>
      </c>
      <c r="L28" s="1060" t="s">
        <v>574</v>
      </c>
      <c r="M28" s="826"/>
      <c r="N28" s="826"/>
      <c r="O28" s="826"/>
      <c r="P28" s="826"/>
      <c r="Q28" s="826"/>
      <c r="R28" s="826"/>
      <c r="S28" s="826"/>
      <c r="T28" s="826"/>
      <c r="U28" s="826"/>
      <c r="Z28" s="744" t="s">
        <v>575</v>
      </c>
      <c r="AA28" s="854">
        <v>410</v>
      </c>
      <c r="AB28" s="854">
        <v>420</v>
      </c>
      <c r="AC28" s="854">
        <v>430</v>
      </c>
      <c r="AD28" s="854">
        <v>460</v>
      </c>
      <c r="AE28" s="854">
        <v>410</v>
      </c>
      <c r="AF28" s="854">
        <v>450</v>
      </c>
      <c r="AG28" s="854">
        <v>420</v>
      </c>
      <c r="AH28" s="854">
        <v>480</v>
      </c>
      <c r="AI28" s="854" t="s">
        <v>481</v>
      </c>
      <c r="AJ28" s="854" t="s">
        <v>599</v>
      </c>
      <c r="AK28" s="826"/>
      <c r="AL28" s="826"/>
      <c r="AM28" s="826"/>
    </row>
    <row r="29" spans="1:55" ht="16" thickBot="1">
      <c r="A29" s="562"/>
      <c r="B29" s="1067" t="s">
        <v>576</v>
      </c>
      <c r="C29" s="1060">
        <v>330</v>
      </c>
      <c r="D29" s="1060">
        <v>340</v>
      </c>
      <c r="E29" s="1060">
        <v>360</v>
      </c>
      <c r="F29" s="1060">
        <v>380</v>
      </c>
      <c r="G29" s="1060">
        <v>310</v>
      </c>
      <c r="H29" s="1060">
        <v>370</v>
      </c>
      <c r="I29" s="1060">
        <v>310</v>
      </c>
      <c r="J29" s="1060">
        <v>400</v>
      </c>
      <c r="K29" s="1060" t="s">
        <v>498</v>
      </c>
      <c r="L29" s="1060" t="s">
        <v>574</v>
      </c>
      <c r="M29" s="826"/>
      <c r="N29" s="826"/>
      <c r="O29" s="826"/>
      <c r="P29" s="439"/>
      <c r="Q29" s="439"/>
      <c r="R29" s="439"/>
      <c r="S29" s="439"/>
      <c r="T29" s="439"/>
      <c r="U29" s="439"/>
      <c r="V29" s="562"/>
      <c r="W29" s="562"/>
      <c r="X29" s="562"/>
      <c r="Y29" s="562"/>
      <c r="Z29" s="744" t="s">
        <v>576</v>
      </c>
      <c r="AA29" s="854">
        <v>380</v>
      </c>
      <c r="AB29" s="854">
        <v>390</v>
      </c>
      <c r="AC29" s="854">
        <v>400</v>
      </c>
      <c r="AD29" s="854">
        <v>415</v>
      </c>
      <c r="AE29" s="854">
        <v>380</v>
      </c>
      <c r="AF29" s="854">
        <v>420</v>
      </c>
      <c r="AG29" s="854">
        <v>390</v>
      </c>
      <c r="AH29" s="854">
        <v>450</v>
      </c>
      <c r="AI29" s="854" t="s">
        <v>498</v>
      </c>
      <c r="AJ29" s="854" t="s">
        <v>598</v>
      </c>
      <c r="AK29" s="826"/>
      <c r="AL29" s="826"/>
      <c r="AM29" s="826"/>
      <c r="AN29" s="562"/>
      <c r="AO29" s="562"/>
      <c r="AP29" s="562"/>
      <c r="AQ29" s="562"/>
      <c r="AR29" s="562"/>
      <c r="AS29" s="562"/>
      <c r="AT29" s="562"/>
      <c r="AU29" s="562"/>
      <c r="AV29" s="562"/>
      <c r="AW29" s="562"/>
      <c r="AX29" s="562"/>
      <c r="AY29" s="562"/>
      <c r="AZ29" s="562"/>
      <c r="BA29" s="562"/>
      <c r="BB29" s="562"/>
      <c r="BC29" s="562"/>
    </row>
    <row r="30" spans="1:55" ht="25" thickBot="1">
      <c r="A30" s="562"/>
      <c r="B30" s="1067" t="s">
        <v>577</v>
      </c>
      <c r="C30" s="1060">
        <v>325</v>
      </c>
      <c r="D30" s="1060">
        <v>335</v>
      </c>
      <c r="E30" s="1060">
        <v>355</v>
      </c>
      <c r="F30" s="1060">
        <v>370</v>
      </c>
      <c r="G30" s="1060">
        <v>300</v>
      </c>
      <c r="H30" s="1060">
        <v>360</v>
      </c>
      <c r="I30" s="1060">
        <v>300</v>
      </c>
      <c r="J30" s="1060">
        <v>390</v>
      </c>
      <c r="K30" s="1060" t="s">
        <v>481</v>
      </c>
      <c r="L30" s="1060" t="s">
        <v>574</v>
      </c>
      <c r="M30" s="826"/>
      <c r="N30" s="826"/>
      <c r="O30" s="826"/>
      <c r="P30" s="439"/>
      <c r="Q30" s="439"/>
      <c r="R30" s="439"/>
      <c r="S30" s="439"/>
      <c r="T30" s="439"/>
      <c r="U30" s="439"/>
      <c r="V30" s="562"/>
      <c r="W30" s="562"/>
      <c r="X30" s="562"/>
      <c r="Y30" s="562"/>
      <c r="Z30" s="744" t="s">
        <v>577</v>
      </c>
      <c r="AA30" s="854">
        <v>365</v>
      </c>
      <c r="AB30" s="854">
        <v>375</v>
      </c>
      <c r="AC30" s="854">
        <v>390</v>
      </c>
      <c r="AD30" s="854">
        <v>405</v>
      </c>
      <c r="AE30" s="854">
        <v>370</v>
      </c>
      <c r="AF30" s="854">
        <v>410</v>
      </c>
      <c r="AG30" s="854">
        <v>375</v>
      </c>
      <c r="AH30" s="854">
        <v>430</v>
      </c>
      <c r="AI30" s="854" t="s">
        <v>481</v>
      </c>
      <c r="AJ30" s="854" t="s">
        <v>599</v>
      </c>
      <c r="AK30" s="826"/>
      <c r="AL30" s="826"/>
      <c r="AM30" s="826"/>
      <c r="AN30" s="562"/>
      <c r="AO30" s="562"/>
      <c r="AP30" s="562"/>
      <c r="AQ30" s="562"/>
      <c r="AR30" s="562"/>
      <c r="AS30" s="562"/>
      <c r="AT30" s="562"/>
      <c r="AU30" s="562"/>
      <c r="AV30" s="562"/>
      <c r="AW30" s="562"/>
      <c r="AX30" s="562"/>
      <c r="AY30" s="562"/>
      <c r="AZ30" s="562"/>
      <c r="BA30" s="562"/>
      <c r="BB30" s="562"/>
      <c r="BC30" s="562"/>
    </row>
    <row r="31" spans="1:55" ht="16" thickBot="1">
      <c r="A31" s="562"/>
      <c r="B31" s="1067" t="s">
        <v>472</v>
      </c>
      <c r="C31" s="1060">
        <v>100</v>
      </c>
      <c r="D31" s="1060">
        <v>100</v>
      </c>
      <c r="E31" s="1060">
        <v>100</v>
      </c>
      <c r="F31" s="1060">
        <v>100</v>
      </c>
      <c r="G31" s="1060">
        <v>80</v>
      </c>
      <c r="H31" s="1060">
        <v>120</v>
      </c>
      <c r="I31" s="1060">
        <v>80</v>
      </c>
      <c r="J31" s="1060">
        <v>120</v>
      </c>
      <c r="K31" s="1060" t="s">
        <v>279</v>
      </c>
      <c r="L31" s="1060">
        <v>4</v>
      </c>
      <c r="M31" s="826"/>
      <c r="N31" s="826"/>
      <c r="O31" s="826"/>
      <c r="P31" s="439"/>
      <c r="Q31" s="439"/>
      <c r="R31" s="439"/>
      <c r="S31" s="439"/>
      <c r="T31" s="439"/>
      <c r="U31" s="439"/>
      <c r="V31" s="562"/>
      <c r="W31" s="562"/>
      <c r="X31" s="562"/>
      <c r="Y31" s="562"/>
      <c r="Z31" s="744" t="s">
        <v>472</v>
      </c>
      <c r="AA31" s="854">
        <v>10000</v>
      </c>
      <c r="AB31" s="854">
        <v>10000</v>
      </c>
      <c r="AC31" s="854">
        <v>10000</v>
      </c>
      <c r="AD31" s="854">
        <v>10000</v>
      </c>
      <c r="AE31" s="854">
        <v>8000</v>
      </c>
      <c r="AF31" s="854">
        <v>12000</v>
      </c>
      <c r="AG31" s="854">
        <v>8000</v>
      </c>
      <c r="AH31" s="854">
        <v>12000</v>
      </c>
      <c r="AI31" s="854" t="s">
        <v>279</v>
      </c>
      <c r="AJ31" s="854">
        <v>4.7</v>
      </c>
      <c r="AK31" s="826"/>
      <c r="AL31" s="826"/>
      <c r="AM31" s="826"/>
      <c r="AN31" s="562"/>
      <c r="AO31" s="562"/>
      <c r="AP31" s="562"/>
      <c r="AQ31" s="562"/>
      <c r="AR31" s="562"/>
      <c r="AS31" s="562"/>
      <c r="AT31" s="562"/>
      <c r="AU31" s="562"/>
      <c r="AV31" s="562"/>
      <c r="AW31" s="562"/>
      <c r="AX31" s="562"/>
      <c r="AY31" s="562"/>
      <c r="AZ31" s="562"/>
      <c r="BA31" s="562"/>
      <c r="BB31" s="562"/>
      <c r="BC31" s="562"/>
    </row>
    <row r="32" spans="1:55" ht="27" customHeight="1" thickBot="1">
      <c r="A32" s="562"/>
      <c r="B32" s="1067" t="s">
        <v>10</v>
      </c>
      <c r="C32" s="1060">
        <v>18</v>
      </c>
      <c r="D32" s="1060">
        <v>18</v>
      </c>
      <c r="E32" s="1060">
        <v>18</v>
      </c>
      <c r="F32" s="1060">
        <v>18</v>
      </c>
      <c r="G32" s="1060">
        <v>15</v>
      </c>
      <c r="H32" s="1060">
        <v>20</v>
      </c>
      <c r="I32" s="1060">
        <v>15</v>
      </c>
      <c r="J32" s="1060">
        <v>20</v>
      </c>
      <c r="K32" s="1060"/>
      <c r="L32" s="1060"/>
      <c r="M32" s="35"/>
      <c r="N32" s="826"/>
      <c r="O32" s="826"/>
      <c r="P32" s="439"/>
      <c r="Q32" s="439"/>
      <c r="R32" s="439"/>
      <c r="S32" s="439"/>
      <c r="T32" s="439"/>
      <c r="U32" s="439"/>
      <c r="V32" s="562"/>
      <c r="W32" s="562"/>
      <c r="X32" s="562"/>
      <c r="Y32" s="562"/>
      <c r="Z32" s="744" t="s">
        <v>10</v>
      </c>
      <c r="AA32" s="854">
        <v>15</v>
      </c>
      <c r="AB32" s="854">
        <v>15</v>
      </c>
      <c r="AC32" s="854">
        <v>15</v>
      </c>
      <c r="AD32" s="854">
        <v>15</v>
      </c>
      <c r="AE32" s="854">
        <v>12</v>
      </c>
      <c r="AF32" s="854">
        <v>20</v>
      </c>
      <c r="AG32" s="854">
        <v>12</v>
      </c>
      <c r="AH32" s="854">
        <v>20</v>
      </c>
      <c r="AI32" s="854"/>
      <c r="AJ32" s="854">
        <v>7.12</v>
      </c>
      <c r="AK32" s="35"/>
      <c r="AL32" s="826"/>
      <c r="AM32" s="826"/>
      <c r="AN32" s="562"/>
      <c r="AO32" s="562"/>
      <c r="AP32" s="562"/>
      <c r="AQ32" s="562"/>
      <c r="AR32" s="562"/>
      <c r="AS32" s="562"/>
      <c r="AT32" s="562"/>
      <c r="AU32" s="562"/>
      <c r="AV32" s="562"/>
      <c r="AW32" s="562"/>
      <c r="AX32" s="562"/>
      <c r="AY32" s="562"/>
      <c r="AZ32" s="562"/>
      <c r="BA32" s="562"/>
      <c r="BB32" s="562"/>
      <c r="BC32" s="562"/>
    </row>
    <row r="33" spans="1:55" ht="16" thickBot="1">
      <c r="A33" s="562"/>
      <c r="B33" s="1063" t="s">
        <v>488</v>
      </c>
      <c r="C33" s="1068"/>
      <c r="D33" s="1068"/>
      <c r="E33" s="1068"/>
      <c r="F33" s="1068"/>
      <c r="G33" s="1068"/>
      <c r="H33" s="1068"/>
      <c r="I33" s="1068"/>
      <c r="J33" s="1068"/>
      <c r="K33" s="1068"/>
      <c r="L33" s="1060"/>
      <c r="M33" s="561"/>
      <c r="N33" s="826"/>
      <c r="O33" s="826"/>
      <c r="P33" s="439"/>
      <c r="Q33" s="439"/>
      <c r="R33" s="439"/>
      <c r="S33" s="439"/>
      <c r="T33" s="439"/>
      <c r="U33" s="439"/>
      <c r="V33" s="562"/>
      <c r="W33" s="562"/>
      <c r="X33" s="562"/>
      <c r="Y33" s="562"/>
      <c r="Z33" s="766" t="s">
        <v>488</v>
      </c>
      <c r="AA33" s="857"/>
      <c r="AB33" s="857"/>
      <c r="AC33" s="857"/>
      <c r="AD33" s="857"/>
      <c r="AE33" s="857"/>
      <c r="AF33" s="857"/>
      <c r="AG33" s="857"/>
      <c r="AH33" s="857"/>
      <c r="AI33" s="857"/>
      <c r="AJ33" s="854"/>
      <c r="AK33" s="561"/>
      <c r="AL33" s="826"/>
      <c r="AM33" s="826"/>
      <c r="AN33" s="562"/>
      <c r="AO33" s="562"/>
      <c r="AP33" s="562"/>
      <c r="AQ33" s="562"/>
      <c r="AR33" s="562"/>
      <c r="AS33" s="562"/>
      <c r="AT33" s="562"/>
      <c r="AU33" s="562"/>
      <c r="AV33" s="562"/>
      <c r="AW33" s="562"/>
      <c r="AX33" s="562"/>
      <c r="AY33" s="562"/>
      <c r="AZ33" s="562"/>
      <c r="BA33" s="562"/>
      <c r="BB33" s="562"/>
      <c r="BC33" s="562"/>
    </row>
    <row r="34" spans="1:55" ht="16" thickBot="1">
      <c r="A34" s="562"/>
      <c r="B34" s="1067" t="s">
        <v>578</v>
      </c>
      <c r="C34" s="1069">
        <v>100</v>
      </c>
      <c r="D34" s="1069">
        <v>100</v>
      </c>
      <c r="E34" s="1069">
        <v>100</v>
      </c>
      <c r="F34" s="1069">
        <v>100</v>
      </c>
      <c r="G34" s="1069">
        <v>50</v>
      </c>
      <c r="H34" s="1069">
        <v>100</v>
      </c>
      <c r="I34" s="1069">
        <v>50</v>
      </c>
      <c r="J34" s="1069">
        <v>100</v>
      </c>
      <c r="K34" s="1069"/>
      <c r="L34" s="1060" t="s">
        <v>572</v>
      </c>
      <c r="M34" s="826"/>
      <c r="N34" s="826"/>
      <c r="O34" s="826"/>
      <c r="P34" s="439"/>
      <c r="Q34" s="439"/>
      <c r="R34" s="439"/>
      <c r="S34" s="439"/>
      <c r="T34" s="439"/>
      <c r="U34" s="439"/>
      <c r="V34" s="562"/>
      <c r="W34" s="562"/>
      <c r="X34" s="562"/>
      <c r="Y34" s="562"/>
      <c r="Z34" s="744" t="s">
        <v>578</v>
      </c>
      <c r="AA34" s="746">
        <v>50</v>
      </c>
      <c r="AB34" s="746">
        <v>50</v>
      </c>
      <c r="AC34" s="746">
        <v>50</v>
      </c>
      <c r="AD34" s="746">
        <v>50</v>
      </c>
      <c r="AE34" s="746">
        <v>10</v>
      </c>
      <c r="AF34" s="746">
        <v>100</v>
      </c>
      <c r="AG34" s="746">
        <v>10</v>
      </c>
      <c r="AH34" s="746">
        <v>100</v>
      </c>
      <c r="AI34" s="746"/>
      <c r="AJ34" s="854">
        <v>7.11</v>
      </c>
      <c r="AK34" s="826"/>
      <c r="AL34" s="826"/>
      <c r="AM34" s="826"/>
      <c r="AN34" s="562"/>
      <c r="AO34" s="562"/>
      <c r="AP34" s="562"/>
      <c r="AQ34" s="562"/>
      <c r="AR34" s="562"/>
      <c r="AS34" s="562"/>
      <c r="AT34" s="562"/>
      <c r="AU34" s="562"/>
      <c r="AV34" s="562"/>
      <c r="AW34" s="562"/>
      <c r="AX34" s="562"/>
      <c r="AY34" s="562"/>
      <c r="AZ34" s="562"/>
      <c r="BA34" s="562"/>
      <c r="BB34" s="562"/>
      <c r="BC34" s="562"/>
    </row>
    <row r="35" spans="1:55" ht="16" thickBot="1">
      <c r="A35" s="562"/>
      <c r="B35" s="1067" t="s">
        <v>492</v>
      </c>
      <c r="C35" s="1069">
        <v>0</v>
      </c>
      <c r="D35" s="1069">
        <v>0</v>
      </c>
      <c r="E35" s="1069">
        <v>0</v>
      </c>
      <c r="F35" s="1069">
        <v>0</v>
      </c>
      <c r="G35" s="1069">
        <v>0</v>
      </c>
      <c r="H35" s="1069">
        <v>0</v>
      </c>
      <c r="I35" s="1069">
        <v>0</v>
      </c>
      <c r="J35" s="1069">
        <v>0</v>
      </c>
      <c r="K35" s="1069"/>
      <c r="L35" s="1060" t="s">
        <v>572</v>
      </c>
      <c r="M35" s="826"/>
      <c r="N35" s="826"/>
      <c r="O35" s="826"/>
      <c r="P35" s="439"/>
      <c r="Q35" s="439"/>
      <c r="R35" s="439"/>
      <c r="S35" s="439"/>
      <c r="T35" s="439"/>
      <c r="U35" s="439"/>
      <c r="V35" s="562"/>
      <c r="W35" s="562"/>
      <c r="X35" s="562"/>
      <c r="Y35" s="562"/>
      <c r="Z35" s="744" t="s">
        <v>492</v>
      </c>
      <c r="AA35" s="746">
        <v>0</v>
      </c>
      <c r="AB35" s="746">
        <v>0</v>
      </c>
      <c r="AC35" s="746">
        <v>0</v>
      </c>
      <c r="AD35" s="746">
        <v>0</v>
      </c>
      <c r="AE35" s="746">
        <v>0</v>
      </c>
      <c r="AF35" s="746">
        <v>0</v>
      </c>
      <c r="AG35" s="746">
        <v>0</v>
      </c>
      <c r="AH35" s="746">
        <v>0</v>
      </c>
      <c r="AI35" s="746"/>
      <c r="AJ35" s="854">
        <v>11</v>
      </c>
      <c r="AK35" s="826"/>
      <c r="AL35" s="826"/>
      <c r="AM35" s="826"/>
      <c r="AN35" s="562"/>
      <c r="AO35" s="562"/>
      <c r="AP35" s="562"/>
      <c r="AQ35" s="562"/>
      <c r="AR35" s="562"/>
      <c r="AS35" s="562"/>
      <c r="AT35" s="562"/>
      <c r="AU35" s="562"/>
      <c r="AV35" s="562"/>
      <c r="AW35" s="562"/>
      <c r="AX35" s="562"/>
      <c r="AY35" s="562"/>
      <c r="AZ35" s="562"/>
      <c r="BA35" s="562"/>
      <c r="BB35" s="562"/>
      <c r="BC35" s="562"/>
    </row>
    <row r="36" spans="1:55" ht="16" thickBot="1">
      <c r="A36" s="562"/>
      <c r="B36" s="1067" t="s">
        <v>493</v>
      </c>
      <c r="C36" s="1069">
        <v>0</v>
      </c>
      <c r="D36" s="1069">
        <v>0</v>
      </c>
      <c r="E36" s="1069">
        <v>0</v>
      </c>
      <c r="F36" s="1069">
        <v>0</v>
      </c>
      <c r="G36" s="1069">
        <v>0</v>
      </c>
      <c r="H36" s="1069">
        <v>0</v>
      </c>
      <c r="I36" s="1069">
        <v>0</v>
      </c>
      <c r="J36" s="1069">
        <v>0</v>
      </c>
      <c r="K36" s="1069"/>
      <c r="L36" s="1060" t="s">
        <v>572</v>
      </c>
      <c r="M36" s="826"/>
      <c r="N36" s="826"/>
      <c r="O36" s="826"/>
      <c r="P36" s="439"/>
      <c r="Q36" s="439"/>
      <c r="R36" s="439"/>
      <c r="S36" s="439"/>
      <c r="T36" s="439"/>
      <c r="U36" s="439"/>
      <c r="V36" s="562"/>
      <c r="W36" s="562"/>
      <c r="X36" s="562"/>
      <c r="Y36" s="562"/>
      <c r="Z36" s="744" t="s">
        <v>493</v>
      </c>
      <c r="AA36" s="746">
        <v>0</v>
      </c>
      <c r="AB36" s="746">
        <v>0</v>
      </c>
      <c r="AC36" s="746">
        <v>0</v>
      </c>
      <c r="AD36" s="746">
        <v>0</v>
      </c>
      <c r="AE36" s="746">
        <v>0</v>
      </c>
      <c r="AF36" s="746">
        <v>0</v>
      </c>
      <c r="AG36" s="746">
        <v>0</v>
      </c>
      <c r="AH36" s="746">
        <v>0</v>
      </c>
      <c r="AI36" s="746"/>
      <c r="AJ36" s="854">
        <v>11</v>
      </c>
      <c r="AK36" s="826"/>
      <c r="AL36" s="826"/>
      <c r="AM36" s="826"/>
      <c r="AN36" s="562"/>
      <c r="AO36" s="562"/>
      <c r="AP36" s="562"/>
      <c r="AQ36" s="562"/>
      <c r="AR36" s="562"/>
      <c r="AS36" s="562"/>
      <c r="AT36" s="562"/>
      <c r="AU36" s="562"/>
      <c r="AV36" s="562"/>
      <c r="AW36" s="562"/>
      <c r="AX36" s="562"/>
      <c r="AY36" s="562"/>
      <c r="AZ36" s="562"/>
      <c r="BA36" s="562"/>
      <c r="BB36" s="562"/>
      <c r="BC36" s="562"/>
    </row>
    <row r="37" spans="1:55" ht="16" thickBot="1">
      <c r="A37" s="562"/>
      <c r="B37" s="1063" t="s">
        <v>11</v>
      </c>
      <c r="C37" s="1070"/>
      <c r="D37" s="1070"/>
      <c r="E37" s="1070"/>
      <c r="F37" s="1070"/>
      <c r="G37" s="1070"/>
      <c r="H37" s="1070"/>
      <c r="I37" s="1070"/>
      <c r="J37" s="1070"/>
      <c r="K37" s="1070"/>
      <c r="L37" s="1071"/>
      <c r="M37" s="826"/>
      <c r="N37" s="826"/>
      <c r="O37" s="826"/>
      <c r="P37" s="439"/>
      <c r="Q37" s="439"/>
      <c r="R37" s="439"/>
      <c r="S37" s="439"/>
      <c r="T37" s="439"/>
      <c r="U37" s="439"/>
      <c r="V37" s="562"/>
      <c r="W37" s="562"/>
      <c r="X37" s="562"/>
      <c r="Y37" s="562"/>
      <c r="Z37" s="766" t="s">
        <v>11</v>
      </c>
      <c r="AA37" s="767"/>
      <c r="AB37" s="767"/>
      <c r="AC37" s="767"/>
      <c r="AD37" s="767"/>
      <c r="AE37" s="767"/>
      <c r="AF37" s="767"/>
      <c r="AG37" s="767"/>
      <c r="AH37" s="767"/>
      <c r="AI37" s="767"/>
      <c r="AJ37" s="768"/>
      <c r="AK37" s="826"/>
      <c r="AL37" s="826"/>
      <c r="AM37" s="826"/>
      <c r="AN37" s="562"/>
      <c r="AO37" s="562"/>
      <c r="AP37" s="562"/>
      <c r="AQ37" s="562"/>
      <c r="AR37" s="562"/>
      <c r="AS37" s="562"/>
      <c r="AT37" s="562"/>
      <c r="AU37" s="562"/>
      <c r="AV37" s="562"/>
      <c r="AW37" s="562"/>
      <c r="AX37" s="562"/>
      <c r="AY37" s="562"/>
      <c r="AZ37" s="562"/>
      <c r="BA37" s="562"/>
      <c r="BB37" s="562"/>
      <c r="BC37" s="562"/>
    </row>
    <row r="38" spans="1:55" ht="16" thickBot="1">
      <c r="A38" s="562"/>
      <c r="B38" s="1067" t="s">
        <v>474</v>
      </c>
      <c r="C38" s="1069" t="s">
        <v>487</v>
      </c>
      <c r="D38" s="1069" t="s">
        <v>487</v>
      </c>
      <c r="E38" s="1069" t="s">
        <v>487</v>
      </c>
      <c r="F38" s="1069" t="s">
        <v>487</v>
      </c>
      <c r="G38" s="1069" t="s">
        <v>487</v>
      </c>
      <c r="H38" s="1069" t="s">
        <v>487</v>
      </c>
      <c r="I38" s="1069" t="s">
        <v>487</v>
      </c>
      <c r="J38" s="1069" t="s">
        <v>487</v>
      </c>
      <c r="K38" s="1060"/>
      <c r="L38" s="1060"/>
      <c r="M38" s="826"/>
      <c r="N38" s="826"/>
      <c r="O38" s="826"/>
      <c r="P38" s="439"/>
      <c r="Q38" s="439"/>
      <c r="R38" s="439"/>
      <c r="S38" s="439"/>
      <c r="T38" s="439"/>
      <c r="U38" s="439"/>
      <c r="V38" s="562"/>
      <c r="W38" s="562"/>
      <c r="X38" s="562"/>
      <c r="Y38" s="562"/>
      <c r="Z38" s="744" t="s">
        <v>474</v>
      </c>
      <c r="AA38" s="746" t="s">
        <v>487</v>
      </c>
      <c r="AB38" s="746" t="s">
        <v>487</v>
      </c>
      <c r="AC38" s="746" t="s">
        <v>487</v>
      </c>
      <c r="AD38" s="746" t="s">
        <v>487</v>
      </c>
      <c r="AE38" s="746" t="s">
        <v>487</v>
      </c>
      <c r="AF38" s="746" t="s">
        <v>487</v>
      </c>
      <c r="AG38" s="746" t="s">
        <v>487</v>
      </c>
      <c r="AH38" s="746" t="s">
        <v>487</v>
      </c>
      <c r="AI38" s="854"/>
      <c r="AJ38" s="854"/>
      <c r="AK38" s="826"/>
      <c r="AL38" s="826"/>
      <c r="AM38" s="826"/>
      <c r="AN38" s="562"/>
      <c r="AO38" s="562"/>
      <c r="AP38" s="562"/>
      <c r="AQ38" s="562"/>
      <c r="AR38" s="562"/>
      <c r="AS38" s="562"/>
      <c r="AT38" s="562"/>
      <c r="AU38" s="562"/>
      <c r="AV38" s="562"/>
      <c r="AW38" s="562"/>
      <c r="AX38" s="562"/>
      <c r="AY38" s="562"/>
      <c r="AZ38" s="562"/>
      <c r="BA38" s="562"/>
      <c r="BB38" s="562"/>
      <c r="BC38" s="562"/>
    </row>
    <row r="39" spans="1:55" ht="16" thickBot="1">
      <c r="A39" s="562"/>
      <c r="B39" s="1067" t="s">
        <v>475</v>
      </c>
      <c r="C39" s="1069" t="s">
        <v>487</v>
      </c>
      <c r="D39" s="1069" t="s">
        <v>487</v>
      </c>
      <c r="E39" s="1069" t="s">
        <v>487</v>
      </c>
      <c r="F39" s="1069" t="s">
        <v>487</v>
      </c>
      <c r="G39" s="1069" t="s">
        <v>487</v>
      </c>
      <c r="H39" s="1069" t="s">
        <v>487</v>
      </c>
      <c r="I39" s="1069" t="s">
        <v>487</v>
      </c>
      <c r="J39" s="1069" t="s">
        <v>487</v>
      </c>
      <c r="K39" s="1060"/>
      <c r="L39" s="1060"/>
      <c r="M39" s="826"/>
      <c r="N39" s="826"/>
      <c r="O39" s="826"/>
      <c r="P39" s="439"/>
      <c r="Q39" s="439"/>
      <c r="R39" s="439"/>
      <c r="S39" s="439"/>
      <c r="T39" s="439"/>
      <c r="U39" s="439"/>
      <c r="V39" s="562"/>
      <c r="W39" s="562"/>
      <c r="X39" s="562"/>
      <c r="Y39" s="562"/>
      <c r="Z39" s="744" t="s">
        <v>475</v>
      </c>
      <c r="AA39" s="746" t="s">
        <v>487</v>
      </c>
      <c r="AB39" s="746" t="s">
        <v>487</v>
      </c>
      <c r="AC39" s="746" t="s">
        <v>487</v>
      </c>
      <c r="AD39" s="746" t="s">
        <v>487</v>
      </c>
      <c r="AE39" s="746" t="s">
        <v>487</v>
      </c>
      <c r="AF39" s="746" t="s">
        <v>487</v>
      </c>
      <c r="AG39" s="746" t="s">
        <v>487</v>
      </c>
      <c r="AH39" s="746" t="s">
        <v>487</v>
      </c>
      <c r="AI39" s="854"/>
      <c r="AJ39" s="854"/>
      <c r="AK39" s="826"/>
      <c r="AL39" s="826"/>
      <c r="AM39" s="826"/>
      <c r="AN39" s="562"/>
      <c r="AO39" s="562"/>
      <c r="AP39" s="562"/>
      <c r="AQ39" s="562"/>
      <c r="AR39" s="562"/>
      <c r="AS39" s="562"/>
      <c r="AT39" s="562"/>
      <c r="AU39" s="562"/>
      <c r="AV39" s="562"/>
      <c r="AW39" s="562"/>
      <c r="AX39" s="562"/>
      <c r="AY39" s="562"/>
      <c r="AZ39" s="562"/>
      <c r="BA39" s="562"/>
      <c r="BB39" s="562"/>
      <c r="BC39" s="562"/>
    </row>
    <row r="40" spans="1:55" ht="16" thickBot="1">
      <c r="A40" s="562"/>
      <c r="B40" s="1067" t="s">
        <v>476</v>
      </c>
      <c r="C40" s="1069" t="s">
        <v>487</v>
      </c>
      <c r="D40" s="1069" t="s">
        <v>487</v>
      </c>
      <c r="E40" s="1069" t="s">
        <v>487</v>
      </c>
      <c r="F40" s="1069" t="s">
        <v>487</v>
      </c>
      <c r="G40" s="1069" t="s">
        <v>487</v>
      </c>
      <c r="H40" s="1069" t="s">
        <v>487</v>
      </c>
      <c r="I40" s="1069" t="s">
        <v>487</v>
      </c>
      <c r="J40" s="1069" t="s">
        <v>487</v>
      </c>
      <c r="K40" s="1060"/>
      <c r="L40" s="1060"/>
      <c r="M40" s="826"/>
      <c r="N40" s="826"/>
      <c r="O40" s="826"/>
      <c r="P40" s="439"/>
      <c r="Q40" s="439"/>
      <c r="R40" s="439"/>
      <c r="S40" s="439"/>
      <c r="T40" s="439"/>
      <c r="U40" s="439"/>
      <c r="V40" s="562"/>
      <c r="W40" s="562"/>
      <c r="X40" s="562"/>
      <c r="Y40" s="562"/>
      <c r="Z40" s="744" t="s">
        <v>476</v>
      </c>
      <c r="AA40" s="746" t="s">
        <v>487</v>
      </c>
      <c r="AB40" s="746" t="s">
        <v>487</v>
      </c>
      <c r="AC40" s="746" t="s">
        <v>487</v>
      </c>
      <c r="AD40" s="746" t="s">
        <v>487</v>
      </c>
      <c r="AE40" s="746" t="s">
        <v>487</v>
      </c>
      <c r="AF40" s="746" t="s">
        <v>487</v>
      </c>
      <c r="AG40" s="746" t="s">
        <v>487</v>
      </c>
      <c r="AH40" s="746" t="s">
        <v>487</v>
      </c>
      <c r="AI40" s="854"/>
      <c r="AJ40" s="854"/>
      <c r="AK40" s="826"/>
      <c r="AL40" s="826"/>
      <c r="AM40" s="826"/>
      <c r="AN40" s="562"/>
      <c r="AO40" s="562"/>
      <c r="AP40" s="562"/>
      <c r="AQ40" s="562"/>
      <c r="AR40" s="562"/>
      <c r="AS40" s="562"/>
      <c r="AT40" s="562"/>
      <c r="AU40" s="562"/>
      <c r="AV40" s="562"/>
      <c r="AW40" s="562"/>
      <c r="AX40" s="562"/>
      <c r="AY40" s="562"/>
      <c r="AZ40" s="562"/>
      <c r="BA40" s="562"/>
      <c r="BB40" s="562"/>
      <c r="BC40" s="562"/>
    </row>
    <row r="41" spans="1:55" ht="16" thickBot="1">
      <c r="A41" s="562"/>
      <c r="B41" s="1067" t="s">
        <v>477</v>
      </c>
      <c r="C41" s="1069" t="s">
        <v>487</v>
      </c>
      <c r="D41" s="1069" t="s">
        <v>487</v>
      </c>
      <c r="E41" s="1069" t="s">
        <v>487</v>
      </c>
      <c r="F41" s="1069" t="s">
        <v>487</v>
      </c>
      <c r="G41" s="1069" t="s">
        <v>487</v>
      </c>
      <c r="H41" s="1069" t="s">
        <v>487</v>
      </c>
      <c r="I41" s="1069" t="s">
        <v>487</v>
      </c>
      <c r="J41" s="1069" t="s">
        <v>487</v>
      </c>
      <c r="K41" s="1060"/>
      <c r="L41" s="1060"/>
      <c r="M41" s="826"/>
      <c r="N41" s="826"/>
      <c r="O41" s="826"/>
      <c r="P41" s="439"/>
      <c r="Q41" s="439"/>
      <c r="R41" s="439"/>
      <c r="S41" s="439"/>
      <c r="T41" s="439"/>
      <c r="U41" s="439"/>
      <c r="V41" s="562"/>
      <c r="W41" s="562"/>
      <c r="X41" s="562"/>
      <c r="Y41" s="562"/>
      <c r="Z41" s="744" t="s">
        <v>477</v>
      </c>
      <c r="AA41" s="746" t="s">
        <v>487</v>
      </c>
      <c r="AB41" s="746" t="s">
        <v>487</v>
      </c>
      <c r="AC41" s="746" t="s">
        <v>487</v>
      </c>
      <c r="AD41" s="746" t="s">
        <v>487</v>
      </c>
      <c r="AE41" s="746" t="s">
        <v>487</v>
      </c>
      <c r="AF41" s="746" t="s">
        <v>487</v>
      </c>
      <c r="AG41" s="746" t="s">
        <v>487</v>
      </c>
      <c r="AH41" s="746" t="s">
        <v>487</v>
      </c>
      <c r="AI41" s="854"/>
      <c r="AJ41" s="854"/>
      <c r="AK41" s="826"/>
      <c r="AL41" s="826"/>
      <c r="AM41" s="826"/>
      <c r="AN41" s="562"/>
      <c r="AO41" s="562"/>
      <c r="AP41" s="562"/>
      <c r="AQ41" s="562"/>
      <c r="AR41" s="562"/>
      <c r="AS41" s="562"/>
      <c r="AT41" s="562"/>
      <c r="AU41" s="562"/>
      <c r="AV41" s="562"/>
      <c r="AW41" s="562"/>
      <c r="AX41" s="562"/>
      <c r="AY41" s="562"/>
      <c r="AZ41" s="562"/>
      <c r="BA41" s="562"/>
      <c r="BB41" s="562"/>
      <c r="BC41" s="562"/>
    </row>
    <row r="42" spans="1:55" ht="16" thickBot="1">
      <c r="A42" s="562"/>
      <c r="B42" s="1067" t="s">
        <v>18</v>
      </c>
      <c r="C42" s="1069" t="s">
        <v>487</v>
      </c>
      <c r="D42" s="1069" t="s">
        <v>487</v>
      </c>
      <c r="E42" s="1069" t="s">
        <v>487</v>
      </c>
      <c r="F42" s="1069" t="s">
        <v>487</v>
      </c>
      <c r="G42" s="1069" t="s">
        <v>487</v>
      </c>
      <c r="H42" s="1069" t="s">
        <v>487</v>
      </c>
      <c r="I42" s="1069" t="s">
        <v>487</v>
      </c>
      <c r="J42" s="1069" t="s">
        <v>487</v>
      </c>
      <c r="K42" s="1060"/>
      <c r="L42" s="1060"/>
      <c r="M42" s="826"/>
      <c r="N42" s="826"/>
      <c r="O42" s="826"/>
      <c r="P42" s="439"/>
      <c r="Q42" s="439"/>
      <c r="R42" s="439"/>
      <c r="S42" s="439"/>
      <c r="T42" s="439"/>
      <c r="U42" s="439"/>
      <c r="V42" s="562"/>
      <c r="W42" s="562"/>
      <c r="X42" s="562"/>
      <c r="Y42" s="562"/>
      <c r="Z42" s="744" t="s">
        <v>18</v>
      </c>
      <c r="AA42" s="746" t="s">
        <v>487</v>
      </c>
      <c r="AB42" s="746" t="s">
        <v>487</v>
      </c>
      <c r="AC42" s="746" t="s">
        <v>487</v>
      </c>
      <c r="AD42" s="746" t="s">
        <v>487</v>
      </c>
      <c r="AE42" s="746" t="s">
        <v>487</v>
      </c>
      <c r="AF42" s="746" t="s">
        <v>487</v>
      </c>
      <c r="AG42" s="746" t="s">
        <v>487</v>
      </c>
      <c r="AH42" s="746" t="s">
        <v>487</v>
      </c>
      <c r="AI42" s="854"/>
      <c r="AJ42" s="854"/>
      <c r="AK42" s="826"/>
      <c r="AL42" s="826"/>
      <c r="AM42" s="826"/>
      <c r="AN42" s="562"/>
      <c r="AO42" s="562"/>
      <c r="AP42" s="562"/>
      <c r="AQ42" s="562"/>
      <c r="AR42" s="562"/>
      <c r="AS42" s="562"/>
      <c r="AT42" s="562"/>
      <c r="AU42" s="562"/>
      <c r="AV42" s="562"/>
      <c r="AW42" s="562"/>
      <c r="AX42" s="562"/>
      <c r="AY42" s="562"/>
      <c r="AZ42" s="562"/>
      <c r="BA42" s="562"/>
      <c r="BB42" s="562"/>
      <c r="BC42" s="562"/>
    </row>
    <row r="43" spans="1:55" ht="16" thickBot="1">
      <c r="A43" s="562"/>
      <c r="B43" s="1063" t="s">
        <v>20</v>
      </c>
      <c r="C43" s="1070"/>
      <c r="D43" s="1070"/>
      <c r="E43" s="1070"/>
      <c r="F43" s="1070"/>
      <c r="G43" s="1070"/>
      <c r="H43" s="1070"/>
      <c r="I43" s="1070"/>
      <c r="J43" s="1070"/>
      <c r="K43" s="1070"/>
      <c r="L43" s="1071"/>
      <c r="M43" s="826"/>
      <c r="N43" s="826"/>
      <c r="O43" s="826"/>
      <c r="P43" s="439"/>
      <c r="Q43" s="439"/>
      <c r="R43" s="439"/>
      <c r="S43" s="439"/>
      <c r="T43" s="439"/>
      <c r="U43" s="439"/>
      <c r="V43" s="562"/>
      <c r="W43" s="562"/>
      <c r="X43" s="562"/>
      <c r="Y43" s="562"/>
      <c r="Z43" s="766" t="s">
        <v>20</v>
      </c>
      <c r="AA43" s="767"/>
      <c r="AB43" s="767"/>
      <c r="AC43" s="767"/>
      <c r="AD43" s="767"/>
      <c r="AE43" s="767"/>
      <c r="AF43" s="767"/>
      <c r="AG43" s="767"/>
      <c r="AH43" s="767"/>
      <c r="AI43" s="767"/>
      <c r="AJ43" s="768"/>
      <c r="AK43" s="826"/>
      <c r="AL43" s="826"/>
      <c r="AM43" s="826"/>
      <c r="AN43" s="562"/>
      <c r="AO43" s="562"/>
      <c r="AP43" s="562"/>
      <c r="AQ43" s="562"/>
      <c r="AR43" s="562"/>
      <c r="AS43" s="562"/>
      <c r="AT43" s="562"/>
      <c r="AU43" s="562"/>
      <c r="AV43" s="562"/>
      <c r="AW43" s="562"/>
      <c r="AX43" s="562"/>
      <c r="AY43" s="562"/>
      <c r="AZ43" s="562"/>
      <c r="BA43" s="562"/>
      <c r="BB43" s="562"/>
      <c r="BC43" s="562"/>
    </row>
    <row r="44" spans="1:55">
      <c r="A44" s="562"/>
      <c r="B44" s="1072" t="s">
        <v>22</v>
      </c>
      <c r="C44" s="1075">
        <v>10</v>
      </c>
      <c r="D44" s="1074">
        <v>9.3999999999999986</v>
      </c>
      <c r="E44" s="1073">
        <v>8.5</v>
      </c>
      <c r="F44" s="1073">
        <v>7.6</v>
      </c>
      <c r="G44" s="1075">
        <v>8</v>
      </c>
      <c r="H44" s="1075">
        <v>12</v>
      </c>
      <c r="I44" s="1075">
        <v>6</v>
      </c>
      <c r="J44" s="1075">
        <v>12</v>
      </c>
      <c r="K44" s="1075"/>
      <c r="L44" s="1075" t="s">
        <v>579</v>
      </c>
      <c r="M44" s="826"/>
      <c r="N44" s="826"/>
      <c r="O44" s="826"/>
      <c r="P44" s="439"/>
      <c r="Q44" s="439"/>
      <c r="R44" s="439"/>
      <c r="S44" s="439"/>
      <c r="T44" s="439"/>
      <c r="U44" s="439"/>
      <c r="V44" s="562"/>
      <c r="W44" s="562"/>
      <c r="X44" s="562"/>
      <c r="Y44" s="562"/>
      <c r="Z44" s="573" t="s">
        <v>22</v>
      </c>
      <c r="AA44" s="769">
        <v>150</v>
      </c>
      <c r="AB44" s="594">
        <v>141</v>
      </c>
      <c r="AC44" s="594">
        <v>127</v>
      </c>
      <c r="AD44" s="594">
        <v>114</v>
      </c>
      <c r="AE44" s="769">
        <v>130</v>
      </c>
      <c r="AF44" s="769">
        <v>160</v>
      </c>
      <c r="AG44" s="769">
        <v>100</v>
      </c>
      <c r="AH44" s="769">
        <v>150</v>
      </c>
      <c r="AI44" s="769"/>
      <c r="AJ44" s="769">
        <v>12.15</v>
      </c>
      <c r="AK44" s="826"/>
      <c r="AL44" s="826"/>
      <c r="AM44" s="826"/>
      <c r="AN44" s="562"/>
      <c r="AO44" s="562"/>
      <c r="AP44" s="562"/>
      <c r="AQ44" s="562"/>
      <c r="AR44" s="562"/>
      <c r="AS44" s="562"/>
      <c r="AT44" s="562"/>
      <c r="AU44" s="562"/>
      <c r="AV44" s="562"/>
      <c r="AW44" s="562"/>
      <c r="AX44" s="562"/>
      <c r="AY44" s="562"/>
      <c r="AZ44" s="562"/>
      <c r="BA44" s="562"/>
      <c r="BB44" s="562"/>
      <c r="BC44" s="562"/>
    </row>
    <row r="45" spans="1:55">
      <c r="A45" s="562"/>
      <c r="B45" s="1072" t="s">
        <v>24</v>
      </c>
      <c r="C45" s="1075">
        <v>70</v>
      </c>
      <c r="D45" s="1075">
        <v>70</v>
      </c>
      <c r="E45" s="1075">
        <v>65</v>
      </c>
      <c r="F45" s="1075">
        <v>60</v>
      </c>
      <c r="G45" s="1075">
        <v>50</v>
      </c>
      <c r="H45" s="1075">
        <v>85</v>
      </c>
      <c r="I45" s="1075">
        <v>50</v>
      </c>
      <c r="J45" s="1075">
        <v>85</v>
      </c>
      <c r="K45" s="1075" t="s">
        <v>42</v>
      </c>
      <c r="L45" s="1075" t="s">
        <v>572</v>
      </c>
      <c r="M45" s="826"/>
      <c r="N45" s="826"/>
      <c r="O45" s="826"/>
      <c r="P45" s="439"/>
      <c r="Q45" s="439"/>
      <c r="R45" s="439"/>
      <c r="S45" s="439"/>
      <c r="T45" s="439"/>
      <c r="U45" s="439"/>
      <c r="V45" s="562"/>
      <c r="W45" s="562"/>
      <c r="X45" s="562"/>
      <c r="Y45" s="562"/>
      <c r="Z45" s="573" t="s">
        <v>24</v>
      </c>
      <c r="AA45" s="769">
        <v>70</v>
      </c>
      <c r="AB45" s="574">
        <v>70</v>
      </c>
      <c r="AC45" s="574">
        <v>70</v>
      </c>
      <c r="AD45" s="574">
        <v>70</v>
      </c>
      <c r="AE45" s="769">
        <v>50</v>
      </c>
      <c r="AF45" s="769">
        <v>85</v>
      </c>
      <c r="AG45" s="769">
        <v>50</v>
      </c>
      <c r="AH45" s="769">
        <v>85</v>
      </c>
      <c r="AI45" s="769" t="s">
        <v>42</v>
      </c>
      <c r="AJ45" s="769">
        <v>12</v>
      </c>
      <c r="AK45" s="826"/>
      <c r="AL45" s="826"/>
      <c r="AM45" s="826"/>
      <c r="AN45" s="562"/>
      <c r="AO45" s="562"/>
      <c r="AP45" s="562"/>
      <c r="AQ45" s="562"/>
      <c r="AR45" s="562"/>
      <c r="AS45" s="562"/>
      <c r="AT45" s="562"/>
      <c r="AU45" s="562"/>
      <c r="AV45" s="562"/>
      <c r="AW45" s="562"/>
      <c r="AX45" s="562"/>
      <c r="AY45" s="562"/>
      <c r="AZ45" s="562"/>
      <c r="BA45" s="562"/>
      <c r="BB45" s="562"/>
      <c r="BC45" s="562"/>
    </row>
    <row r="46" spans="1:55" ht="16" thickBot="1">
      <c r="A46" s="562"/>
      <c r="B46" s="1067" t="s">
        <v>26</v>
      </c>
      <c r="C46" s="1060">
        <v>30</v>
      </c>
      <c r="D46" s="1060">
        <v>30</v>
      </c>
      <c r="E46" s="1060">
        <v>35</v>
      </c>
      <c r="F46" s="1060">
        <v>40</v>
      </c>
      <c r="G46" s="1060">
        <v>15</v>
      </c>
      <c r="H46" s="1060">
        <v>50</v>
      </c>
      <c r="I46" s="1060">
        <v>15</v>
      </c>
      <c r="J46" s="1060">
        <v>50</v>
      </c>
      <c r="K46" s="1060"/>
      <c r="L46" s="1060" t="s">
        <v>572</v>
      </c>
      <c r="M46" s="826"/>
      <c r="N46" s="826"/>
      <c r="O46" s="826"/>
      <c r="P46" s="439"/>
      <c r="Q46" s="439"/>
      <c r="R46" s="439"/>
      <c r="S46" s="439"/>
      <c r="T46" s="439"/>
      <c r="U46" s="439"/>
      <c r="V46" s="562"/>
      <c r="W46" s="562"/>
      <c r="X46" s="562"/>
      <c r="Y46" s="562"/>
      <c r="Z46" s="744" t="s">
        <v>26</v>
      </c>
      <c r="AA46" s="854">
        <v>30</v>
      </c>
      <c r="AB46" s="568">
        <v>30</v>
      </c>
      <c r="AC46" s="568">
        <v>30</v>
      </c>
      <c r="AD46" s="568">
        <v>30</v>
      </c>
      <c r="AE46" s="854">
        <v>15</v>
      </c>
      <c r="AF46" s="854">
        <v>50</v>
      </c>
      <c r="AG46" s="854">
        <v>15</v>
      </c>
      <c r="AH46" s="854">
        <v>50</v>
      </c>
      <c r="AI46" s="854"/>
      <c r="AJ46" s="854">
        <v>12</v>
      </c>
      <c r="AK46" s="826"/>
      <c r="AL46" s="826"/>
      <c r="AM46" s="826"/>
      <c r="AN46" s="562"/>
      <c r="AO46" s="562"/>
      <c r="AP46" s="562"/>
      <c r="AQ46" s="562"/>
      <c r="AR46" s="562"/>
      <c r="AS46" s="562"/>
      <c r="AT46" s="562"/>
      <c r="AU46" s="562"/>
      <c r="AV46" s="562"/>
      <c r="AW46" s="562"/>
      <c r="AX46" s="562"/>
      <c r="AY46" s="562"/>
      <c r="AZ46" s="562"/>
      <c r="BA46" s="562"/>
      <c r="BB46" s="562"/>
      <c r="BC46" s="562"/>
    </row>
    <row r="47" spans="1:55" ht="25" thickBot="1">
      <c r="A47" s="562"/>
      <c r="B47" s="1067" t="s">
        <v>28</v>
      </c>
      <c r="C47" s="1060"/>
      <c r="D47" s="1060"/>
      <c r="E47" s="1060"/>
      <c r="F47" s="1060"/>
      <c r="G47" s="1060"/>
      <c r="H47" s="1060"/>
      <c r="I47" s="1060"/>
      <c r="J47" s="1060"/>
      <c r="K47" s="1060"/>
      <c r="L47" s="1060"/>
      <c r="M47" s="826"/>
      <c r="N47" s="826"/>
      <c r="O47" s="826"/>
      <c r="P47" s="439"/>
      <c r="Q47" s="439"/>
      <c r="R47" s="439"/>
      <c r="S47" s="439"/>
      <c r="T47" s="439"/>
      <c r="U47" s="439"/>
      <c r="V47" s="562"/>
      <c r="W47" s="562"/>
      <c r="X47" s="562"/>
      <c r="Y47" s="562"/>
      <c r="Z47" s="744" t="s">
        <v>28</v>
      </c>
      <c r="AA47" s="854"/>
      <c r="AB47" s="568"/>
      <c r="AC47" s="568"/>
      <c r="AD47" s="568"/>
      <c r="AE47" s="854"/>
      <c r="AF47" s="854"/>
      <c r="AG47" s="854"/>
      <c r="AH47" s="854"/>
      <c r="AI47" s="854"/>
      <c r="AJ47" s="854"/>
      <c r="AK47" s="826"/>
      <c r="AL47" s="826"/>
      <c r="AM47" s="826"/>
      <c r="AN47" s="562"/>
      <c r="AO47" s="562"/>
      <c r="AP47" s="562"/>
      <c r="AQ47" s="562"/>
      <c r="AR47" s="562"/>
      <c r="AS47" s="562"/>
      <c r="AT47" s="562"/>
      <c r="AU47" s="562"/>
      <c r="AV47" s="562"/>
      <c r="AW47" s="562"/>
      <c r="AX47" s="562"/>
      <c r="AY47" s="562"/>
      <c r="AZ47" s="562"/>
      <c r="BA47" s="562"/>
      <c r="BB47" s="562"/>
      <c r="BC47" s="562"/>
    </row>
    <row r="48" spans="1:55">
      <c r="A48" s="562"/>
      <c r="B48" s="1077" t="s">
        <v>44</v>
      </c>
      <c r="C48" s="1078">
        <v>291</v>
      </c>
      <c r="D48" s="1079">
        <v>278.03216422149995</v>
      </c>
      <c r="E48" s="1080">
        <v>255.11663107276718</v>
      </c>
      <c r="F48" s="1079">
        <v>238.73507335803222</v>
      </c>
      <c r="G48" s="1081">
        <v>256</v>
      </c>
      <c r="H48" s="1079">
        <v>328</v>
      </c>
      <c r="I48" s="1079">
        <v>188</v>
      </c>
      <c r="J48" s="1079">
        <v>295</v>
      </c>
      <c r="K48" s="1082"/>
      <c r="L48" s="1082"/>
      <c r="M48" s="826"/>
      <c r="N48" s="826"/>
      <c r="O48" s="826"/>
      <c r="P48" s="561"/>
      <c r="Q48" s="439"/>
      <c r="R48" s="439"/>
      <c r="S48" s="439"/>
      <c r="T48" s="439"/>
      <c r="U48" s="439"/>
      <c r="V48" s="562"/>
      <c r="W48" s="562"/>
      <c r="X48" s="562"/>
      <c r="Y48" s="562"/>
      <c r="Z48" s="708" t="s">
        <v>44</v>
      </c>
      <c r="AA48" s="582">
        <f>SUM(AA49:AA50)</f>
        <v>1640</v>
      </c>
      <c r="AB48" s="772">
        <f t="shared" ref="AB48:AH48" si="0">SUM(AB49:AB50)</f>
        <v>1650</v>
      </c>
      <c r="AC48" s="584">
        <f t="shared" si="0"/>
        <v>1866</v>
      </c>
      <c r="AD48" s="772">
        <f t="shared" si="0"/>
        <v>2411</v>
      </c>
      <c r="AE48" s="585">
        <f t="shared" si="0"/>
        <v>1070</v>
      </c>
      <c r="AF48" s="772">
        <f t="shared" si="0"/>
        <v>2850</v>
      </c>
      <c r="AG48" s="772">
        <f t="shared" si="0"/>
        <v>1820</v>
      </c>
      <c r="AH48" s="772">
        <f t="shared" si="0"/>
        <v>3980</v>
      </c>
      <c r="AI48" s="855"/>
      <c r="AJ48" s="855"/>
      <c r="AK48" s="826"/>
      <c r="AL48" s="826"/>
      <c r="AM48" s="826"/>
      <c r="AN48" s="562"/>
      <c r="AO48" s="562"/>
      <c r="AP48" s="562"/>
      <c r="AQ48" s="562"/>
      <c r="AR48" s="562"/>
      <c r="AS48" s="562"/>
      <c r="AT48" s="562"/>
      <c r="AU48" s="562"/>
      <c r="AV48" s="562"/>
      <c r="AW48" s="562"/>
      <c r="AX48" s="562"/>
      <c r="AY48" s="562"/>
      <c r="AZ48" s="562"/>
      <c r="BA48" s="562"/>
      <c r="BB48" s="562"/>
      <c r="BC48" s="562"/>
    </row>
    <row r="49" spans="1:55">
      <c r="A49" s="562"/>
      <c r="B49" s="1083" t="s">
        <v>479</v>
      </c>
      <c r="C49" s="1084">
        <v>6</v>
      </c>
      <c r="D49" s="1084">
        <v>7</v>
      </c>
      <c r="E49" s="1084">
        <v>10</v>
      </c>
      <c r="F49" s="1084">
        <v>17</v>
      </c>
      <c r="G49" s="1084">
        <v>6</v>
      </c>
      <c r="H49" s="1084">
        <v>8</v>
      </c>
      <c r="I49" s="1084">
        <v>13</v>
      </c>
      <c r="J49" s="1084">
        <v>20</v>
      </c>
      <c r="K49" s="1085" t="s">
        <v>279</v>
      </c>
      <c r="L49" s="1085"/>
      <c r="M49" s="826"/>
      <c r="N49" s="826"/>
      <c r="O49" s="826"/>
      <c r="P49" s="561"/>
      <c r="Q49" s="439"/>
      <c r="R49" s="439"/>
      <c r="S49" s="439"/>
      <c r="T49" s="439"/>
      <c r="U49" s="439"/>
      <c r="V49" s="562"/>
      <c r="W49" s="562"/>
      <c r="X49" s="562"/>
      <c r="Y49" s="562"/>
      <c r="Z49" s="586" t="s">
        <v>479</v>
      </c>
      <c r="AA49" s="587">
        <v>640</v>
      </c>
      <c r="AB49" s="587">
        <v>710</v>
      </c>
      <c r="AC49" s="587">
        <v>1020</v>
      </c>
      <c r="AD49" s="587">
        <v>1650</v>
      </c>
      <c r="AE49" s="587">
        <v>570</v>
      </c>
      <c r="AF49" s="587">
        <v>850</v>
      </c>
      <c r="AG49" s="587">
        <v>1320</v>
      </c>
      <c r="AH49" s="587">
        <v>1980</v>
      </c>
      <c r="AI49" s="774" t="s">
        <v>279</v>
      </c>
      <c r="AJ49" s="774"/>
      <c r="AK49" s="826"/>
      <c r="AL49" s="826"/>
      <c r="AM49" s="826"/>
      <c r="AN49" s="562"/>
      <c r="AO49" s="562"/>
      <c r="AP49" s="562"/>
      <c r="AQ49" s="562"/>
      <c r="AR49" s="562"/>
      <c r="AS49" s="562"/>
      <c r="AT49" s="562"/>
      <c r="AU49" s="562"/>
      <c r="AV49" s="562"/>
      <c r="AW49" s="562"/>
      <c r="AX49" s="562"/>
      <c r="AY49" s="562"/>
      <c r="AZ49" s="562"/>
      <c r="BA49" s="562"/>
      <c r="BB49" s="562"/>
      <c r="BC49" s="562"/>
    </row>
    <row r="50" spans="1:55" s="821" customFormat="1" ht="16" thickBot="1">
      <c r="B50" s="1086" t="s">
        <v>480</v>
      </c>
      <c r="C50" s="1068">
        <v>285</v>
      </c>
      <c r="D50" s="1088">
        <v>271.03216422149995</v>
      </c>
      <c r="E50" s="1088">
        <v>245.11663107276718</v>
      </c>
      <c r="F50" s="1088">
        <v>221.73507335803222</v>
      </c>
      <c r="G50" s="1060">
        <v>250</v>
      </c>
      <c r="H50" s="1060">
        <v>320</v>
      </c>
      <c r="I50" s="1060">
        <v>175</v>
      </c>
      <c r="J50" s="1060">
        <v>275</v>
      </c>
      <c r="K50" s="1060"/>
      <c r="L50" s="1060"/>
      <c r="M50" s="826"/>
      <c r="N50" s="826"/>
      <c r="O50" s="826"/>
      <c r="P50" s="561"/>
      <c r="Q50" s="826"/>
      <c r="R50" s="826"/>
      <c r="S50" s="826"/>
      <c r="T50" s="826"/>
      <c r="U50" s="826"/>
      <c r="Z50" s="589" t="s">
        <v>480</v>
      </c>
      <c r="AA50" s="857">
        <v>1000</v>
      </c>
      <c r="AB50" s="590">
        <v>940</v>
      </c>
      <c r="AC50" s="591">
        <v>846</v>
      </c>
      <c r="AD50" s="590">
        <v>761</v>
      </c>
      <c r="AE50" s="854">
        <v>500</v>
      </c>
      <c r="AF50" s="854">
        <v>2000</v>
      </c>
      <c r="AG50" s="854">
        <v>500</v>
      </c>
      <c r="AH50" s="854">
        <v>2000</v>
      </c>
      <c r="AI50" s="854"/>
      <c r="AJ50" s="854">
        <v>12</v>
      </c>
      <c r="AK50" s="826"/>
      <c r="AL50" s="826"/>
      <c r="AM50" s="826"/>
    </row>
    <row r="51" spans="1:55" s="821" customFormat="1" ht="16" thickBot="1">
      <c r="B51" s="1067" t="s">
        <v>482</v>
      </c>
      <c r="C51" s="1087">
        <v>0</v>
      </c>
      <c r="D51" s="1087">
        <v>0</v>
      </c>
      <c r="E51" s="1087">
        <v>0</v>
      </c>
      <c r="F51" s="1087">
        <v>0</v>
      </c>
      <c r="G51" s="1087">
        <v>0</v>
      </c>
      <c r="H51" s="1087">
        <v>0</v>
      </c>
      <c r="I51" s="1087">
        <v>0</v>
      </c>
      <c r="J51" s="1087">
        <v>0</v>
      </c>
      <c r="K51" s="1060"/>
      <c r="L51" s="1060" t="s">
        <v>572</v>
      </c>
      <c r="M51" s="826"/>
      <c r="N51" s="826"/>
      <c r="O51" s="826"/>
      <c r="P51" s="561"/>
      <c r="Q51" s="826"/>
      <c r="R51" s="826"/>
      <c r="S51" s="826"/>
      <c r="T51" s="826"/>
      <c r="U51" s="826"/>
      <c r="Z51" s="744" t="s">
        <v>482</v>
      </c>
      <c r="AA51" s="776">
        <f>0.5</f>
        <v>0.5</v>
      </c>
      <c r="AB51" s="595">
        <f>0.47</f>
        <v>0.47</v>
      </c>
      <c r="AC51" s="596">
        <f>0.42</f>
        <v>0.42</v>
      </c>
      <c r="AD51" s="596">
        <f>0.38</f>
        <v>0.38</v>
      </c>
      <c r="AE51" s="597">
        <f>0.2</f>
        <v>0.2</v>
      </c>
      <c r="AF51" s="597">
        <f>1</f>
        <v>1</v>
      </c>
      <c r="AG51" s="597">
        <f>0.2</f>
        <v>0.2</v>
      </c>
      <c r="AH51" s="597">
        <f>1</f>
        <v>1</v>
      </c>
      <c r="AI51" s="854"/>
      <c r="AJ51" s="854">
        <v>12</v>
      </c>
      <c r="AK51" s="826"/>
      <c r="AL51" s="826"/>
      <c r="AM51" s="826"/>
    </row>
    <row r="52" spans="1:55" ht="15" customHeight="1" thickBot="1">
      <c r="A52" s="562"/>
      <c r="B52" s="429"/>
      <c r="C52" s="430"/>
      <c r="D52" s="430"/>
      <c r="E52" s="430"/>
      <c r="F52" s="430"/>
      <c r="G52" s="430"/>
      <c r="H52" s="430"/>
      <c r="I52" s="430"/>
      <c r="J52" s="430"/>
      <c r="K52" s="430"/>
      <c r="L52" s="432"/>
      <c r="M52" s="826"/>
      <c r="N52" s="826"/>
      <c r="O52" s="826"/>
      <c r="P52" s="561"/>
      <c r="Q52" s="439"/>
      <c r="R52" s="439"/>
      <c r="S52" s="439"/>
      <c r="T52" s="439"/>
      <c r="U52" s="439"/>
      <c r="V52" s="562"/>
      <c r="W52" s="562"/>
      <c r="X52" s="562"/>
      <c r="Y52" s="562"/>
      <c r="Z52" s="429"/>
      <c r="AA52" s="430"/>
      <c r="AB52" s="430"/>
      <c r="AC52" s="430"/>
      <c r="AD52" s="430"/>
      <c r="AE52" s="430"/>
      <c r="AF52" s="430"/>
      <c r="AG52" s="430"/>
      <c r="AH52" s="430"/>
      <c r="AI52" s="430"/>
      <c r="AJ52" s="432"/>
      <c r="AK52" s="826"/>
      <c r="AL52" s="826"/>
      <c r="AM52" s="826"/>
      <c r="AN52" s="562"/>
      <c r="AO52" s="562"/>
      <c r="AP52" s="562"/>
      <c r="AQ52" s="562"/>
      <c r="AR52" s="562"/>
      <c r="AS52" s="562"/>
      <c r="AT52" s="562"/>
      <c r="AU52" s="562"/>
      <c r="AV52" s="562"/>
      <c r="AW52" s="562"/>
      <c r="AX52" s="562"/>
      <c r="AY52" s="562"/>
      <c r="AZ52" s="562"/>
      <c r="BA52" s="562"/>
      <c r="BB52" s="562"/>
      <c r="BC52" s="562"/>
    </row>
    <row r="53" spans="1:55" ht="16" thickBot="1">
      <c r="A53" s="562"/>
      <c r="B53" s="429" t="s">
        <v>499</v>
      </c>
      <c r="C53" s="430"/>
      <c r="D53" s="430"/>
      <c r="E53" s="430"/>
      <c r="F53" s="430"/>
      <c r="G53" s="430"/>
      <c r="H53" s="430"/>
      <c r="I53" s="430"/>
      <c r="J53" s="430"/>
      <c r="K53" s="430"/>
      <c r="L53" s="432"/>
      <c r="M53" s="826"/>
      <c r="N53" s="826"/>
      <c r="O53" s="826"/>
      <c r="P53" s="439"/>
      <c r="Q53" s="439"/>
      <c r="R53" s="439"/>
      <c r="S53" s="439"/>
      <c r="T53" s="439"/>
      <c r="U53" s="439"/>
      <c r="V53" s="562"/>
      <c r="W53" s="562"/>
      <c r="X53" s="562"/>
      <c r="Y53" s="562"/>
      <c r="Z53" s="429" t="s">
        <v>499</v>
      </c>
      <c r="AA53" s="430"/>
      <c r="AB53" s="430"/>
      <c r="AC53" s="430"/>
      <c r="AD53" s="430"/>
      <c r="AE53" s="430"/>
      <c r="AF53" s="430"/>
      <c r="AG53" s="430"/>
      <c r="AH53" s="430"/>
      <c r="AI53" s="430"/>
      <c r="AJ53" s="432"/>
      <c r="AK53" s="826"/>
      <c r="AL53" s="826"/>
      <c r="AM53" s="826"/>
      <c r="AN53" s="562"/>
      <c r="AO53" s="562"/>
      <c r="AP53" s="562"/>
      <c r="AQ53" s="562"/>
      <c r="AR53" s="562"/>
      <c r="AS53" s="562"/>
      <c r="AT53" s="562"/>
      <c r="AU53" s="562"/>
      <c r="AV53" s="562"/>
      <c r="AW53" s="562"/>
      <c r="AX53" s="562"/>
      <c r="AY53" s="562"/>
      <c r="AZ53" s="562"/>
      <c r="BA53" s="562"/>
      <c r="BB53" s="562"/>
      <c r="BC53" s="562"/>
    </row>
    <row r="54" spans="1:55" ht="16" thickBot="1">
      <c r="A54" s="562"/>
      <c r="B54" s="844" t="s">
        <v>503</v>
      </c>
      <c r="C54" s="540">
        <f>C44/C$23*Euro</f>
        <v>7.45</v>
      </c>
      <c r="D54" s="540">
        <f>D44/D$23*Euro</f>
        <v>7.0029999999999992</v>
      </c>
      <c r="E54" s="540">
        <f>E44/E$23*Euro</f>
        <v>6.3324999999999996</v>
      </c>
      <c r="F54" s="540">
        <f>F44/F$23*Euro</f>
        <v>5.6619999999999999</v>
      </c>
      <c r="G54" s="843"/>
      <c r="H54" s="843"/>
      <c r="I54" s="843"/>
      <c r="J54" s="843"/>
      <c r="K54" s="843"/>
      <c r="L54" s="843"/>
      <c r="M54" s="826"/>
      <c r="N54" s="826"/>
      <c r="O54" s="826"/>
      <c r="P54" s="439"/>
      <c r="Q54" s="439"/>
      <c r="R54" s="439"/>
      <c r="S54" s="439"/>
      <c r="T54" s="439"/>
      <c r="U54" s="439"/>
      <c r="V54" s="562"/>
      <c r="W54" s="562"/>
      <c r="X54" s="562"/>
      <c r="Y54" s="562"/>
      <c r="Z54" s="861" t="s">
        <v>503</v>
      </c>
      <c r="AA54" s="540">
        <f>AA44/AA$23*Euro</f>
        <v>2.7937500000000002</v>
      </c>
      <c r="AB54" s="540">
        <f>AB44/AB$23*Euro</f>
        <v>2.626125</v>
      </c>
      <c r="AC54" s="540">
        <f>AC44/AC$23*Euro</f>
        <v>2.3653750000000002</v>
      </c>
      <c r="AD54" s="540">
        <f>AD44/AD$23*Euro</f>
        <v>2.1232500000000001</v>
      </c>
      <c r="AE54" s="860"/>
      <c r="AF54" s="860"/>
      <c r="AG54" s="860"/>
      <c r="AH54" s="860"/>
      <c r="AI54" s="860"/>
      <c r="AJ54" s="860"/>
      <c r="AK54" s="826"/>
      <c r="AL54" s="826"/>
      <c r="AM54" s="826"/>
      <c r="AN54" s="562"/>
      <c r="AO54" s="562"/>
      <c r="AP54" s="562"/>
      <c r="AQ54" s="562"/>
      <c r="AR54" s="562"/>
      <c r="AS54" s="562"/>
      <c r="AT54" s="562"/>
      <c r="AU54" s="562"/>
      <c r="AV54" s="562"/>
      <c r="AW54" s="562"/>
      <c r="AX54" s="562"/>
      <c r="AY54" s="562"/>
      <c r="AZ54" s="562"/>
      <c r="BA54" s="562"/>
      <c r="BB54" s="562"/>
      <c r="BC54" s="562"/>
    </row>
    <row r="55" spans="1:55" ht="25" thickBot="1">
      <c r="A55" s="562"/>
      <c r="B55" s="844" t="s">
        <v>504</v>
      </c>
      <c r="C55" s="540">
        <f>C47/C$23*Euro</f>
        <v>0</v>
      </c>
      <c r="D55" s="540">
        <f>D47/D$23*Euro</f>
        <v>0</v>
      </c>
      <c r="E55" s="540">
        <f>E47/E$23*Euro</f>
        <v>0</v>
      </c>
      <c r="F55" s="540">
        <f>F47/F$23*Euro</f>
        <v>0</v>
      </c>
      <c r="G55" s="843"/>
      <c r="H55" s="843"/>
      <c r="I55" s="843"/>
      <c r="J55" s="843"/>
      <c r="K55" s="843"/>
      <c r="L55" s="843"/>
      <c r="M55" s="826"/>
      <c r="N55" s="826"/>
      <c r="O55" s="826"/>
      <c r="P55" s="439"/>
      <c r="Q55" s="439"/>
      <c r="R55" s="439"/>
      <c r="S55" s="439"/>
      <c r="T55" s="439"/>
      <c r="U55" s="439"/>
      <c r="V55" s="562"/>
      <c r="W55" s="562"/>
      <c r="X55" s="562"/>
      <c r="Y55" s="562"/>
      <c r="Z55" s="861" t="s">
        <v>504</v>
      </c>
      <c r="AA55" s="540">
        <f>AA47/AA$23*Euro</f>
        <v>0</v>
      </c>
      <c r="AB55" s="540">
        <f>AB47/AB$23*Euro</f>
        <v>0</v>
      </c>
      <c r="AC55" s="540">
        <f>AC47/AC$23*Euro</f>
        <v>0</v>
      </c>
      <c r="AD55" s="540">
        <f>AD47/AD$23*Euro</f>
        <v>0</v>
      </c>
      <c r="AE55" s="860"/>
      <c r="AF55" s="860"/>
      <c r="AG55" s="860"/>
      <c r="AH55" s="860"/>
      <c r="AI55" s="860"/>
      <c r="AJ55" s="860"/>
      <c r="AK55" s="826"/>
      <c r="AL55" s="826"/>
      <c r="AM55" s="826"/>
      <c r="AN55" s="562"/>
      <c r="AO55" s="562"/>
      <c r="AP55" s="562"/>
      <c r="AQ55" s="562"/>
      <c r="AR55" s="562"/>
      <c r="AS55" s="562"/>
      <c r="AT55" s="562"/>
      <c r="AU55" s="562"/>
      <c r="AV55" s="562"/>
      <c r="AW55" s="562"/>
      <c r="AX55" s="562"/>
      <c r="AY55" s="562"/>
      <c r="AZ55" s="562"/>
      <c r="BA55" s="562"/>
      <c r="BB55" s="562"/>
      <c r="BC55" s="562"/>
    </row>
    <row r="56" spans="1:55" ht="16" thickBot="1">
      <c r="A56" s="562"/>
      <c r="B56" s="844"/>
      <c r="C56" s="843"/>
      <c r="D56" s="843"/>
      <c r="E56" s="843"/>
      <c r="F56" s="843"/>
      <c r="G56" s="843"/>
      <c r="H56" s="843"/>
      <c r="I56" s="843"/>
      <c r="J56" s="843"/>
      <c r="K56" s="843"/>
      <c r="L56" s="843"/>
      <c r="M56" s="826"/>
      <c r="N56" s="826"/>
      <c r="O56" s="826"/>
      <c r="P56" s="439"/>
      <c r="Q56" s="439"/>
      <c r="R56" s="439"/>
      <c r="S56" s="439"/>
      <c r="T56" s="439"/>
      <c r="U56" s="439"/>
      <c r="V56" s="562"/>
      <c r="W56" s="562"/>
      <c r="X56" s="562"/>
      <c r="Y56" s="562"/>
      <c r="Z56" s="861"/>
      <c r="AA56" s="860"/>
      <c r="AB56" s="860"/>
      <c r="AC56" s="860"/>
      <c r="AD56" s="860"/>
      <c r="AE56" s="860"/>
      <c r="AF56" s="860"/>
      <c r="AG56" s="860"/>
      <c r="AH56" s="860"/>
      <c r="AI56" s="860"/>
      <c r="AJ56" s="860"/>
      <c r="AK56" s="826"/>
      <c r="AL56" s="826"/>
      <c r="AM56" s="826"/>
      <c r="AN56" s="562"/>
      <c r="AO56" s="562"/>
      <c r="AP56" s="562"/>
      <c r="AQ56" s="562"/>
      <c r="AR56" s="562"/>
      <c r="AS56" s="562"/>
      <c r="AT56" s="562"/>
      <c r="AU56" s="562"/>
      <c r="AV56" s="562"/>
      <c r="AW56" s="562"/>
      <c r="AX56" s="562"/>
      <c r="AY56" s="562"/>
      <c r="AZ56" s="562"/>
      <c r="BA56" s="562"/>
      <c r="BB56" s="562"/>
      <c r="BC56" s="562"/>
    </row>
    <row r="57" spans="1:55" ht="16" thickBot="1">
      <c r="A57" s="562"/>
      <c r="B57" s="841" t="s">
        <v>502</v>
      </c>
      <c r="C57" s="540">
        <f>C48/C23/1000*Euro</f>
        <v>0.21679500000000002</v>
      </c>
      <c r="D57" s="540">
        <f>D48/D23/1000*Euro</f>
        <v>0.20713396234501746</v>
      </c>
      <c r="E57" s="540">
        <f>E48/E23/1000*Euro</f>
        <v>0.19006189014921157</v>
      </c>
      <c r="F57" s="540">
        <f>F48/F23/1000*Euro</f>
        <v>0.17785762965173399</v>
      </c>
      <c r="G57" s="843"/>
      <c r="H57" s="843"/>
      <c r="I57" s="843"/>
      <c r="J57" s="843"/>
      <c r="K57" s="843"/>
      <c r="L57" s="843"/>
      <c r="M57" s="826"/>
      <c r="N57" s="826"/>
      <c r="O57" s="826"/>
      <c r="P57" s="439"/>
      <c r="Q57" s="439"/>
      <c r="R57" s="439"/>
      <c r="S57" s="439"/>
      <c r="T57" s="439"/>
      <c r="U57" s="439"/>
      <c r="V57" s="562"/>
      <c r="W57" s="562"/>
      <c r="X57" s="562"/>
      <c r="Y57" s="562"/>
      <c r="Z57" s="858" t="s">
        <v>502</v>
      </c>
      <c r="AA57" s="540">
        <f>AA48/AA23/1000*Euro</f>
        <v>3.0544999999999996E-2</v>
      </c>
      <c r="AB57" s="540">
        <f>AB48/AB23/1000*Euro</f>
        <v>3.0731250000000002E-2</v>
      </c>
      <c r="AC57" s="540">
        <f>AC48/AC23/1000*Euro</f>
        <v>3.475425E-2</v>
      </c>
      <c r="AD57" s="540">
        <f>AD48/AD23/1000*Euro</f>
        <v>4.4904874999999997E-2</v>
      </c>
      <c r="AE57" s="860"/>
      <c r="AF57" s="860"/>
      <c r="AG57" s="860"/>
      <c r="AH57" s="860"/>
      <c r="AI57" s="860"/>
      <c r="AJ57" s="860"/>
      <c r="AK57" s="826"/>
      <c r="AL57" s="826"/>
      <c r="AM57" s="826"/>
      <c r="AN57" s="562"/>
      <c r="AO57" s="562"/>
      <c r="AP57" s="562"/>
      <c r="AQ57" s="562"/>
      <c r="AR57" s="562"/>
      <c r="AS57" s="562"/>
      <c r="AT57" s="562"/>
      <c r="AU57" s="562"/>
      <c r="AV57" s="562"/>
      <c r="AW57" s="562"/>
      <c r="AX57" s="562"/>
      <c r="AY57" s="562"/>
      <c r="AZ57" s="562"/>
      <c r="BA57" s="562"/>
      <c r="BB57" s="562"/>
      <c r="BC57" s="562"/>
    </row>
    <row r="58" spans="1:55" s="556" customFormat="1" ht="16" thickBot="1">
      <c r="A58" s="562"/>
      <c r="B58" s="842" t="s">
        <v>505</v>
      </c>
      <c r="C58" s="843">
        <f>C51/3.6*Euro</f>
        <v>0</v>
      </c>
      <c r="D58" s="843">
        <f>D51/3.6*Euro</f>
        <v>0</v>
      </c>
      <c r="E58" s="843">
        <f>E51/3.6*Euro</f>
        <v>0</v>
      </c>
      <c r="F58" s="843">
        <f>F51/3.6*Euro</f>
        <v>0</v>
      </c>
      <c r="G58" s="843"/>
      <c r="H58" s="843"/>
      <c r="I58" s="843"/>
      <c r="J58" s="843"/>
      <c r="K58" s="843"/>
      <c r="L58" s="843"/>
      <c r="M58" s="826"/>
      <c r="N58" s="826"/>
      <c r="O58" s="826"/>
      <c r="P58" s="439"/>
      <c r="Q58" s="439"/>
      <c r="R58" s="439"/>
      <c r="S58" s="439"/>
      <c r="T58" s="439"/>
      <c r="U58" s="439"/>
      <c r="V58" s="562"/>
      <c r="W58" s="562"/>
      <c r="X58" s="562"/>
      <c r="Y58" s="562"/>
      <c r="Z58" s="859" t="s">
        <v>505</v>
      </c>
      <c r="AA58" s="860">
        <f>AA51/3.6*Euro</f>
        <v>1.0347222222222223</v>
      </c>
      <c r="AB58" s="860">
        <f>AB51/3.6*Euro</f>
        <v>0.97263888888888872</v>
      </c>
      <c r="AC58" s="860">
        <f>AC51/3.6*Euro</f>
        <v>0.86916666666666664</v>
      </c>
      <c r="AD58" s="860">
        <f>AD51/3.6*Euro</f>
        <v>0.78638888888888892</v>
      </c>
      <c r="AE58" s="860"/>
      <c r="AF58" s="860"/>
      <c r="AG58" s="860"/>
      <c r="AH58" s="860"/>
      <c r="AI58" s="860"/>
      <c r="AJ58" s="860"/>
      <c r="AK58" s="826"/>
      <c r="AL58" s="826"/>
      <c r="AM58" s="826"/>
      <c r="AN58" s="562"/>
      <c r="AO58" s="562"/>
      <c r="AP58" s="562"/>
      <c r="AQ58" s="562"/>
      <c r="AR58" s="562"/>
      <c r="AS58" s="562"/>
      <c r="AT58" s="562"/>
      <c r="AU58" s="562"/>
      <c r="AV58" s="562"/>
      <c r="AW58" s="562"/>
      <c r="AX58" s="562"/>
      <c r="AY58" s="562"/>
      <c r="AZ58" s="562"/>
      <c r="BA58" s="562"/>
      <c r="BB58" s="562"/>
      <c r="BC58" s="562"/>
    </row>
    <row r="59" spans="1:55" s="556" customFormat="1">
      <c r="A59" s="562"/>
      <c r="B59" s="821"/>
      <c r="C59" s="821"/>
      <c r="D59" s="821"/>
      <c r="E59" s="821"/>
      <c r="F59" s="821"/>
      <c r="G59" s="821"/>
      <c r="H59" s="821"/>
      <c r="I59" s="821"/>
      <c r="J59" s="821"/>
      <c r="K59" s="821"/>
      <c r="L59" s="821"/>
      <c r="M59" s="826"/>
      <c r="N59" s="826"/>
      <c r="O59" s="826"/>
      <c r="P59" s="439"/>
      <c r="Q59" s="439"/>
      <c r="R59" s="439"/>
      <c r="S59" s="439"/>
      <c r="T59" s="439"/>
      <c r="U59" s="439"/>
      <c r="V59" s="562"/>
      <c r="W59" s="562"/>
      <c r="X59" s="562"/>
      <c r="Y59" s="562"/>
      <c r="Z59" s="821"/>
      <c r="AA59" s="821"/>
      <c r="AB59" s="821"/>
      <c r="AC59" s="821"/>
      <c r="AD59" s="821"/>
      <c r="AE59" s="821"/>
      <c r="AF59" s="821"/>
      <c r="AG59" s="821"/>
      <c r="AH59" s="821"/>
      <c r="AI59" s="821"/>
      <c r="AJ59" s="821"/>
      <c r="AK59" s="826"/>
      <c r="AL59" s="826"/>
      <c r="AM59" s="826"/>
      <c r="AN59" s="562"/>
      <c r="AO59" s="562"/>
      <c r="AP59" s="562"/>
      <c r="AQ59" s="562"/>
      <c r="AR59" s="562"/>
      <c r="AS59" s="562"/>
      <c r="AT59" s="562"/>
      <c r="AU59" s="562"/>
      <c r="AV59" s="562"/>
      <c r="AW59" s="562"/>
      <c r="AX59" s="562"/>
      <c r="AY59" s="562"/>
      <c r="AZ59" s="562"/>
      <c r="BA59" s="562"/>
      <c r="BB59" s="562"/>
      <c r="BC59" s="562"/>
    </row>
    <row r="60" spans="1:55" s="556" customFormat="1">
      <c r="A60" s="562"/>
      <c r="B60" s="826"/>
      <c r="C60" s="826"/>
      <c r="D60" s="826"/>
      <c r="E60" s="826"/>
      <c r="F60" s="826"/>
      <c r="G60" s="826"/>
      <c r="H60" s="826"/>
      <c r="I60" s="826"/>
      <c r="J60" s="826"/>
      <c r="K60" s="826"/>
      <c r="L60" s="826"/>
      <c r="M60" s="826"/>
      <c r="N60" s="826"/>
      <c r="O60" s="826"/>
      <c r="P60" s="439"/>
      <c r="Q60" s="439"/>
      <c r="R60" s="439"/>
      <c r="S60" s="439"/>
      <c r="T60" s="439"/>
      <c r="U60" s="439"/>
      <c r="V60" s="562"/>
      <c r="W60" s="562"/>
      <c r="X60" s="562"/>
      <c r="Y60" s="562"/>
      <c r="Z60" s="826"/>
      <c r="AA60" s="826"/>
      <c r="AB60" s="826"/>
      <c r="AC60" s="826"/>
      <c r="AD60" s="826"/>
      <c r="AE60" s="826"/>
      <c r="AF60" s="826"/>
      <c r="AG60" s="826"/>
      <c r="AH60" s="826"/>
      <c r="AI60" s="826"/>
      <c r="AJ60" s="826"/>
      <c r="AK60" s="826"/>
      <c r="AL60" s="826"/>
      <c r="AM60" s="826"/>
      <c r="AN60" s="562"/>
      <c r="AO60" s="562"/>
      <c r="AP60" s="562"/>
      <c r="AQ60" s="562"/>
      <c r="AR60" s="562"/>
      <c r="AS60" s="562"/>
      <c r="AT60" s="562"/>
      <c r="AU60" s="562"/>
      <c r="AV60" s="562"/>
      <c r="AW60" s="562"/>
      <c r="AX60" s="562"/>
      <c r="AY60" s="562"/>
      <c r="AZ60" s="562"/>
      <c r="BA60" s="562"/>
      <c r="BB60" s="562"/>
      <c r="BC60" s="562"/>
    </row>
    <row r="61" spans="1:55" s="556" customFormat="1" ht="16" thickBot="1">
      <c r="A61" s="562"/>
      <c r="B61" s="826"/>
      <c r="C61" s="826"/>
      <c r="D61" s="826"/>
      <c r="E61" s="826"/>
      <c r="F61" s="826"/>
      <c r="G61" s="826"/>
      <c r="H61" s="826"/>
      <c r="I61" s="826"/>
      <c r="J61" s="826"/>
      <c r="K61" s="826"/>
      <c r="L61" s="826"/>
      <c r="M61" s="826"/>
      <c r="N61" s="826"/>
      <c r="O61" s="826"/>
      <c r="P61" s="439"/>
      <c r="Q61" s="439"/>
      <c r="R61" s="439"/>
      <c r="S61" s="439"/>
      <c r="T61" s="439"/>
      <c r="U61" s="439"/>
      <c r="V61" s="562"/>
      <c r="W61" s="562"/>
      <c r="X61" s="562"/>
      <c r="Y61" s="562"/>
      <c r="Z61" s="826"/>
      <c r="AA61" s="826"/>
      <c r="AB61" s="826"/>
      <c r="AC61" s="826"/>
      <c r="AD61" s="826"/>
      <c r="AE61" s="826"/>
      <c r="AF61" s="826"/>
      <c r="AG61" s="826"/>
      <c r="AH61" s="826"/>
      <c r="AI61" s="826"/>
      <c r="AJ61" s="826"/>
      <c r="AK61" s="826"/>
      <c r="AL61" s="826"/>
      <c r="AM61" s="826"/>
      <c r="AN61" s="562"/>
      <c r="AO61" s="562"/>
      <c r="AP61" s="562"/>
      <c r="AQ61" s="562"/>
      <c r="AR61" s="562"/>
      <c r="AS61" s="562"/>
      <c r="AT61" s="562"/>
      <c r="AU61" s="562"/>
      <c r="AV61" s="562"/>
      <c r="AW61" s="562"/>
      <c r="AX61" s="562"/>
      <c r="AY61" s="562"/>
      <c r="AZ61" s="562"/>
      <c r="BA61" s="562"/>
      <c r="BB61" s="562"/>
      <c r="BC61" s="562"/>
    </row>
    <row r="62" spans="1:55" s="556" customFormat="1" ht="15.75" customHeight="1" thickBot="1">
      <c r="A62" s="562"/>
      <c r="B62" s="1090" t="s">
        <v>0</v>
      </c>
      <c r="C62" s="1249" t="s">
        <v>804</v>
      </c>
      <c r="D62" s="1250"/>
      <c r="E62" s="1250"/>
      <c r="F62" s="1250"/>
      <c r="G62" s="1250"/>
      <c r="H62" s="1250"/>
      <c r="I62" s="1250"/>
      <c r="J62" s="1250"/>
      <c r="K62" s="1250"/>
      <c r="L62" s="1251"/>
      <c r="M62" s="826"/>
      <c r="N62" s="826"/>
      <c r="O62" s="826"/>
      <c r="P62" s="439"/>
      <c r="Q62" s="439"/>
      <c r="R62" s="439"/>
      <c r="S62" s="439"/>
      <c r="T62" s="439"/>
      <c r="U62" s="439"/>
      <c r="V62" s="562"/>
      <c r="W62" s="562"/>
      <c r="X62" s="562"/>
      <c r="Y62" s="562"/>
      <c r="Z62" s="739" t="s">
        <v>0</v>
      </c>
      <c r="AA62" s="1249" t="s">
        <v>608</v>
      </c>
      <c r="AB62" s="1250"/>
      <c r="AC62" s="1250"/>
      <c r="AD62" s="1250"/>
      <c r="AE62" s="1250"/>
      <c r="AF62" s="1250"/>
      <c r="AG62" s="1250"/>
      <c r="AH62" s="1250"/>
      <c r="AI62" s="1250"/>
      <c r="AJ62" s="1251"/>
      <c r="AK62" s="826"/>
      <c r="AL62" s="826"/>
      <c r="AM62" s="826"/>
      <c r="AN62" s="562"/>
      <c r="AO62" s="562"/>
      <c r="AP62" s="562"/>
      <c r="AQ62" s="562"/>
      <c r="AR62" s="562"/>
      <c r="AS62" s="562"/>
      <c r="AT62" s="562"/>
      <c r="AU62" s="562"/>
      <c r="AV62" s="562"/>
      <c r="AW62" s="562"/>
      <c r="AX62" s="562"/>
      <c r="AY62" s="562"/>
      <c r="AZ62" s="562"/>
      <c r="BA62" s="562"/>
      <c r="BB62" s="562"/>
      <c r="BC62" s="562"/>
    </row>
    <row r="63" spans="1:55" s="556" customFormat="1" ht="15.75" customHeight="1" thickBot="1">
      <c r="A63" s="562"/>
      <c r="B63" s="1091"/>
      <c r="C63" s="1255">
        <v>2015</v>
      </c>
      <c r="D63" s="1256">
        <v>2020</v>
      </c>
      <c r="E63" s="1256">
        <v>2030</v>
      </c>
      <c r="F63" s="1252">
        <v>2050</v>
      </c>
      <c r="G63" s="1254" t="s">
        <v>467</v>
      </c>
      <c r="H63" s="1252"/>
      <c r="I63" s="1255" t="s">
        <v>468</v>
      </c>
      <c r="J63" s="1252"/>
      <c r="K63" s="1256" t="s">
        <v>2</v>
      </c>
      <c r="L63" s="1256" t="s">
        <v>3</v>
      </c>
      <c r="M63" s="826"/>
      <c r="N63" s="826"/>
      <c r="O63" s="826"/>
      <c r="P63" s="439"/>
      <c r="Q63" s="439"/>
      <c r="R63" s="439"/>
      <c r="S63" s="439"/>
      <c r="T63" s="439"/>
      <c r="U63" s="439"/>
      <c r="V63" s="562"/>
      <c r="W63" s="562"/>
      <c r="X63" s="562"/>
      <c r="Y63" s="562"/>
      <c r="Z63" s="564"/>
      <c r="AA63" s="1256">
        <v>2015</v>
      </c>
      <c r="AB63" s="1256">
        <v>2020</v>
      </c>
      <c r="AC63" s="1256">
        <v>2030</v>
      </c>
      <c r="AD63" s="1256">
        <v>2050</v>
      </c>
      <c r="AE63" s="1309" t="s">
        <v>467</v>
      </c>
      <c r="AF63" s="1310"/>
      <c r="AG63" s="1309" t="s">
        <v>468</v>
      </c>
      <c r="AH63" s="1310"/>
      <c r="AI63" s="1256" t="s">
        <v>2</v>
      </c>
      <c r="AJ63" s="1256" t="s">
        <v>3</v>
      </c>
      <c r="AK63" s="826"/>
      <c r="AL63" s="826"/>
      <c r="AM63" s="826"/>
      <c r="AN63" s="562"/>
      <c r="AO63" s="562"/>
      <c r="AP63" s="562"/>
      <c r="AQ63" s="562"/>
      <c r="AR63" s="562"/>
      <c r="AS63" s="562"/>
      <c r="AT63" s="562"/>
      <c r="AU63" s="562"/>
      <c r="AV63" s="562"/>
      <c r="AW63" s="562"/>
      <c r="AX63" s="562"/>
      <c r="AY63" s="562"/>
      <c r="AZ63" s="562"/>
      <c r="BA63" s="562"/>
      <c r="BB63" s="562"/>
      <c r="BC63" s="562"/>
    </row>
    <row r="64" spans="1:55" s="556" customFormat="1" ht="16" thickBot="1">
      <c r="A64" s="562"/>
      <c r="B64" s="1092" t="s">
        <v>4</v>
      </c>
      <c r="C64" s="1259"/>
      <c r="D64" s="1257"/>
      <c r="E64" s="1257"/>
      <c r="F64" s="1253"/>
      <c r="G64" s="1093" t="s">
        <v>469</v>
      </c>
      <c r="H64" s="1094" t="s">
        <v>470</v>
      </c>
      <c r="I64" s="1094" t="s">
        <v>469</v>
      </c>
      <c r="J64" s="1095" t="s">
        <v>470</v>
      </c>
      <c r="K64" s="1257"/>
      <c r="L64" s="1257"/>
      <c r="M64" s="826"/>
      <c r="N64" s="826"/>
      <c r="O64" s="826"/>
      <c r="P64" s="439"/>
      <c r="Q64" s="439"/>
      <c r="R64" s="439"/>
      <c r="S64" s="439"/>
      <c r="T64" s="439"/>
      <c r="U64" s="439"/>
      <c r="V64" s="562"/>
      <c r="W64" s="562"/>
      <c r="X64" s="562"/>
      <c r="Y64" s="562"/>
      <c r="Z64" s="766" t="s">
        <v>4</v>
      </c>
      <c r="AA64" s="1257"/>
      <c r="AB64" s="1257"/>
      <c r="AC64" s="1257"/>
      <c r="AD64" s="1257"/>
      <c r="AE64" s="741" t="s">
        <v>469</v>
      </c>
      <c r="AF64" s="742" t="s">
        <v>470</v>
      </c>
      <c r="AG64" s="742" t="s">
        <v>469</v>
      </c>
      <c r="AH64" s="743" t="s">
        <v>470</v>
      </c>
      <c r="AI64" s="1257"/>
      <c r="AJ64" s="1257"/>
      <c r="AK64" s="826"/>
      <c r="AL64" s="826"/>
      <c r="AM64" s="826"/>
      <c r="AN64" s="562"/>
      <c r="AO64" s="562"/>
      <c r="AP64" s="562"/>
      <c r="AQ64" s="562"/>
      <c r="AR64" s="562"/>
      <c r="AS64" s="562"/>
      <c r="AT64" s="562"/>
      <c r="AU64" s="562"/>
      <c r="AV64" s="562"/>
      <c r="AW64" s="562"/>
      <c r="AX64" s="562"/>
      <c r="AY64" s="562"/>
      <c r="AZ64" s="562"/>
      <c r="BA64" s="562"/>
      <c r="BB64" s="562"/>
      <c r="BC64" s="562"/>
    </row>
    <row r="65" spans="2:39" s="821" customFormat="1" ht="16" thickBot="1">
      <c r="B65" s="1096" t="s">
        <v>5</v>
      </c>
      <c r="C65" s="1105">
        <v>4</v>
      </c>
      <c r="D65" s="1105">
        <v>4</v>
      </c>
      <c r="E65" s="1105">
        <v>4</v>
      </c>
      <c r="F65" s="1105">
        <v>4</v>
      </c>
      <c r="G65" s="1105">
        <v>2.5</v>
      </c>
      <c r="H65" s="1089">
        <v>6</v>
      </c>
      <c r="I65" s="1105">
        <v>2.5</v>
      </c>
      <c r="J65" s="1089">
        <v>6</v>
      </c>
      <c r="K65" s="1089"/>
      <c r="L65" s="1089" t="s">
        <v>571</v>
      </c>
      <c r="M65" s="826"/>
      <c r="N65" s="826"/>
      <c r="O65" s="826"/>
      <c r="P65" s="826"/>
      <c r="Q65" s="826"/>
      <c r="R65" s="826"/>
      <c r="S65" s="826"/>
      <c r="T65" s="826"/>
      <c r="U65" s="826"/>
      <c r="Z65" s="744" t="s">
        <v>5</v>
      </c>
      <c r="AA65" s="771">
        <v>160</v>
      </c>
      <c r="AB65" s="771">
        <v>160</v>
      </c>
      <c r="AC65" s="771">
        <v>160</v>
      </c>
      <c r="AD65" s="771">
        <v>160</v>
      </c>
      <c r="AE65" s="854">
        <v>140</v>
      </c>
      <c r="AF65" s="854">
        <v>200</v>
      </c>
      <c r="AG65" s="854">
        <v>140</v>
      </c>
      <c r="AH65" s="854">
        <v>200</v>
      </c>
      <c r="AI65" s="854"/>
      <c r="AJ65" s="854">
        <v>5.6</v>
      </c>
      <c r="AK65" s="826"/>
      <c r="AL65" s="826"/>
      <c r="AM65" s="826"/>
    </row>
    <row r="66" spans="2:39" s="821" customFormat="1" ht="16" thickBot="1">
      <c r="B66" s="1096" t="s">
        <v>77</v>
      </c>
      <c r="C66" s="1089">
        <v>0</v>
      </c>
      <c r="D66" s="1089">
        <v>0</v>
      </c>
      <c r="E66" s="1089">
        <v>0</v>
      </c>
      <c r="F66" s="1089">
        <v>0</v>
      </c>
      <c r="G66" s="1089">
        <v>0</v>
      </c>
      <c r="H66" s="1089">
        <v>0</v>
      </c>
      <c r="I66" s="1089">
        <v>0</v>
      </c>
      <c r="J66" s="1089">
        <v>0</v>
      </c>
      <c r="K66" s="1089"/>
      <c r="L66" s="1089"/>
      <c r="M66" s="826"/>
      <c r="N66" s="826"/>
      <c r="O66" s="826"/>
      <c r="P66" s="826"/>
      <c r="Q66" s="826"/>
      <c r="R66" s="826"/>
      <c r="S66" s="826"/>
      <c r="T66" s="826"/>
      <c r="U66" s="826"/>
      <c r="Z66" s="744" t="s">
        <v>77</v>
      </c>
      <c r="AA66" s="854">
        <v>0</v>
      </c>
      <c r="AB66" s="854">
        <v>0</v>
      </c>
      <c r="AC66" s="854">
        <v>0</v>
      </c>
      <c r="AD66" s="854">
        <v>0</v>
      </c>
      <c r="AE66" s="854">
        <v>0</v>
      </c>
      <c r="AF66" s="854">
        <v>0</v>
      </c>
      <c r="AG66" s="854">
        <v>0</v>
      </c>
      <c r="AH66" s="854">
        <v>0</v>
      </c>
      <c r="AI66" s="854"/>
      <c r="AJ66" s="854"/>
      <c r="AK66" s="826"/>
      <c r="AL66" s="826"/>
      <c r="AM66" s="826"/>
    </row>
    <row r="67" spans="2:39" s="821" customFormat="1" ht="25" thickBot="1">
      <c r="B67" s="1096" t="s">
        <v>7</v>
      </c>
      <c r="C67" s="1089">
        <v>100</v>
      </c>
      <c r="D67" s="1089">
        <v>100</v>
      </c>
      <c r="E67" s="1089">
        <v>100</v>
      </c>
      <c r="F67" s="1089">
        <v>100</v>
      </c>
      <c r="G67" s="1089">
        <v>70</v>
      </c>
      <c r="H67" s="1089">
        <v>100</v>
      </c>
      <c r="I67" s="1089">
        <v>70</v>
      </c>
      <c r="J67" s="1089">
        <v>100</v>
      </c>
      <c r="K67" s="1089" t="s">
        <v>610</v>
      </c>
      <c r="L67" s="1089" t="s">
        <v>572</v>
      </c>
      <c r="M67" s="826"/>
      <c r="N67" s="826"/>
      <c r="O67" s="826"/>
      <c r="P67" s="826"/>
      <c r="Q67" s="826"/>
      <c r="R67" s="826"/>
      <c r="S67" s="826"/>
      <c r="T67" s="826"/>
      <c r="U67" s="826"/>
      <c r="Z67" s="744" t="s">
        <v>7</v>
      </c>
      <c r="AA67" s="854">
        <v>100</v>
      </c>
      <c r="AB67" s="854">
        <v>100</v>
      </c>
      <c r="AC67" s="854">
        <v>100</v>
      </c>
      <c r="AD67" s="854">
        <v>100</v>
      </c>
      <c r="AE67" s="854">
        <v>70</v>
      </c>
      <c r="AF67" s="854">
        <v>100</v>
      </c>
      <c r="AG67" s="854">
        <v>70</v>
      </c>
      <c r="AH67" s="854">
        <v>100</v>
      </c>
      <c r="AI67" s="854" t="s">
        <v>23</v>
      </c>
      <c r="AJ67" s="854"/>
      <c r="AK67" s="826"/>
      <c r="AL67" s="826"/>
      <c r="AM67" s="826"/>
    </row>
    <row r="68" spans="2:39" s="821" customFormat="1" ht="25" thickBot="1">
      <c r="B68" s="1096" t="s">
        <v>8</v>
      </c>
      <c r="C68" s="1089">
        <v>100</v>
      </c>
      <c r="D68" s="1089">
        <v>100</v>
      </c>
      <c r="E68" s="1089">
        <v>100</v>
      </c>
      <c r="F68" s="1089">
        <v>100</v>
      </c>
      <c r="G68" s="1089">
        <v>70</v>
      </c>
      <c r="H68" s="1089">
        <v>100</v>
      </c>
      <c r="I68" s="1089">
        <v>70</v>
      </c>
      <c r="J68" s="1089">
        <v>100</v>
      </c>
      <c r="K68" s="1089" t="s">
        <v>610</v>
      </c>
      <c r="L68" s="1089">
        <v>1.2</v>
      </c>
      <c r="M68" s="826"/>
      <c r="N68" s="826"/>
      <c r="O68" s="826"/>
      <c r="P68" s="826"/>
      <c r="Q68" s="826"/>
      <c r="R68" s="826"/>
      <c r="S68" s="826"/>
      <c r="T68" s="826"/>
      <c r="U68" s="826"/>
      <c r="Z68" s="744" t="s">
        <v>8</v>
      </c>
      <c r="AA68" s="854">
        <v>100</v>
      </c>
      <c r="AB68" s="854">
        <v>100</v>
      </c>
      <c r="AC68" s="854">
        <v>100</v>
      </c>
      <c r="AD68" s="854">
        <v>100</v>
      </c>
      <c r="AE68" s="854">
        <v>70</v>
      </c>
      <c r="AF68" s="854">
        <v>100</v>
      </c>
      <c r="AG68" s="854">
        <v>70</v>
      </c>
      <c r="AH68" s="854">
        <v>100</v>
      </c>
      <c r="AI68" s="854" t="s">
        <v>23</v>
      </c>
      <c r="AJ68" s="854"/>
      <c r="AK68" s="826"/>
      <c r="AL68" s="826"/>
      <c r="AM68" s="826"/>
    </row>
    <row r="69" spans="2:39" s="821" customFormat="1" ht="25" thickBot="1">
      <c r="B69" s="1096" t="s">
        <v>573</v>
      </c>
      <c r="C69" s="1089">
        <v>345</v>
      </c>
      <c r="D69" s="1089">
        <v>355</v>
      </c>
      <c r="E69" s="1089">
        <v>365</v>
      </c>
      <c r="F69" s="1089">
        <v>380</v>
      </c>
      <c r="G69" s="1089">
        <v>330</v>
      </c>
      <c r="H69" s="1089">
        <v>365</v>
      </c>
      <c r="I69" s="1089">
        <v>330</v>
      </c>
      <c r="J69" s="1089">
        <v>400</v>
      </c>
      <c r="K69" s="1089" t="s">
        <v>498</v>
      </c>
      <c r="L69" s="1089" t="s">
        <v>574</v>
      </c>
      <c r="M69" s="826"/>
      <c r="N69" s="826"/>
      <c r="O69" s="826"/>
      <c r="P69" s="826"/>
      <c r="Q69" s="826"/>
      <c r="R69" s="826"/>
      <c r="S69" s="826"/>
      <c r="T69" s="826"/>
      <c r="U69" s="826"/>
      <c r="Z69" s="744" t="s">
        <v>573</v>
      </c>
      <c r="AA69" s="854">
        <v>440</v>
      </c>
      <c r="AB69" s="854">
        <v>450</v>
      </c>
      <c r="AC69" s="854">
        <v>460</v>
      </c>
      <c r="AD69" s="854">
        <v>480</v>
      </c>
      <c r="AE69" s="854">
        <v>440</v>
      </c>
      <c r="AF69" s="854">
        <v>470</v>
      </c>
      <c r="AG69" s="854">
        <v>450</v>
      </c>
      <c r="AH69" s="854">
        <v>520</v>
      </c>
      <c r="AI69" s="854" t="s">
        <v>498</v>
      </c>
      <c r="AJ69" s="854" t="s">
        <v>598</v>
      </c>
      <c r="AK69" s="826"/>
      <c r="AL69" s="826"/>
      <c r="AM69" s="826"/>
    </row>
    <row r="70" spans="2:39" s="821" customFormat="1" ht="25" thickBot="1">
      <c r="B70" s="1096" t="s">
        <v>575</v>
      </c>
      <c r="C70" s="1089">
        <v>325</v>
      </c>
      <c r="D70" s="1089">
        <v>335</v>
      </c>
      <c r="E70" s="1089">
        <v>345</v>
      </c>
      <c r="F70" s="1089">
        <v>365</v>
      </c>
      <c r="G70" s="1089">
        <v>315</v>
      </c>
      <c r="H70" s="1089">
        <v>345</v>
      </c>
      <c r="I70" s="1089">
        <v>315</v>
      </c>
      <c r="J70" s="1089">
        <v>390</v>
      </c>
      <c r="K70" s="1089" t="s">
        <v>481</v>
      </c>
      <c r="L70" s="1089" t="s">
        <v>574</v>
      </c>
      <c r="M70" s="826"/>
      <c r="N70" s="826"/>
      <c r="O70" s="826"/>
      <c r="P70" s="826"/>
      <c r="Q70" s="826"/>
      <c r="R70" s="826"/>
      <c r="S70" s="826"/>
      <c r="T70" s="826"/>
      <c r="U70" s="826"/>
      <c r="Z70" s="744" t="s">
        <v>575</v>
      </c>
      <c r="AA70" s="854">
        <v>390</v>
      </c>
      <c r="AB70" s="854">
        <v>400</v>
      </c>
      <c r="AC70" s="854">
        <v>405</v>
      </c>
      <c r="AD70" s="854">
        <v>410</v>
      </c>
      <c r="AE70" s="854">
        <v>390</v>
      </c>
      <c r="AF70" s="854">
        <v>410</v>
      </c>
      <c r="AG70" s="854">
        <v>400</v>
      </c>
      <c r="AH70" s="854">
        <v>490</v>
      </c>
      <c r="AI70" s="854" t="s">
        <v>481</v>
      </c>
      <c r="AJ70" s="854" t="s">
        <v>599</v>
      </c>
      <c r="AK70" s="826"/>
      <c r="AL70" s="826"/>
      <c r="AM70" s="826"/>
    </row>
    <row r="71" spans="2:39" s="821" customFormat="1" ht="16" thickBot="1">
      <c r="B71" s="1096" t="s">
        <v>576</v>
      </c>
      <c r="C71" s="1089">
        <v>300</v>
      </c>
      <c r="D71" s="1089">
        <v>320</v>
      </c>
      <c r="E71" s="1089">
        <v>340</v>
      </c>
      <c r="F71" s="1089">
        <v>355</v>
      </c>
      <c r="G71" s="1089">
        <v>290</v>
      </c>
      <c r="H71" s="1089">
        <v>330</v>
      </c>
      <c r="I71" s="1089">
        <v>290</v>
      </c>
      <c r="J71" s="1089">
        <v>375</v>
      </c>
      <c r="K71" s="1089" t="s">
        <v>498</v>
      </c>
      <c r="L71" s="1089" t="s">
        <v>574</v>
      </c>
      <c r="M71" s="826"/>
      <c r="N71" s="826"/>
      <c r="O71" s="826"/>
      <c r="P71" s="826"/>
      <c r="Q71" s="826"/>
      <c r="R71" s="826"/>
      <c r="S71" s="826"/>
      <c r="T71" s="826"/>
      <c r="U71" s="826"/>
      <c r="Z71" s="744" t="s">
        <v>576</v>
      </c>
      <c r="AA71" s="854">
        <v>420</v>
      </c>
      <c r="AB71" s="854">
        <v>430</v>
      </c>
      <c r="AC71" s="854">
        <v>440</v>
      </c>
      <c r="AD71" s="854">
        <v>460</v>
      </c>
      <c r="AE71" s="854">
        <v>420</v>
      </c>
      <c r="AF71" s="854">
        <v>460</v>
      </c>
      <c r="AG71" s="854">
        <v>430</v>
      </c>
      <c r="AH71" s="854">
        <v>500</v>
      </c>
      <c r="AI71" s="854" t="s">
        <v>498</v>
      </c>
      <c r="AJ71" s="854" t="s">
        <v>598</v>
      </c>
      <c r="AK71" s="826"/>
      <c r="AL71" s="826"/>
      <c r="AM71" s="826"/>
    </row>
    <row r="72" spans="2:39" s="821" customFormat="1" ht="25" thickBot="1">
      <c r="B72" s="1096" t="s">
        <v>577</v>
      </c>
      <c r="C72" s="1089">
        <v>285</v>
      </c>
      <c r="D72" s="1089">
        <v>305</v>
      </c>
      <c r="E72" s="1089">
        <v>320</v>
      </c>
      <c r="F72" s="1089">
        <v>335</v>
      </c>
      <c r="G72" s="1089">
        <v>280</v>
      </c>
      <c r="H72" s="1089">
        <v>315</v>
      </c>
      <c r="I72" s="1089">
        <v>280</v>
      </c>
      <c r="J72" s="1089">
        <v>365</v>
      </c>
      <c r="K72" s="1089" t="s">
        <v>481</v>
      </c>
      <c r="L72" s="1089" t="s">
        <v>574</v>
      </c>
      <c r="M72" s="826"/>
      <c r="N72" s="826"/>
      <c r="O72" s="826"/>
      <c r="P72" s="826"/>
      <c r="Q72" s="826"/>
      <c r="R72" s="826"/>
      <c r="S72" s="826"/>
      <c r="T72" s="826"/>
      <c r="U72" s="826"/>
      <c r="Z72" s="744" t="s">
        <v>577</v>
      </c>
      <c r="AA72" s="854">
        <v>370</v>
      </c>
      <c r="AB72" s="854">
        <v>380</v>
      </c>
      <c r="AC72" s="854">
        <v>390</v>
      </c>
      <c r="AD72" s="854">
        <v>405</v>
      </c>
      <c r="AE72" s="854">
        <v>370</v>
      </c>
      <c r="AF72" s="854">
        <v>400</v>
      </c>
      <c r="AG72" s="854">
        <v>380</v>
      </c>
      <c r="AH72" s="854">
        <v>480</v>
      </c>
      <c r="AI72" s="854" t="s">
        <v>481</v>
      </c>
      <c r="AJ72" s="854" t="s">
        <v>599</v>
      </c>
      <c r="AK72" s="826"/>
      <c r="AL72" s="826"/>
      <c r="AM72" s="826"/>
    </row>
    <row r="73" spans="2:39" s="821" customFormat="1" ht="16" thickBot="1">
      <c r="B73" s="1096" t="s">
        <v>472</v>
      </c>
      <c r="C73" s="1089">
        <v>100</v>
      </c>
      <c r="D73" s="1089">
        <v>100</v>
      </c>
      <c r="E73" s="1089">
        <v>100</v>
      </c>
      <c r="F73" s="1089">
        <v>100</v>
      </c>
      <c r="G73" s="1089">
        <v>80</v>
      </c>
      <c r="H73" s="1089">
        <v>120</v>
      </c>
      <c r="I73" s="1089">
        <v>80</v>
      </c>
      <c r="J73" s="1089">
        <v>120</v>
      </c>
      <c r="K73" s="1089" t="s">
        <v>279</v>
      </c>
      <c r="L73" s="1089">
        <v>4</v>
      </c>
      <c r="M73" s="826"/>
      <c r="N73" s="826"/>
      <c r="O73" s="826"/>
      <c r="P73" s="826"/>
      <c r="Q73" s="826"/>
      <c r="R73" s="826"/>
      <c r="S73" s="826"/>
      <c r="T73" s="826"/>
      <c r="U73" s="826"/>
      <c r="Z73" s="744" t="s">
        <v>472</v>
      </c>
      <c r="AA73" s="854">
        <v>10000</v>
      </c>
      <c r="AB73" s="854">
        <v>10000</v>
      </c>
      <c r="AC73" s="854">
        <v>10000</v>
      </c>
      <c r="AD73" s="854">
        <v>10000</v>
      </c>
      <c r="AE73" s="854">
        <v>8000</v>
      </c>
      <c r="AF73" s="854">
        <v>12000</v>
      </c>
      <c r="AG73" s="854">
        <v>8000</v>
      </c>
      <c r="AH73" s="854">
        <v>12000</v>
      </c>
      <c r="AI73" s="854" t="s">
        <v>279</v>
      </c>
      <c r="AJ73" s="854">
        <v>4.7</v>
      </c>
      <c r="AK73" s="826"/>
      <c r="AL73" s="826"/>
      <c r="AM73" s="826"/>
    </row>
    <row r="74" spans="2:39" s="821" customFormat="1" ht="16" thickBot="1">
      <c r="B74" s="1096" t="s">
        <v>10</v>
      </c>
      <c r="C74" s="1089">
        <v>18</v>
      </c>
      <c r="D74" s="1089">
        <v>18</v>
      </c>
      <c r="E74" s="1089">
        <v>18</v>
      </c>
      <c r="F74" s="1089">
        <v>18</v>
      </c>
      <c r="G74" s="1089">
        <v>15</v>
      </c>
      <c r="H74" s="1089">
        <v>20</v>
      </c>
      <c r="I74" s="1089">
        <v>15</v>
      </c>
      <c r="J74" s="1089">
        <v>20</v>
      </c>
      <c r="K74" s="1089"/>
      <c r="L74" s="1089"/>
      <c r="M74" s="826"/>
      <c r="N74" s="826"/>
      <c r="O74" s="826"/>
      <c r="P74" s="826"/>
      <c r="Q74" s="826"/>
      <c r="R74" s="826"/>
      <c r="S74" s="826"/>
      <c r="T74" s="826"/>
      <c r="U74" s="826"/>
      <c r="Z74" s="744" t="s">
        <v>10</v>
      </c>
      <c r="AA74" s="854">
        <v>15</v>
      </c>
      <c r="AB74" s="854">
        <v>15</v>
      </c>
      <c r="AC74" s="854">
        <v>15</v>
      </c>
      <c r="AD74" s="854">
        <v>15</v>
      </c>
      <c r="AE74" s="854">
        <v>12</v>
      </c>
      <c r="AF74" s="854">
        <v>20</v>
      </c>
      <c r="AG74" s="854">
        <v>12</v>
      </c>
      <c r="AH74" s="854">
        <v>20</v>
      </c>
      <c r="AI74" s="854"/>
      <c r="AJ74" s="854">
        <v>7.12</v>
      </c>
      <c r="AK74" s="826"/>
      <c r="AL74" s="826"/>
      <c r="AM74" s="826"/>
    </row>
    <row r="75" spans="2:39" s="821" customFormat="1" ht="16" thickBot="1">
      <c r="B75" s="1092" t="s">
        <v>488</v>
      </c>
      <c r="C75" s="1098"/>
      <c r="D75" s="1098"/>
      <c r="E75" s="1098"/>
      <c r="F75" s="1098"/>
      <c r="G75" s="1098"/>
      <c r="H75" s="1098"/>
      <c r="I75" s="1098"/>
      <c r="J75" s="1098"/>
      <c r="K75" s="1098"/>
      <c r="L75" s="1089"/>
      <c r="M75" s="826"/>
      <c r="N75" s="826"/>
      <c r="O75" s="826"/>
      <c r="P75" s="826"/>
      <c r="Q75" s="826"/>
      <c r="R75" s="826"/>
      <c r="S75" s="826"/>
      <c r="T75" s="826"/>
      <c r="U75" s="826"/>
      <c r="Z75" s="766" t="s">
        <v>488</v>
      </c>
      <c r="AA75" s="857"/>
      <c r="AB75" s="857"/>
      <c r="AC75" s="857"/>
      <c r="AD75" s="857"/>
      <c r="AE75" s="857"/>
      <c r="AF75" s="857"/>
      <c r="AG75" s="857"/>
      <c r="AH75" s="857"/>
      <c r="AI75" s="857"/>
      <c r="AJ75" s="854"/>
      <c r="AK75" s="826"/>
      <c r="AL75" s="826"/>
      <c r="AM75" s="826"/>
    </row>
    <row r="76" spans="2:39" s="821" customFormat="1" ht="16" thickBot="1">
      <c r="B76" s="1096" t="s">
        <v>578</v>
      </c>
      <c r="C76" s="1099">
        <v>100</v>
      </c>
      <c r="D76" s="1099">
        <v>100</v>
      </c>
      <c r="E76" s="1099">
        <v>100</v>
      </c>
      <c r="F76" s="1099">
        <v>100</v>
      </c>
      <c r="G76" s="1099">
        <v>50</v>
      </c>
      <c r="H76" s="1099">
        <v>100</v>
      </c>
      <c r="I76" s="1099">
        <v>50</v>
      </c>
      <c r="J76" s="1099">
        <v>100</v>
      </c>
      <c r="K76" s="1099"/>
      <c r="L76" s="1089" t="s">
        <v>572</v>
      </c>
      <c r="M76" s="826"/>
      <c r="N76" s="826"/>
      <c r="O76" s="826"/>
      <c r="P76" s="826"/>
      <c r="Q76" s="826"/>
      <c r="R76" s="826"/>
      <c r="S76" s="826"/>
      <c r="T76" s="826"/>
      <c r="U76" s="826"/>
      <c r="Z76" s="744" t="s">
        <v>578</v>
      </c>
      <c r="AA76" s="746">
        <v>100</v>
      </c>
      <c r="AB76" s="746">
        <v>100</v>
      </c>
      <c r="AC76" s="746">
        <v>100</v>
      </c>
      <c r="AD76" s="746">
        <v>100</v>
      </c>
      <c r="AE76" s="746">
        <v>20</v>
      </c>
      <c r="AF76" s="746">
        <v>100</v>
      </c>
      <c r="AG76" s="746">
        <v>20</v>
      </c>
      <c r="AH76" s="746">
        <v>100</v>
      </c>
      <c r="AI76" s="746"/>
      <c r="AJ76" s="854">
        <v>7.11</v>
      </c>
      <c r="AK76" s="826"/>
      <c r="AL76" s="826"/>
      <c r="AM76" s="826"/>
    </row>
    <row r="77" spans="2:39" s="821" customFormat="1" ht="16" thickBot="1">
      <c r="B77" s="1096" t="s">
        <v>492</v>
      </c>
      <c r="C77" s="1099">
        <v>0</v>
      </c>
      <c r="D77" s="1099">
        <v>0</v>
      </c>
      <c r="E77" s="1099">
        <v>0</v>
      </c>
      <c r="F77" s="1099">
        <v>0</v>
      </c>
      <c r="G77" s="1099">
        <v>0</v>
      </c>
      <c r="H77" s="1099">
        <v>0</v>
      </c>
      <c r="I77" s="1099">
        <v>0</v>
      </c>
      <c r="J77" s="1099">
        <v>0</v>
      </c>
      <c r="K77" s="1099"/>
      <c r="L77" s="1089" t="s">
        <v>572</v>
      </c>
      <c r="M77" s="826"/>
      <c r="N77" s="826"/>
      <c r="O77" s="826"/>
      <c r="P77" s="826"/>
      <c r="Q77" s="826"/>
      <c r="R77" s="826"/>
      <c r="S77" s="826"/>
      <c r="T77" s="826"/>
      <c r="U77" s="826"/>
      <c r="Z77" s="744" t="s">
        <v>492</v>
      </c>
      <c r="AA77" s="746">
        <v>0</v>
      </c>
      <c r="AB77" s="746">
        <v>0</v>
      </c>
      <c r="AC77" s="746">
        <v>0</v>
      </c>
      <c r="AD77" s="746">
        <v>0</v>
      </c>
      <c r="AE77" s="746">
        <v>0</v>
      </c>
      <c r="AF77" s="746">
        <v>0</v>
      </c>
      <c r="AG77" s="746">
        <v>0</v>
      </c>
      <c r="AH77" s="746">
        <v>0</v>
      </c>
      <c r="AI77" s="746"/>
      <c r="AJ77" s="854">
        <v>7.11</v>
      </c>
      <c r="AK77" s="826"/>
      <c r="AL77" s="826"/>
      <c r="AM77" s="826"/>
    </row>
    <row r="78" spans="2:39" s="821" customFormat="1" ht="16" thickBot="1">
      <c r="B78" s="1096" t="s">
        <v>493</v>
      </c>
      <c r="C78" s="1099">
        <v>0</v>
      </c>
      <c r="D78" s="1099">
        <v>0</v>
      </c>
      <c r="E78" s="1099">
        <v>0</v>
      </c>
      <c r="F78" s="1099">
        <v>0</v>
      </c>
      <c r="G78" s="1099">
        <v>0</v>
      </c>
      <c r="H78" s="1099">
        <v>0</v>
      </c>
      <c r="I78" s="1099">
        <v>0</v>
      </c>
      <c r="J78" s="1099">
        <v>0</v>
      </c>
      <c r="K78" s="1099"/>
      <c r="L78" s="1089" t="s">
        <v>572</v>
      </c>
      <c r="M78" s="826"/>
      <c r="N78" s="826"/>
      <c r="O78" s="826"/>
      <c r="P78" s="826"/>
      <c r="Q78" s="826"/>
      <c r="R78" s="826"/>
      <c r="S78" s="826"/>
      <c r="T78" s="826"/>
      <c r="U78" s="826"/>
      <c r="Z78" s="744" t="s">
        <v>493</v>
      </c>
      <c r="AA78" s="746">
        <v>0</v>
      </c>
      <c r="AB78" s="746">
        <v>0</v>
      </c>
      <c r="AC78" s="746">
        <v>0</v>
      </c>
      <c r="AD78" s="746">
        <v>0</v>
      </c>
      <c r="AE78" s="746">
        <v>0</v>
      </c>
      <c r="AF78" s="746">
        <v>0</v>
      </c>
      <c r="AG78" s="746">
        <v>0</v>
      </c>
      <c r="AH78" s="746">
        <v>0</v>
      </c>
      <c r="AI78" s="746"/>
      <c r="AJ78" s="854">
        <v>7.11</v>
      </c>
      <c r="AK78" s="826"/>
      <c r="AL78" s="826"/>
      <c r="AM78" s="826"/>
    </row>
    <row r="79" spans="2:39" s="821" customFormat="1" ht="16" thickBot="1">
      <c r="B79" s="1092" t="s">
        <v>11</v>
      </c>
      <c r="C79" s="1100"/>
      <c r="D79" s="1100"/>
      <c r="E79" s="1100"/>
      <c r="F79" s="1100"/>
      <c r="G79" s="1100"/>
      <c r="H79" s="1100"/>
      <c r="I79" s="1100"/>
      <c r="J79" s="1100"/>
      <c r="K79" s="1100"/>
      <c r="L79" s="1101"/>
      <c r="M79" s="826"/>
      <c r="N79" s="826"/>
      <c r="O79" s="826"/>
      <c r="P79" s="826"/>
      <c r="Q79" s="826"/>
      <c r="R79" s="826"/>
      <c r="S79" s="826"/>
      <c r="T79" s="826"/>
      <c r="U79" s="826"/>
      <c r="Z79" s="766" t="s">
        <v>11</v>
      </c>
      <c r="AA79" s="767"/>
      <c r="AB79" s="767"/>
      <c r="AC79" s="767"/>
      <c r="AD79" s="767"/>
      <c r="AE79" s="767"/>
      <c r="AF79" s="767"/>
      <c r="AG79" s="767"/>
      <c r="AH79" s="767"/>
      <c r="AI79" s="767"/>
      <c r="AJ79" s="768"/>
      <c r="AK79" s="826"/>
      <c r="AL79" s="826"/>
      <c r="AM79" s="826"/>
    </row>
    <row r="80" spans="2:39" s="821" customFormat="1" ht="16" thickBot="1">
      <c r="B80" s="1096" t="s">
        <v>474</v>
      </c>
      <c r="C80" s="1099" t="s">
        <v>487</v>
      </c>
      <c r="D80" s="1099" t="s">
        <v>487</v>
      </c>
      <c r="E80" s="1099" t="s">
        <v>487</v>
      </c>
      <c r="F80" s="1099" t="s">
        <v>487</v>
      </c>
      <c r="G80" s="1099" t="s">
        <v>487</v>
      </c>
      <c r="H80" s="1099" t="s">
        <v>487</v>
      </c>
      <c r="I80" s="1099" t="s">
        <v>487</v>
      </c>
      <c r="J80" s="1099" t="s">
        <v>487</v>
      </c>
      <c r="K80" s="1089"/>
      <c r="L80" s="1089"/>
      <c r="M80" s="826"/>
      <c r="N80" s="826"/>
      <c r="O80" s="826"/>
      <c r="P80" s="826"/>
      <c r="Q80" s="826"/>
      <c r="R80" s="826"/>
      <c r="S80" s="826"/>
      <c r="T80" s="826"/>
      <c r="U80" s="826"/>
      <c r="Z80" s="744" t="s">
        <v>474</v>
      </c>
      <c r="AA80" s="746" t="s">
        <v>487</v>
      </c>
      <c r="AB80" s="746" t="s">
        <v>487</v>
      </c>
      <c r="AC80" s="746" t="s">
        <v>487</v>
      </c>
      <c r="AD80" s="746" t="s">
        <v>487</v>
      </c>
      <c r="AE80" s="746" t="s">
        <v>487</v>
      </c>
      <c r="AF80" s="746" t="s">
        <v>487</v>
      </c>
      <c r="AG80" s="746" t="s">
        <v>487</v>
      </c>
      <c r="AH80" s="746" t="s">
        <v>487</v>
      </c>
      <c r="AI80" s="854"/>
      <c r="AJ80" s="854"/>
      <c r="AK80" s="826"/>
      <c r="AL80" s="826"/>
      <c r="AM80" s="826"/>
    </row>
    <row r="81" spans="2:39" s="821" customFormat="1" ht="16" thickBot="1">
      <c r="B81" s="1096" t="s">
        <v>475</v>
      </c>
      <c r="C81" s="1099" t="s">
        <v>487</v>
      </c>
      <c r="D81" s="1099" t="s">
        <v>487</v>
      </c>
      <c r="E81" s="1099" t="s">
        <v>487</v>
      </c>
      <c r="F81" s="1099" t="s">
        <v>487</v>
      </c>
      <c r="G81" s="1099" t="s">
        <v>487</v>
      </c>
      <c r="H81" s="1099" t="s">
        <v>487</v>
      </c>
      <c r="I81" s="1099" t="s">
        <v>487</v>
      </c>
      <c r="J81" s="1099" t="s">
        <v>487</v>
      </c>
      <c r="K81" s="1089"/>
      <c r="L81" s="1089"/>
      <c r="M81" s="826"/>
      <c r="N81" s="826"/>
      <c r="O81" s="826"/>
      <c r="P81" s="826"/>
      <c r="Q81" s="826"/>
      <c r="R81" s="826"/>
      <c r="S81" s="826"/>
      <c r="T81" s="826"/>
      <c r="U81" s="826"/>
      <c r="Z81" s="744" t="s">
        <v>475</v>
      </c>
      <c r="AA81" s="746" t="s">
        <v>487</v>
      </c>
      <c r="AB81" s="746" t="s">
        <v>487</v>
      </c>
      <c r="AC81" s="746" t="s">
        <v>487</v>
      </c>
      <c r="AD81" s="746" t="s">
        <v>487</v>
      </c>
      <c r="AE81" s="746" t="s">
        <v>487</v>
      </c>
      <c r="AF81" s="746" t="s">
        <v>487</v>
      </c>
      <c r="AG81" s="746" t="s">
        <v>487</v>
      </c>
      <c r="AH81" s="746" t="s">
        <v>487</v>
      </c>
      <c r="AI81" s="854"/>
      <c r="AJ81" s="854"/>
      <c r="AK81" s="826"/>
      <c r="AL81" s="826"/>
      <c r="AM81" s="826"/>
    </row>
    <row r="82" spans="2:39" s="821" customFormat="1" ht="16" thickBot="1">
      <c r="B82" s="1096" t="s">
        <v>476</v>
      </c>
      <c r="C82" s="1099" t="s">
        <v>487</v>
      </c>
      <c r="D82" s="1099" t="s">
        <v>487</v>
      </c>
      <c r="E82" s="1099" t="s">
        <v>487</v>
      </c>
      <c r="F82" s="1099" t="s">
        <v>487</v>
      </c>
      <c r="G82" s="1099" t="s">
        <v>487</v>
      </c>
      <c r="H82" s="1099" t="s">
        <v>487</v>
      </c>
      <c r="I82" s="1099" t="s">
        <v>487</v>
      </c>
      <c r="J82" s="1099" t="s">
        <v>487</v>
      </c>
      <c r="K82" s="1089"/>
      <c r="L82" s="1089"/>
      <c r="M82" s="826"/>
      <c r="N82" s="826"/>
      <c r="O82" s="826"/>
      <c r="P82" s="826"/>
      <c r="Q82" s="826"/>
      <c r="R82" s="826"/>
      <c r="S82" s="826"/>
      <c r="T82" s="826"/>
      <c r="U82" s="826"/>
      <c r="Z82" s="744" t="s">
        <v>476</v>
      </c>
      <c r="AA82" s="746" t="s">
        <v>487</v>
      </c>
      <c r="AB82" s="746" t="s">
        <v>487</v>
      </c>
      <c r="AC82" s="746" t="s">
        <v>487</v>
      </c>
      <c r="AD82" s="746" t="s">
        <v>487</v>
      </c>
      <c r="AE82" s="746" t="s">
        <v>487</v>
      </c>
      <c r="AF82" s="746" t="s">
        <v>487</v>
      </c>
      <c r="AG82" s="746" t="s">
        <v>487</v>
      </c>
      <c r="AH82" s="746" t="s">
        <v>487</v>
      </c>
      <c r="AI82" s="854"/>
      <c r="AJ82" s="854"/>
      <c r="AK82" s="826"/>
      <c r="AL82" s="826"/>
      <c r="AM82" s="826"/>
    </row>
    <row r="83" spans="2:39" s="821" customFormat="1" ht="16" thickBot="1">
      <c r="B83" s="1096" t="s">
        <v>477</v>
      </c>
      <c r="C83" s="1099" t="s">
        <v>487</v>
      </c>
      <c r="D83" s="1099" t="s">
        <v>487</v>
      </c>
      <c r="E83" s="1099" t="s">
        <v>487</v>
      </c>
      <c r="F83" s="1099" t="s">
        <v>487</v>
      </c>
      <c r="G83" s="1099" t="s">
        <v>487</v>
      </c>
      <c r="H83" s="1099" t="s">
        <v>487</v>
      </c>
      <c r="I83" s="1099" t="s">
        <v>487</v>
      </c>
      <c r="J83" s="1099" t="s">
        <v>487</v>
      </c>
      <c r="K83" s="1089"/>
      <c r="L83" s="1089"/>
      <c r="M83" s="826"/>
      <c r="N83" s="826"/>
      <c r="O83" s="826"/>
      <c r="P83" s="826"/>
      <c r="Q83" s="826"/>
      <c r="R83" s="826"/>
      <c r="S83" s="826"/>
      <c r="T83" s="826"/>
      <c r="U83" s="826"/>
      <c r="Z83" s="744" t="s">
        <v>477</v>
      </c>
      <c r="AA83" s="746" t="s">
        <v>487</v>
      </c>
      <c r="AB83" s="746" t="s">
        <v>487</v>
      </c>
      <c r="AC83" s="746" t="s">
        <v>487</v>
      </c>
      <c r="AD83" s="746" t="s">
        <v>487</v>
      </c>
      <c r="AE83" s="746" t="s">
        <v>487</v>
      </c>
      <c r="AF83" s="746" t="s">
        <v>487</v>
      </c>
      <c r="AG83" s="746" t="s">
        <v>487</v>
      </c>
      <c r="AH83" s="746" t="s">
        <v>487</v>
      </c>
      <c r="AI83" s="854"/>
      <c r="AJ83" s="854"/>
      <c r="AK83" s="826"/>
      <c r="AL83" s="826"/>
      <c r="AM83" s="826"/>
    </row>
    <row r="84" spans="2:39" s="821" customFormat="1" ht="16" thickBot="1">
      <c r="B84" s="1096" t="s">
        <v>18</v>
      </c>
      <c r="C84" s="1099" t="s">
        <v>487</v>
      </c>
      <c r="D84" s="1099" t="s">
        <v>487</v>
      </c>
      <c r="E84" s="1099" t="s">
        <v>487</v>
      </c>
      <c r="F84" s="1099" t="s">
        <v>487</v>
      </c>
      <c r="G84" s="1099" t="s">
        <v>487</v>
      </c>
      <c r="H84" s="1099" t="s">
        <v>487</v>
      </c>
      <c r="I84" s="1099" t="s">
        <v>487</v>
      </c>
      <c r="J84" s="1099" t="s">
        <v>487</v>
      </c>
      <c r="K84" s="1089"/>
      <c r="L84" s="1089"/>
      <c r="M84" s="826"/>
      <c r="N84" s="826"/>
      <c r="O84" s="826"/>
      <c r="P84" s="826"/>
      <c r="Q84" s="826"/>
      <c r="R84" s="826"/>
      <c r="S84" s="826"/>
      <c r="T84" s="826"/>
      <c r="U84" s="826"/>
      <c r="Z84" s="744" t="s">
        <v>18</v>
      </c>
      <c r="AA84" s="746" t="s">
        <v>487</v>
      </c>
      <c r="AB84" s="746" t="s">
        <v>487</v>
      </c>
      <c r="AC84" s="746" t="s">
        <v>487</v>
      </c>
      <c r="AD84" s="746" t="s">
        <v>487</v>
      </c>
      <c r="AE84" s="746" t="s">
        <v>487</v>
      </c>
      <c r="AF84" s="746" t="s">
        <v>487</v>
      </c>
      <c r="AG84" s="746" t="s">
        <v>487</v>
      </c>
      <c r="AH84" s="746" t="s">
        <v>487</v>
      </c>
      <c r="AI84" s="854"/>
      <c r="AJ84" s="854"/>
      <c r="AK84" s="826"/>
      <c r="AL84" s="826"/>
      <c r="AM84" s="826"/>
    </row>
    <row r="85" spans="2:39" s="821" customFormat="1" ht="16" thickBot="1">
      <c r="B85" s="1092" t="s">
        <v>20</v>
      </c>
      <c r="C85" s="1100"/>
      <c r="D85" s="1100"/>
      <c r="E85" s="1100"/>
      <c r="F85" s="1100"/>
      <c r="G85" s="1100"/>
      <c r="H85" s="1100"/>
      <c r="I85" s="1100"/>
      <c r="J85" s="1100"/>
      <c r="K85" s="1100"/>
      <c r="L85" s="1101"/>
      <c r="M85" s="826"/>
      <c r="N85" s="826"/>
      <c r="O85" s="826"/>
      <c r="P85" s="826"/>
      <c r="Q85" s="826"/>
      <c r="R85" s="826"/>
      <c r="S85" s="826"/>
      <c r="T85" s="826"/>
      <c r="U85" s="826"/>
      <c r="Z85" s="766" t="s">
        <v>20</v>
      </c>
      <c r="AA85" s="767"/>
      <c r="AB85" s="767"/>
      <c r="AC85" s="767"/>
      <c r="AD85" s="767"/>
      <c r="AE85" s="767"/>
      <c r="AF85" s="767"/>
      <c r="AG85" s="767"/>
      <c r="AH85" s="767"/>
      <c r="AI85" s="767"/>
      <c r="AJ85" s="768"/>
      <c r="AK85" s="826"/>
      <c r="AL85" s="826"/>
      <c r="AM85" s="826"/>
    </row>
    <row r="86" spans="2:39" s="821" customFormat="1">
      <c r="B86" s="1102" t="s">
        <v>22</v>
      </c>
      <c r="C86" s="1104">
        <v>7</v>
      </c>
      <c r="D86" s="1117">
        <v>6.6</v>
      </c>
      <c r="E86" s="1117">
        <v>5.9</v>
      </c>
      <c r="F86" s="1117">
        <v>5.3</v>
      </c>
      <c r="G86" s="1104">
        <v>6</v>
      </c>
      <c r="H86" s="1104">
        <v>9</v>
      </c>
      <c r="I86" s="1104">
        <v>4</v>
      </c>
      <c r="J86" s="1104">
        <v>8</v>
      </c>
      <c r="K86" s="1104"/>
      <c r="L86" s="1104" t="s">
        <v>805</v>
      </c>
      <c r="M86" s="826"/>
      <c r="N86" s="826"/>
      <c r="O86" s="826"/>
      <c r="P86" s="826"/>
      <c r="Q86" s="826"/>
      <c r="R86" s="826"/>
      <c r="S86" s="826"/>
      <c r="T86" s="826"/>
      <c r="U86" s="826"/>
      <c r="Z86" s="573" t="s">
        <v>22</v>
      </c>
      <c r="AA86" s="769">
        <v>75</v>
      </c>
      <c r="AB86" s="594">
        <v>71</v>
      </c>
      <c r="AC86" s="594">
        <v>63</v>
      </c>
      <c r="AD86" s="594">
        <v>57</v>
      </c>
      <c r="AE86" s="769">
        <v>60</v>
      </c>
      <c r="AF86" s="769">
        <v>100</v>
      </c>
      <c r="AG86" s="769">
        <v>50</v>
      </c>
      <c r="AH86" s="769">
        <v>100</v>
      </c>
      <c r="AI86" s="769"/>
      <c r="AJ86" s="769">
        <v>12.15</v>
      </c>
      <c r="AK86" s="826"/>
      <c r="AL86" s="826"/>
      <c r="AM86" s="826"/>
    </row>
    <row r="87" spans="2:39" s="821" customFormat="1">
      <c r="B87" s="1102" t="s">
        <v>24</v>
      </c>
      <c r="C87" s="1104">
        <v>60</v>
      </c>
      <c r="D87" s="1103">
        <v>60</v>
      </c>
      <c r="E87" s="1103">
        <v>50</v>
      </c>
      <c r="F87" s="1103">
        <v>50</v>
      </c>
      <c r="G87" s="1104">
        <v>45</v>
      </c>
      <c r="H87" s="1104">
        <v>85</v>
      </c>
      <c r="I87" s="1104">
        <v>40</v>
      </c>
      <c r="J87" s="1104">
        <v>85</v>
      </c>
      <c r="K87" s="1104" t="s">
        <v>42</v>
      </c>
      <c r="L87" s="1104" t="s">
        <v>572</v>
      </c>
      <c r="M87" s="826"/>
      <c r="N87" s="826"/>
      <c r="O87" s="826"/>
      <c r="P87" s="826"/>
      <c r="Q87" s="826"/>
      <c r="R87" s="826"/>
      <c r="S87" s="826"/>
      <c r="T87" s="826"/>
      <c r="U87" s="826"/>
      <c r="Z87" s="573" t="s">
        <v>24</v>
      </c>
      <c r="AA87" s="769">
        <v>60</v>
      </c>
      <c r="AB87" s="574">
        <v>60</v>
      </c>
      <c r="AC87" s="574">
        <v>60</v>
      </c>
      <c r="AD87" s="574">
        <v>60</v>
      </c>
      <c r="AE87" s="769">
        <v>50</v>
      </c>
      <c r="AF87" s="769">
        <v>85</v>
      </c>
      <c r="AG87" s="769">
        <v>50</v>
      </c>
      <c r="AH87" s="769">
        <v>85</v>
      </c>
      <c r="AI87" s="769" t="s">
        <v>42</v>
      </c>
      <c r="AJ87" s="769">
        <v>12</v>
      </c>
      <c r="AK87" s="826"/>
      <c r="AL87" s="826"/>
      <c r="AM87" s="826"/>
    </row>
    <row r="88" spans="2:39" s="821" customFormat="1" ht="16" thickBot="1">
      <c r="B88" s="1096" t="s">
        <v>26</v>
      </c>
      <c r="C88" s="1089">
        <v>40</v>
      </c>
      <c r="D88" s="1097">
        <v>40</v>
      </c>
      <c r="E88" s="1097">
        <v>50</v>
      </c>
      <c r="F88" s="1097">
        <v>50</v>
      </c>
      <c r="G88" s="1089">
        <v>15</v>
      </c>
      <c r="H88" s="1089">
        <v>55</v>
      </c>
      <c r="I88" s="1089">
        <v>15</v>
      </c>
      <c r="J88" s="1089">
        <v>60</v>
      </c>
      <c r="K88" s="1089"/>
      <c r="L88" s="1089" t="s">
        <v>572</v>
      </c>
      <c r="M88" s="826"/>
      <c r="N88" s="826"/>
      <c r="O88" s="826"/>
      <c r="P88" s="826"/>
      <c r="Q88" s="826"/>
      <c r="R88" s="826"/>
      <c r="S88" s="826"/>
      <c r="T88" s="826"/>
      <c r="U88" s="826"/>
      <c r="Z88" s="744" t="s">
        <v>26</v>
      </c>
      <c r="AA88" s="854">
        <v>40</v>
      </c>
      <c r="AB88" s="568">
        <v>40</v>
      </c>
      <c r="AC88" s="568">
        <v>40</v>
      </c>
      <c r="AD88" s="568">
        <v>40</v>
      </c>
      <c r="AE88" s="854">
        <v>15</v>
      </c>
      <c r="AF88" s="854">
        <v>50</v>
      </c>
      <c r="AG88" s="854">
        <v>15</v>
      </c>
      <c r="AH88" s="854">
        <v>50</v>
      </c>
      <c r="AI88" s="854"/>
      <c r="AJ88" s="854">
        <v>12</v>
      </c>
      <c r="AK88" s="826"/>
      <c r="AL88" s="826"/>
      <c r="AM88" s="826"/>
    </row>
    <row r="89" spans="2:39" s="821" customFormat="1" ht="25" thickBot="1">
      <c r="B89" s="1096" t="s">
        <v>28</v>
      </c>
      <c r="C89" s="1089"/>
      <c r="D89" s="1097"/>
      <c r="E89" s="1097"/>
      <c r="F89" s="1097"/>
      <c r="G89" s="1089"/>
      <c r="H89" s="1089"/>
      <c r="I89" s="1089"/>
      <c r="J89" s="1089"/>
      <c r="K89" s="1089"/>
      <c r="L89" s="1089"/>
      <c r="M89" s="826"/>
      <c r="N89" s="826"/>
      <c r="O89" s="826"/>
      <c r="P89" s="826"/>
      <c r="Q89" s="826"/>
      <c r="R89" s="826"/>
      <c r="S89" s="826"/>
      <c r="T89" s="826"/>
      <c r="U89" s="826"/>
      <c r="Z89" s="744" t="s">
        <v>28</v>
      </c>
      <c r="AA89" s="854"/>
      <c r="AB89" s="568"/>
      <c r="AC89" s="568"/>
      <c r="AD89" s="568"/>
      <c r="AE89" s="854"/>
      <c r="AF89" s="854"/>
      <c r="AG89" s="854"/>
      <c r="AH89" s="854"/>
      <c r="AI89" s="854"/>
      <c r="AJ89" s="854"/>
      <c r="AK89" s="826"/>
      <c r="AL89" s="826"/>
      <c r="AM89" s="826"/>
    </row>
    <row r="90" spans="2:39" s="821" customFormat="1">
      <c r="B90" s="1106" t="s">
        <v>44</v>
      </c>
      <c r="C90" s="1107">
        <v>291</v>
      </c>
      <c r="D90" s="1108">
        <v>278.03216422149995</v>
      </c>
      <c r="E90" s="1109">
        <v>255.11663107276718</v>
      </c>
      <c r="F90" s="1108">
        <v>238.73507335803222</v>
      </c>
      <c r="G90" s="1110">
        <v>256</v>
      </c>
      <c r="H90" s="1108">
        <v>328</v>
      </c>
      <c r="I90" s="1108">
        <v>188</v>
      </c>
      <c r="J90" s="1108">
        <v>295</v>
      </c>
      <c r="K90" s="1111"/>
      <c r="L90" s="1111"/>
      <c r="M90" s="826"/>
      <c r="N90" s="826"/>
      <c r="O90" s="826"/>
      <c r="P90" s="826"/>
      <c r="Q90" s="826"/>
      <c r="R90" s="826"/>
      <c r="S90" s="826"/>
      <c r="T90" s="826"/>
      <c r="U90" s="826"/>
      <c r="Z90" s="708" t="s">
        <v>44</v>
      </c>
      <c r="AA90" s="582">
        <f>SUM(AA91:AA92)</f>
        <v>1640</v>
      </c>
      <c r="AB90" s="772">
        <f t="shared" ref="AB90:AH90" si="1">SUM(AB91:AB92)</f>
        <v>1650</v>
      </c>
      <c r="AC90" s="584">
        <f t="shared" si="1"/>
        <v>1866</v>
      </c>
      <c r="AD90" s="772">
        <f t="shared" si="1"/>
        <v>2411</v>
      </c>
      <c r="AE90" s="585">
        <f t="shared" si="1"/>
        <v>1070</v>
      </c>
      <c r="AF90" s="772">
        <f t="shared" si="1"/>
        <v>2850</v>
      </c>
      <c r="AG90" s="772">
        <f t="shared" si="1"/>
        <v>1820</v>
      </c>
      <c r="AH90" s="772">
        <f t="shared" si="1"/>
        <v>3980</v>
      </c>
      <c r="AI90" s="855"/>
      <c r="AJ90" s="855"/>
      <c r="AK90" s="826"/>
      <c r="AL90" s="826"/>
      <c r="AM90" s="826"/>
    </row>
    <row r="91" spans="2:39" s="821" customFormat="1">
      <c r="B91" s="1112" t="s">
        <v>479</v>
      </c>
      <c r="C91" s="1113">
        <v>6</v>
      </c>
      <c r="D91" s="1113">
        <v>7</v>
      </c>
      <c r="E91" s="1113">
        <v>10</v>
      </c>
      <c r="F91" s="1113">
        <v>17</v>
      </c>
      <c r="G91" s="1113">
        <v>6</v>
      </c>
      <c r="H91" s="1113">
        <v>8</v>
      </c>
      <c r="I91" s="1113">
        <v>13</v>
      </c>
      <c r="J91" s="1113">
        <v>20</v>
      </c>
      <c r="K91" s="1114" t="s">
        <v>279</v>
      </c>
      <c r="L91" s="1114"/>
      <c r="M91" s="826"/>
      <c r="N91" s="826"/>
      <c r="O91" s="826"/>
      <c r="P91" s="826"/>
      <c r="Q91" s="826"/>
      <c r="R91" s="826"/>
      <c r="S91" s="826"/>
      <c r="T91" s="826"/>
      <c r="U91" s="826"/>
      <c r="Z91" s="586" t="s">
        <v>479</v>
      </c>
      <c r="AA91" s="587">
        <v>640</v>
      </c>
      <c r="AB91" s="587">
        <v>710</v>
      </c>
      <c r="AC91" s="587">
        <v>1020</v>
      </c>
      <c r="AD91" s="587">
        <v>1650</v>
      </c>
      <c r="AE91" s="587">
        <v>570</v>
      </c>
      <c r="AF91" s="587">
        <v>850</v>
      </c>
      <c r="AG91" s="587">
        <v>1320</v>
      </c>
      <c r="AH91" s="587">
        <v>1980</v>
      </c>
      <c r="AI91" s="774" t="s">
        <v>279</v>
      </c>
      <c r="AJ91" s="774"/>
      <c r="AK91" s="826"/>
      <c r="AL91" s="826"/>
      <c r="AM91" s="826"/>
    </row>
    <row r="92" spans="2:39" s="821" customFormat="1" ht="16" thickBot="1">
      <c r="B92" s="1115" t="s">
        <v>480</v>
      </c>
      <c r="C92" s="1098">
        <v>285</v>
      </c>
      <c r="D92" s="1118">
        <v>271.03216422149995</v>
      </c>
      <c r="E92" s="1118">
        <v>245.11663107276718</v>
      </c>
      <c r="F92" s="1118">
        <v>221.73507335803222</v>
      </c>
      <c r="G92" s="1089">
        <v>250</v>
      </c>
      <c r="H92" s="1089">
        <v>320</v>
      </c>
      <c r="I92" s="1089">
        <v>175</v>
      </c>
      <c r="J92" s="1089">
        <v>275</v>
      </c>
      <c r="K92" s="1089"/>
      <c r="L92" s="1089"/>
      <c r="M92" s="826"/>
      <c r="N92" s="826"/>
      <c r="O92" s="826"/>
      <c r="P92" s="826"/>
      <c r="Q92" s="826"/>
      <c r="R92" s="826"/>
      <c r="S92" s="826"/>
      <c r="T92" s="826"/>
      <c r="U92" s="826"/>
      <c r="Z92" s="589" t="s">
        <v>480</v>
      </c>
      <c r="AA92" s="857">
        <v>1000</v>
      </c>
      <c r="AB92" s="590">
        <v>940</v>
      </c>
      <c r="AC92" s="591">
        <v>846</v>
      </c>
      <c r="AD92" s="590">
        <v>761</v>
      </c>
      <c r="AE92" s="854">
        <v>500</v>
      </c>
      <c r="AF92" s="854">
        <v>2000</v>
      </c>
      <c r="AG92" s="854">
        <v>500</v>
      </c>
      <c r="AH92" s="854">
        <v>2000</v>
      </c>
      <c r="AI92" s="854"/>
      <c r="AJ92" s="854">
        <v>12</v>
      </c>
      <c r="AK92" s="826"/>
      <c r="AL92" s="826"/>
      <c r="AM92" s="826"/>
    </row>
    <row r="93" spans="2:39" s="821" customFormat="1" ht="16" thickBot="1">
      <c r="B93" s="1096" t="s">
        <v>482</v>
      </c>
      <c r="C93" s="1116">
        <v>0</v>
      </c>
      <c r="D93" s="1116">
        <v>0</v>
      </c>
      <c r="E93" s="1116">
        <v>0</v>
      </c>
      <c r="F93" s="1116">
        <v>0</v>
      </c>
      <c r="G93" s="1116">
        <v>0</v>
      </c>
      <c r="H93" s="1116">
        <v>0</v>
      </c>
      <c r="I93" s="1116">
        <v>0</v>
      </c>
      <c r="J93" s="1116">
        <v>0</v>
      </c>
      <c r="K93" s="1089"/>
      <c r="L93" s="1089" t="s">
        <v>572</v>
      </c>
      <c r="M93" s="826"/>
      <c r="N93" s="826"/>
      <c r="O93" s="826"/>
      <c r="P93" s="826"/>
      <c r="Q93" s="826"/>
      <c r="R93" s="826"/>
      <c r="S93" s="826"/>
      <c r="T93" s="826"/>
      <c r="U93" s="826"/>
      <c r="Z93" s="744" t="s">
        <v>482</v>
      </c>
      <c r="AA93" s="776">
        <f>0.5</f>
        <v>0.5</v>
      </c>
      <c r="AB93" s="595">
        <f>0.47</f>
        <v>0.47</v>
      </c>
      <c r="AC93" s="596">
        <f>0.42</f>
        <v>0.42</v>
      </c>
      <c r="AD93" s="596">
        <f>0.38</f>
        <v>0.38</v>
      </c>
      <c r="AE93" s="597">
        <f>0.2</f>
        <v>0.2</v>
      </c>
      <c r="AF93" s="597">
        <f>1</f>
        <v>1</v>
      </c>
      <c r="AG93" s="597">
        <f>0.2</f>
        <v>0.2</v>
      </c>
      <c r="AH93" s="597">
        <f>1</f>
        <v>1</v>
      </c>
      <c r="AI93" s="854"/>
      <c r="AJ93" s="854">
        <v>12</v>
      </c>
      <c r="AK93" s="826"/>
      <c r="AL93" s="826"/>
      <c r="AM93" s="826"/>
    </row>
    <row r="94" spans="2:39" s="821" customFormat="1" ht="16" thickBot="1">
      <c r="B94" s="429"/>
      <c r="C94" s="430"/>
      <c r="D94" s="430"/>
      <c r="E94" s="430"/>
      <c r="F94" s="430"/>
      <c r="G94" s="430"/>
      <c r="H94" s="430"/>
      <c r="I94" s="430"/>
      <c r="J94" s="430"/>
      <c r="K94" s="430"/>
      <c r="L94" s="432"/>
      <c r="M94" s="826"/>
      <c r="N94" s="826"/>
      <c r="O94" s="826"/>
      <c r="P94" s="826"/>
      <c r="Q94" s="826"/>
      <c r="R94" s="826"/>
      <c r="S94" s="826"/>
      <c r="T94" s="826"/>
      <c r="U94" s="826"/>
      <c r="Z94" s="429"/>
      <c r="AA94" s="430"/>
      <c r="AB94" s="430"/>
      <c r="AC94" s="430"/>
      <c r="AD94" s="430"/>
      <c r="AE94" s="430"/>
      <c r="AF94" s="430"/>
      <c r="AG94" s="430"/>
      <c r="AH94" s="430"/>
      <c r="AI94" s="430"/>
      <c r="AJ94" s="432"/>
      <c r="AK94" s="826"/>
      <c r="AL94" s="826"/>
      <c r="AM94" s="826"/>
    </row>
    <row r="95" spans="2:39" s="821" customFormat="1" ht="16" thickBot="1">
      <c r="B95" s="429" t="s">
        <v>499</v>
      </c>
      <c r="C95" s="430"/>
      <c r="D95" s="430"/>
      <c r="E95" s="430"/>
      <c r="F95" s="430"/>
      <c r="G95" s="430"/>
      <c r="H95" s="430"/>
      <c r="I95" s="430"/>
      <c r="J95" s="430"/>
      <c r="K95" s="430"/>
      <c r="L95" s="432"/>
      <c r="M95" s="826"/>
      <c r="N95" s="826"/>
      <c r="O95" s="826"/>
      <c r="P95" s="826"/>
      <c r="Q95" s="826"/>
      <c r="R95" s="826"/>
      <c r="S95" s="826"/>
      <c r="T95" s="826"/>
      <c r="U95" s="826"/>
      <c r="Z95" s="429" t="s">
        <v>499</v>
      </c>
      <c r="AA95" s="430"/>
      <c r="AB95" s="430"/>
      <c r="AC95" s="430"/>
      <c r="AD95" s="430"/>
      <c r="AE95" s="430"/>
      <c r="AF95" s="430"/>
      <c r="AG95" s="430"/>
      <c r="AH95" s="430"/>
      <c r="AI95" s="430"/>
      <c r="AJ95" s="432"/>
      <c r="AK95" s="826"/>
      <c r="AL95" s="826"/>
      <c r="AM95" s="826"/>
    </row>
    <row r="96" spans="2:39" s="821" customFormat="1" ht="16" thickBot="1">
      <c r="B96" s="844" t="s">
        <v>503</v>
      </c>
      <c r="C96" s="540">
        <f>C86/C$65*Euro</f>
        <v>13.0375</v>
      </c>
      <c r="D96" s="540">
        <f>D86/D$65*Euro</f>
        <v>12.2925</v>
      </c>
      <c r="E96" s="540">
        <f>E86/E$65*Euro</f>
        <v>10.988750000000001</v>
      </c>
      <c r="F96" s="540">
        <f>F86/F$65*Euro</f>
        <v>9.8712499999999999</v>
      </c>
      <c r="G96" s="843"/>
      <c r="H96" s="843"/>
      <c r="I96" s="843"/>
      <c r="J96" s="843"/>
      <c r="K96" s="843"/>
      <c r="L96" s="843"/>
      <c r="M96" s="826"/>
      <c r="N96" s="826"/>
      <c r="O96" s="826"/>
      <c r="P96" s="826"/>
      <c r="Q96" s="826"/>
      <c r="R96" s="826"/>
      <c r="S96" s="826"/>
      <c r="T96" s="826"/>
      <c r="U96" s="826"/>
      <c r="Z96" s="861" t="s">
        <v>503</v>
      </c>
      <c r="AA96" s="540">
        <f>AA86/AA$65*Euro</f>
        <v>3.4921875</v>
      </c>
      <c r="AB96" s="540">
        <f>AB86/AB$65*Euro</f>
        <v>3.3059374999999998</v>
      </c>
      <c r="AC96" s="540">
        <f>AC86/AC$65*Euro</f>
        <v>2.9334375000000001</v>
      </c>
      <c r="AD96" s="540">
        <f>AD86/AD$65*Euro</f>
        <v>2.6540625000000002</v>
      </c>
      <c r="AE96" s="860"/>
      <c r="AF96" s="860"/>
      <c r="AG96" s="860"/>
      <c r="AH96" s="860"/>
      <c r="AI96" s="860"/>
      <c r="AJ96" s="860"/>
      <c r="AK96" s="826"/>
      <c r="AL96" s="826"/>
      <c r="AM96" s="826"/>
    </row>
    <row r="97" spans="2:39" s="821" customFormat="1" ht="25" thickBot="1">
      <c r="B97" s="844" t="s">
        <v>504</v>
      </c>
      <c r="C97" s="540">
        <f>C89/C$23*Euro</f>
        <v>0</v>
      </c>
      <c r="D97" s="540">
        <f>D89/D$23*Euro</f>
        <v>0</v>
      </c>
      <c r="E97" s="540">
        <f>E89/E$23*Euro</f>
        <v>0</v>
      </c>
      <c r="F97" s="540">
        <f>F89/F$23*Euro</f>
        <v>0</v>
      </c>
      <c r="G97" s="843"/>
      <c r="H97" s="843"/>
      <c r="I97" s="843"/>
      <c r="J97" s="843"/>
      <c r="K97" s="843"/>
      <c r="L97" s="843"/>
      <c r="M97" s="826"/>
      <c r="N97" s="826"/>
      <c r="O97" s="826"/>
      <c r="P97" s="826"/>
      <c r="Q97" s="826"/>
      <c r="R97" s="826"/>
      <c r="S97" s="826"/>
      <c r="T97" s="826"/>
      <c r="U97" s="826"/>
      <c r="Z97" s="861" t="s">
        <v>504</v>
      </c>
      <c r="AA97" s="540">
        <f>AA89/AA$65*Euro</f>
        <v>0</v>
      </c>
      <c r="AB97" s="540">
        <f>AB89/AB$65*Euro</f>
        <v>0</v>
      </c>
      <c r="AC97" s="540">
        <f>AC89/AC$65*Euro</f>
        <v>0</v>
      </c>
      <c r="AD97" s="540">
        <f>AD89/AD$65*Euro</f>
        <v>0</v>
      </c>
      <c r="AE97" s="860"/>
      <c r="AF97" s="860"/>
      <c r="AG97" s="860"/>
      <c r="AH97" s="860"/>
      <c r="AI97" s="860"/>
      <c r="AJ97" s="860"/>
      <c r="AK97" s="826"/>
      <c r="AL97" s="826"/>
      <c r="AM97" s="826"/>
    </row>
    <row r="98" spans="2:39" s="821" customFormat="1" ht="16" thickBot="1">
      <c r="B98" s="844"/>
      <c r="C98" s="843"/>
      <c r="D98" s="843"/>
      <c r="E98" s="843"/>
      <c r="F98" s="843"/>
      <c r="G98" s="843"/>
      <c r="H98" s="843"/>
      <c r="I98" s="843"/>
      <c r="J98" s="843"/>
      <c r="K98" s="843"/>
      <c r="L98" s="843"/>
      <c r="M98" s="826"/>
      <c r="N98" s="826"/>
      <c r="O98" s="826"/>
      <c r="P98" s="826"/>
      <c r="Q98" s="826"/>
      <c r="R98" s="826"/>
      <c r="S98" s="826"/>
      <c r="T98" s="826"/>
      <c r="U98" s="826"/>
      <c r="Z98" s="861"/>
      <c r="AA98" s="860"/>
      <c r="AB98" s="860"/>
      <c r="AC98" s="860"/>
      <c r="AD98" s="860"/>
      <c r="AE98" s="860"/>
      <c r="AF98" s="860"/>
      <c r="AG98" s="860"/>
      <c r="AH98" s="860"/>
      <c r="AI98" s="860"/>
      <c r="AJ98" s="860"/>
      <c r="AK98" s="826"/>
      <c r="AL98" s="826"/>
      <c r="AM98" s="826"/>
    </row>
    <row r="99" spans="2:39" s="821" customFormat="1" ht="16" thickBot="1">
      <c r="B99" s="841" t="s">
        <v>502</v>
      </c>
      <c r="C99" s="540">
        <f>C90/C65/1000*Euro</f>
        <v>0.54198749999999996</v>
      </c>
      <c r="D99" s="540">
        <f>D90/D65/1000*Euro</f>
        <v>0.51783490586254366</v>
      </c>
      <c r="E99" s="540">
        <f>E90/E65/1000*Euro</f>
        <v>0.47515472537302883</v>
      </c>
      <c r="F99" s="540">
        <f>F90/F65/1000*Euro</f>
        <v>0.44464407412933504</v>
      </c>
      <c r="G99" s="843"/>
      <c r="H99" s="843"/>
      <c r="I99" s="843"/>
      <c r="J99" s="843"/>
      <c r="K99" s="843"/>
      <c r="L99" s="843"/>
      <c r="M99" s="826"/>
      <c r="N99" s="826"/>
      <c r="O99" s="826"/>
      <c r="P99" s="826"/>
      <c r="Q99" s="826"/>
      <c r="R99" s="826"/>
      <c r="S99" s="826"/>
      <c r="T99" s="826"/>
      <c r="U99" s="826"/>
      <c r="Z99" s="858" t="s">
        <v>502</v>
      </c>
      <c r="AA99" s="540">
        <f>AA90/AA65/1000*Euro</f>
        <v>7.63625E-2</v>
      </c>
      <c r="AB99" s="540">
        <f>AB90/AB65/1000*Euro</f>
        <v>7.6828125000000011E-2</v>
      </c>
      <c r="AC99" s="540">
        <f>AC90/AC65/1000*Euro</f>
        <v>8.6885624999999994E-2</v>
      </c>
      <c r="AD99" s="540">
        <f>AD90/AD65/1000*Euro</f>
        <v>0.1122621875</v>
      </c>
      <c r="AE99" s="860"/>
      <c r="AF99" s="860"/>
      <c r="AG99" s="860"/>
      <c r="AH99" s="860"/>
      <c r="AI99" s="860"/>
      <c r="AJ99" s="860"/>
      <c r="AK99" s="826"/>
      <c r="AL99" s="826"/>
      <c r="AM99" s="826"/>
    </row>
    <row r="100" spans="2:39" s="821" customFormat="1" ht="16" thickBot="1">
      <c r="B100" s="842" t="s">
        <v>505</v>
      </c>
      <c r="C100" s="843">
        <f>C93/3.6*Euro</f>
        <v>0</v>
      </c>
      <c r="D100" s="843">
        <f>D93/3.6*Euro</f>
        <v>0</v>
      </c>
      <c r="E100" s="843">
        <f>E93/3.6*Euro</f>
        <v>0</v>
      </c>
      <c r="F100" s="843">
        <f>F93/3.6*Euro</f>
        <v>0</v>
      </c>
      <c r="G100" s="843"/>
      <c r="H100" s="843"/>
      <c r="I100" s="843"/>
      <c r="J100" s="843"/>
      <c r="K100" s="843"/>
      <c r="L100" s="843"/>
      <c r="M100" s="826"/>
      <c r="N100" s="826"/>
      <c r="O100" s="826"/>
      <c r="P100" s="826"/>
      <c r="Q100" s="826"/>
      <c r="R100" s="826"/>
      <c r="S100" s="826"/>
      <c r="T100" s="826"/>
      <c r="U100" s="826"/>
      <c r="Z100" s="859" t="s">
        <v>505</v>
      </c>
      <c r="AA100" s="860">
        <f>AA93/3.6*Euro</f>
        <v>1.0347222222222223</v>
      </c>
      <c r="AB100" s="860">
        <f>AB93/3.6*Euro</f>
        <v>0.97263888888888872</v>
      </c>
      <c r="AC100" s="860">
        <f>AC93/3.6*Euro</f>
        <v>0.86916666666666664</v>
      </c>
      <c r="AD100" s="860">
        <f>AD93/3.6*Euro</f>
        <v>0.78638888888888892</v>
      </c>
      <c r="AE100" s="860"/>
      <c r="AF100" s="860"/>
      <c r="AG100" s="860"/>
      <c r="AH100" s="860"/>
      <c r="AI100" s="860"/>
      <c r="AJ100" s="860"/>
      <c r="AK100" s="826"/>
      <c r="AL100" s="826"/>
      <c r="AM100" s="826"/>
    </row>
    <row r="101" spans="2:39" s="821" customFormat="1">
      <c r="B101" s="555"/>
      <c r="C101" s="35"/>
      <c r="D101" s="35"/>
      <c r="E101" s="35"/>
      <c r="F101" s="35"/>
      <c r="G101" s="35"/>
      <c r="H101" s="35"/>
      <c r="I101" s="826"/>
      <c r="J101" s="826"/>
      <c r="K101" s="826"/>
      <c r="L101" s="826"/>
      <c r="M101" s="826"/>
      <c r="N101" s="826"/>
      <c r="O101" s="826"/>
      <c r="P101" s="826"/>
      <c r="Q101" s="826"/>
      <c r="R101" s="826"/>
      <c r="S101" s="826"/>
      <c r="T101" s="826"/>
      <c r="U101" s="826"/>
    </row>
    <row r="102" spans="2:39" s="821" customFormat="1">
      <c r="B102" s="555"/>
      <c r="C102" s="35"/>
      <c r="D102" s="35"/>
      <c r="E102" s="35"/>
      <c r="F102" s="35"/>
      <c r="G102" s="35"/>
      <c r="H102" s="35"/>
      <c r="I102" s="826"/>
      <c r="J102" s="826"/>
      <c r="K102" s="826"/>
      <c r="L102" s="826"/>
      <c r="M102" s="826"/>
      <c r="N102" s="826"/>
      <c r="O102" s="826"/>
      <c r="P102" s="826"/>
      <c r="Q102" s="826"/>
      <c r="R102" s="826"/>
      <c r="S102" s="826"/>
      <c r="T102" s="826"/>
      <c r="U102" s="826"/>
    </row>
    <row r="103" spans="2:39" s="821" customFormat="1">
      <c r="B103" s="555"/>
      <c r="C103" s="35"/>
      <c r="D103" s="35"/>
      <c r="E103" s="35"/>
      <c r="F103" s="35"/>
      <c r="G103" s="35"/>
      <c r="H103" s="35"/>
      <c r="I103" s="826"/>
      <c r="J103" s="826"/>
      <c r="K103" s="826"/>
      <c r="L103" s="826"/>
      <c r="M103" s="826"/>
      <c r="N103" s="826"/>
      <c r="O103" s="826"/>
      <c r="P103" s="826"/>
      <c r="Q103" s="826"/>
      <c r="R103" s="826"/>
      <c r="S103" s="826"/>
      <c r="T103" s="826"/>
      <c r="U103" s="826"/>
    </row>
    <row r="104" spans="2:39" s="821" customFormat="1">
      <c r="B104" s="555"/>
      <c r="C104" s="35"/>
      <c r="D104" s="35"/>
      <c r="E104" s="35"/>
      <c r="F104" s="35"/>
      <c r="G104" s="35"/>
      <c r="H104" s="35"/>
      <c r="I104" s="826"/>
      <c r="J104" s="826"/>
      <c r="K104" s="826"/>
      <c r="L104" s="826"/>
      <c r="M104" s="826"/>
      <c r="N104" s="826"/>
      <c r="O104" s="826"/>
      <c r="P104" s="826"/>
      <c r="Q104" s="826"/>
      <c r="R104" s="826"/>
      <c r="S104" s="826"/>
      <c r="T104" s="826"/>
      <c r="U104" s="826"/>
    </row>
    <row r="105" spans="2:39" s="821" customFormat="1">
      <c r="B105" s="555"/>
      <c r="C105" s="35"/>
      <c r="D105" s="35"/>
      <c r="E105" s="35"/>
      <c r="F105" s="35"/>
      <c r="G105" s="35"/>
      <c r="H105" s="35"/>
      <c r="I105" s="826"/>
      <c r="J105" s="826"/>
      <c r="K105" s="826"/>
      <c r="L105" s="826"/>
      <c r="M105" s="826"/>
      <c r="N105" s="826"/>
      <c r="O105" s="826"/>
      <c r="P105" s="826"/>
      <c r="Q105" s="826"/>
      <c r="R105" s="826"/>
      <c r="S105" s="826"/>
      <c r="T105" s="826"/>
      <c r="U105" s="826"/>
    </row>
    <row r="106" spans="2:39" s="821" customFormat="1">
      <c r="B106" s="555"/>
      <c r="C106" s="35"/>
      <c r="D106" s="35"/>
      <c r="E106" s="35"/>
      <c r="F106" s="35"/>
      <c r="G106" s="35"/>
      <c r="H106" s="35"/>
      <c r="I106" s="826"/>
      <c r="J106" s="826"/>
      <c r="K106" s="826"/>
      <c r="L106" s="826"/>
      <c r="M106" s="826"/>
      <c r="N106" s="826"/>
      <c r="O106" s="826"/>
      <c r="P106" s="826"/>
      <c r="Q106" s="826"/>
      <c r="R106" s="826"/>
      <c r="S106" s="826"/>
      <c r="T106" s="826"/>
      <c r="U106" s="826"/>
    </row>
    <row r="107" spans="2:39" s="821" customFormat="1">
      <c r="B107" s="555"/>
      <c r="C107" s="35"/>
      <c r="D107" s="35"/>
      <c r="E107" s="35"/>
      <c r="F107" s="35"/>
      <c r="G107" s="35"/>
      <c r="H107" s="35"/>
      <c r="I107" s="826"/>
      <c r="J107" s="826"/>
      <c r="K107" s="826"/>
      <c r="L107" s="826"/>
      <c r="M107" s="826"/>
      <c r="N107" s="826"/>
      <c r="O107" s="826"/>
      <c r="P107" s="826"/>
      <c r="Q107" s="826"/>
      <c r="R107" s="826"/>
      <c r="S107" s="826"/>
      <c r="T107" s="826"/>
      <c r="U107" s="826"/>
    </row>
    <row r="108" spans="2:39" s="821" customFormat="1">
      <c r="B108" s="555"/>
      <c r="C108" s="35"/>
      <c r="D108" s="35"/>
      <c r="E108" s="35"/>
      <c r="F108" s="35"/>
      <c r="G108" s="35"/>
      <c r="H108" s="35"/>
      <c r="I108" s="826"/>
      <c r="J108" s="826"/>
      <c r="K108" s="826"/>
      <c r="L108" s="826"/>
      <c r="M108" s="826"/>
      <c r="N108" s="826"/>
      <c r="O108" s="826"/>
      <c r="P108" s="826"/>
      <c r="Q108" s="826"/>
      <c r="R108" s="826"/>
      <c r="S108" s="826"/>
      <c r="T108" s="826"/>
      <c r="U108" s="826"/>
    </row>
    <row r="109" spans="2:39" s="821" customFormat="1">
      <c r="B109" s="555"/>
      <c r="C109" s="35"/>
      <c r="D109" s="35"/>
      <c r="E109" s="35"/>
      <c r="F109" s="35"/>
      <c r="G109" s="35"/>
      <c r="H109" s="35"/>
      <c r="I109" s="826"/>
      <c r="J109" s="826"/>
      <c r="K109" s="826"/>
      <c r="L109" s="826"/>
      <c r="M109" s="826"/>
      <c r="N109" s="826"/>
      <c r="O109" s="826"/>
      <c r="P109" s="826"/>
      <c r="Q109" s="826"/>
      <c r="R109" s="826"/>
      <c r="S109" s="826"/>
      <c r="T109" s="826"/>
      <c r="U109" s="826"/>
    </row>
    <row r="110" spans="2:39" s="821" customFormat="1">
      <c r="B110" s="555"/>
      <c r="C110" s="35"/>
      <c r="D110" s="35"/>
      <c r="E110" s="35"/>
      <c r="F110" s="35"/>
      <c r="G110" s="35"/>
      <c r="H110" s="35"/>
      <c r="I110" s="826"/>
      <c r="J110" s="826"/>
      <c r="K110" s="826"/>
      <c r="L110" s="826"/>
      <c r="M110" s="826"/>
      <c r="N110" s="826"/>
      <c r="O110" s="826"/>
      <c r="P110" s="826"/>
      <c r="Q110" s="826"/>
      <c r="R110" s="826"/>
      <c r="S110" s="826"/>
      <c r="T110" s="826"/>
      <c r="U110" s="826"/>
    </row>
    <row r="111" spans="2:39" s="821" customFormat="1">
      <c r="B111" s="555"/>
      <c r="C111" s="35"/>
      <c r="D111" s="35"/>
      <c r="E111" s="35"/>
      <c r="F111" s="35"/>
      <c r="G111" s="35"/>
      <c r="H111" s="35"/>
      <c r="I111" s="826"/>
      <c r="J111" s="826"/>
      <c r="K111" s="826"/>
      <c r="L111" s="826"/>
      <c r="M111" s="826"/>
      <c r="N111" s="826"/>
      <c r="O111" s="826"/>
      <c r="P111" s="826"/>
      <c r="Q111" s="826"/>
      <c r="R111" s="826"/>
      <c r="S111" s="826"/>
      <c r="T111" s="826"/>
      <c r="U111" s="826"/>
    </row>
    <row r="112" spans="2:39" s="821" customFormat="1">
      <c r="B112" s="555"/>
      <c r="C112" s="35"/>
      <c r="D112" s="35"/>
      <c r="E112" s="35"/>
      <c r="F112" s="35"/>
      <c r="G112" s="35"/>
      <c r="H112" s="35"/>
      <c r="I112" s="826"/>
      <c r="J112" s="826"/>
      <c r="K112" s="826"/>
      <c r="L112" s="826"/>
      <c r="M112" s="826"/>
      <c r="N112" s="826"/>
      <c r="O112" s="826"/>
      <c r="P112" s="826"/>
      <c r="Q112" s="826"/>
      <c r="R112" s="826"/>
      <c r="S112" s="826"/>
      <c r="T112" s="826"/>
      <c r="U112" s="826"/>
    </row>
    <row r="113" spans="1:55" s="821" customFormat="1">
      <c r="B113" s="555"/>
      <c r="C113" s="35"/>
      <c r="D113" s="35"/>
      <c r="E113" s="35"/>
      <c r="F113" s="35"/>
      <c r="G113" s="35"/>
      <c r="H113" s="35"/>
      <c r="I113" s="826"/>
      <c r="J113" s="826"/>
      <c r="K113" s="826"/>
      <c r="L113" s="826"/>
      <c r="M113" s="826"/>
      <c r="N113" s="826"/>
      <c r="O113" s="826"/>
      <c r="P113" s="826"/>
      <c r="Q113" s="826"/>
      <c r="R113" s="826"/>
      <c r="S113" s="826"/>
      <c r="T113" s="826"/>
      <c r="U113" s="826"/>
    </row>
    <row r="114" spans="1:55" s="821" customFormat="1">
      <c r="B114" s="555"/>
      <c r="C114" s="35"/>
      <c r="D114" s="35"/>
      <c r="E114" s="35"/>
      <c r="F114" s="35"/>
      <c r="G114" s="35"/>
      <c r="H114" s="35"/>
      <c r="I114" s="826"/>
      <c r="J114" s="826"/>
      <c r="K114" s="826"/>
      <c r="L114" s="826"/>
      <c r="M114" s="826"/>
      <c r="N114" s="826"/>
      <c r="O114" s="826"/>
      <c r="P114" s="826"/>
      <c r="Q114" s="826"/>
      <c r="R114" s="826"/>
      <c r="S114" s="826"/>
      <c r="T114" s="826"/>
      <c r="U114" s="826"/>
      <c r="Z114" s="562"/>
      <c r="AA114" s="562"/>
      <c r="AB114" s="562"/>
      <c r="AC114" s="562"/>
      <c r="AD114" s="562"/>
      <c r="AE114" s="562"/>
      <c r="AF114" s="562"/>
      <c r="AG114" s="562"/>
      <c r="AH114" s="562"/>
      <c r="AI114" s="562"/>
      <c r="AJ114" s="562"/>
      <c r="AK114" s="562"/>
      <c r="AL114" s="562"/>
      <c r="AM114" s="562"/>
    </row>
    <row r="115" spans="1:55" s="556" customFormat="1">
      <c r="A115" s="562"/>
      <c r="B115" s="555"/>
      <c r="C115" s="35"/>
      <c r="D115" s="35"/>
      <c r="E115" s="35"/>
      <c r="F115" s="35"/>
      <c r="G115" s="35"/>
      <c r="H115" s="35"/>
      <c r="I115" s="439"/>
      <c r="J115" s="439"/>
      <c r="K115" s="439"/>
      <c r="L115" s="439"/>
      <c r="M115" s="439"/>
      <c r="N115" s="439"/>
      <c r="O115" s="439"/>
      <c r="P115" s="439"/>
      <c r="Q115" s="439"/>
      <c r="R115" s="439"/>
      <c r="S115" s="439"/>
      <c r="T115" s="439"/>
      <c r="U115" s="439"/>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row>
    <row r="116" spans="1:55" ht="16">
      <c r="A116" s="562"/>
      <c r="B116" s="562"/>
      <c r="C116" s="562"/>
      <c r="D116" s="562"/>
      <c r="E116" s="562"/>
      <c r="F116" s="562"/>
      <c r="G116" s="562"/>
      <c r="H116" s="562"/>
      <c r="I116" s="562"/>
      <c r="J116" s="562"/>
      <c r="K116" s="562"/>
      <c r="L116" s="562"/>
      <c r="M116" s="562"/>
      <c r="N116" s="439"/>
      <c r="O116" s="439"/>
      <c r="P116" s="439"/>
      <c r="Q116" s="439"/>
      <c r="R116" s="439"/>
      <c r="S116" s="439"/>
      <c r="T116" s="439"/>
      <c r="U116" s="439"/>
      <c r="V116" s="562"/>
      <c r="W116" s="562"/>
      <c r="X116" s="562"/>
      <c r="Y116" s="581" t="s">
        <v>580</v>
      </c>
      <c r="Z116" s="601" t="s">
        <v>584</v>
      </c>
      <c r="AA116" s="562"/>
      <c r="AB116" s="562"/>
      <c r="AC116" s="562"/>
      <c r="AD116" s="562"/>
      <c r="AE116" s="562"/>
      <c r="AF116" s="562"/>
      <c r="AG116" s="562"/>
      <c r="AH116" s="562"/>
      <c r="AI116" s="562"/>
      <c r="AJ116" s="562"/>
      <c r="AK116" s="562"/>
      <c r="AL116" s="562"/>
      <c r="AM116" s="562"/>
      <c r="AN116" s="562"/>
      <c r="AO116" s="562"/>
      <c r="AP116" s="562"/>
      <c r="AQ116" s="562"/>
      <c r="AR116" s="562"/>
      <c r="AS116" s="562"/>
      <c r="AT116" s="562"/>
      <c r="AU116" s="562"/>
      <c r="AV116" s="562"/>
      <c r="AW116" s="562"/>
      <c r="AX116" s="562"/>
      <c r="AY116" s="562"/>
      <c r="AZ116" s="562"/>
      <c r="BA116" s="562"/>
      <c r="BB116" s="562"/>
      <c r="BC116" s="562"/>
    </row>
    <row r="117" spans="1:55" ht="16">
      <c r="A117" s="581" t="s">
        <v>580</v>
      </c>
      <c r="B117" s="562"/>
      <c r="C117" s="562"/>
      <c r="D117" s="562"/>
      <c r="E117" s="562"/>
      <c r="F117" s="562"/>
      <c r="G117" s="562"/>
      <c r="H117" s="562"/>
      <c r="I117" s="562"/>
      <c r="J117" s="562"/>
      <c r="K117" s="562"/>
      <c r="L117" s="562"/>
      <c r="M117" s="562"/>
      <c r="N117" s="439"/>
      <c r="O117" s="439"/>
      <c r="P117" s="439"/>
      <c r="Q117" s="439"/>
      <c r="R117" s="439"/>
      <c r="S117" s="439"/>
      <c r="T117" s="439"/>
      <c r="U117" s="439"/>
      <c r="V117" s="562"/>
      <c r="W117" s="562"/>
      <c r="X117" s="562"/>
      <c r="Y117" s="577">
        <v>4</v>
      </c>
      <c r="Z117" s="601" t="s">
        <v>585</v>
      </c>
      <c r="AA117" s="562"/>
      <c r="AB117" s="562"/>
      <c r="AC117" s="562"/>
      <c r="AD117" s="562"/>
      <c r="AE117" s="562"/>
      <c r="AF117" s="562"/>
      <c r="AG117" s="562"/>
      <c r="AH117" s="562"/>
      <c r="AI117" s="562"/>
      <c r="AJ117" s="562"/>
      <c r="AK117" s="562"/>
      <c r="AL117" s="562"/>
      <c r="AM117" s="562"/>
      <c r="AN117" s="562"/>
      <c r="AO117" s="562"/>
      <c r="AP117" s="562"/>
      <c r="AQ117" s="562"/>
      <c r="AR117" s="562"/>
      <c r="AS117" s="562"/>
      <c r="AT117" s="562"/>
      <c r="AU117" s="562"/>
      <c r="AV117" s="562"/>
      <c r="AW117" s="562"/>
      <c r="AX117" s="562"/>
      <c r="AY117" s="562"/>
      <c r="AZ117" s="562"/>
      <c r="BA117" s="562"/>
      <c r="BB117" s="562"/>
      <c r="BC117" s="562"/>
    </row>
    <row r="118" spans="1:55" ht="16">
      <c r="A118" s="577">
        <v>1</v>
      </c>
      <c r="B118" s="601" t="s">
        <v>581</v>
      </c>
      <c r="C118" s="562"/>
      <c r="D118" s="562"/>
      <c r="E118" s="562"/>
      <c r="F118" s="562"/>
      <c r="G118" s="562"/>
      <c r="H118" s="562"/>
      <c r="I118" s="562"/>
      <c r="J118" s="562"/>
      <c r="K118" s="562"/>
      <c r="L118" s="562"/>
      <c r="M118" s="562"/>
      <c r="N118" s="439"/>
      <c r="O118" s="439"/>
      <c r="P118" s="439"/>
      <c r="Q118" s="439"/>
      <c r="R118" s="439"/>
      <c r="S118" s="439"/>
      <c r="T118" s="439"/>
      <c r="U118" s="439"/>
      <c r="V118" s="562"/>
      <c r="W118" s="562"/>
      <c r="X118" s="562"/>
      <c r="Y118" s="577">
        <v>5</v>
      </c>
      <c r="Z118" s="601" t="s">
        <v>601</v>
      </c>
      <c r="AA118" s="562"/>
      <c r="AB118" s="562"/>
      <c r="AC118" s="562"/>
      <c r="AD118" s="562"/>
      <c r="AE118" s="562"/>
      <c r="AF118" s="562"/>
      <c r="AG118" s="562"/>
      <c r="AH118" s="562"/>
      <c r="AI118" s="562"/>
      <c r="AJ118" s="562"/>
      <c r="AK118" s="562"/>
      <c r="AL118" s="562"/>
      <c r="AM118" s="562"/>
      <c r="AN118" s="562"/>
      <c r="AO118" s="562"/>
      <c r="AP118" s="562"/>
      <c r="AQ118" s="562"/>
      <c r="AR118" s="562"/>
      <c r="AS118" s="562"/>
      <c r="AT118" s="562"/>
      <c r="AU118" s="562"/>
      <c r="AV118" s="562"/>
      <c r="AW118" s="562"/>
      <c r="AX118" s="562"/>
      <c r="AY118" s="562"/>
      <c r="AZ118" s="562"/>
      <c r="BA118" s="562"/>
      <c r="BB118" s="562"/>
      <c r="BC118" s="562"/>
    </row>
    <row r="119" spans="1:55" ht="27" customHeight="1">
      <c r="A119" s="577">
        <v>2</v>
      </c>
      <c r="B119" s="601" t="s">
        <v>582</v>
      </c>
      <c r="C119" s="562"/>
      <c r="D119" s="562"/>
      <c r="E119" s="562"/>
      <c r="F119" s="562"/>
      <c r="G119" s="562"/>
      <c r="H119" s="562"/>
      <c r="I119" s="562"/>
      <c r="J119" s="562"/>
      <c r="K119" s="562"/>
      <c r="L119" s="562"/>
      <c r="M119" s="562"/>
      <c r="N119" s="439"/>
      <c r="O119" s="439"/>
      <c r="P119" s="439"/>
      <c r="Q119" s="439"/>
      <c r="R119" s="439"/>
      <c r="S119" s="439"/>
      <c r="T119" s="439"/>
      <c r="U119" s="439"/>
      <c r="V119" s="562"/>
      <c r="W119" s="562"/>
      <c r="X119" s="562"/>
      <c r="Y119" s="577">
        <v>6</v>
      </c>
      <c r="Z119" s="601" t="s">
        <v>586</v>
      </c>
      <c r="AA119" s="562"/>
      <c r="AB119" s="562"/>
      <c r="AC119" s="562"/>
      <c r="AD119" s="562"/>
      <c r="AE119" s="562"/>
      <c r="AF119" s="562"/>
      <c r="AG119" s="562"/>
      <c r="AH119" s="562"/>
      <c r="AI119" s="562"/>
      <c r="AJ119" s="562"/>
      <c r="AK119" s="562"/>
      <c r="AL119" s="562"/>
      <c r="AM119" s="562"/>
      <c r="AN119" s="562"/>
      <c r="AO119" s="562"/>
      <c r="AP119" s="562"/>
      <c r="AQ119" s="562"/>
      <c r="AR119" s="562"/>
      <c r="AS119" s="562"/>
      <c r="AT119" s="562"/>
      <c r="AU119" s="562"/>
      <c r="AV119" s="562"/>
      <c r="AW119" s="562"/>
      <c r="AX119" s="562"/>
      <c r="AY119" s="562"/>
      <c r="AZ119" s="562"/>
      <c r="BA119" s="562"/>
      <c r="BB119" s="562"/>
      <c r="BC119" s="562"/>
    </row>
    <row r="120" spans="1:55" ht="16">
      <c r="A120" s="577">
        <v>3</v>
      </c>
      <c r="B120" s="601" t="s">
        <v>583</v>
      </c>
      <c r="C120" s="562"/>
      <c r="D120" s="562"/>
      <c r="E120" s="562"/>
      <c r="F120" s="562"/>
      <c r="G120" s="562"/>
      <c r="H120" s="562"/>
      <c r="I120" s="562"/>
      <c r="J120" s="562"/>
      <c r="K120" s="562"/>
      <c r="L120" s="562"/>
      <c r="M120" s="562"/>
      <c r="N120" s="439"/>
      <c r="O120" s="439"/>
      <c r="P120" s="439"/>
      <c r="Q120" s="439"/>
      <c r="R120" s="439"/>
      <c r="S120" s="439"/>
      <c r="T120" s="439"/>
      <c r="U120" s="439"/>
      <c r="V120" s="562"/>
      <c r="W120" s="562"/>
      <c r="X120" s="562"/>
      <c r="Y120" s="577">
        <v>7</v>
      </c>
      <c r="Z120" s="601" t="s">
        <v>602</v>
      </c>
      <c r="AA120" s="562"/>
      <c r="AB120" s="562"/>
      <c r="AC120" s="562"/>
      <c r="AD120" s="562"/>
      <c r="AE120" s="562"/>
      <c r="AF120" s="562"/>
      <c r="AG120" s="562"/>
      <c r="AH120" s="562"/>
      <c r="AI120" s="562"/>
      <c r="AJ120" s="562"/>
      <c r="AK120" s="562"/>
      <c r="AL120" s="562"/>
      <c r="AM120" s="562"/>
      <c r="AN120" s="562"/>
      <c r="AO120" s="562"/>
      <c r="AP120" s="562"/>
      <c r="AQ120" s="562"/>
      <c r="AR120" s="562"/>
      <c r="AS120" s="562"/>
      <c r="AT120" s="562"/>
      <c r="AU120" s="562"/>
      <c r="AV120" s="562"/>
      <c r="AW120" s="562"/>
      <c r="AX120" s="562"/>
      <c r="AY120" s="562"/>
      <c r="AZ120" s="562"/>
      <c r="BA120" s="562"/>
      <c r="BB120" s="562"/>
      <c r="BC120" s="562"/>
    </row>
    <row r="121" spans="1:55" ht="16">
      <c r="A121" s="577">
        <v>4</v>
      </c>
      <c r="B121" s="601" t="s">
        <v>584</v>
      </c>
      <c r="C121" s="562"/>
      <c r="D121" s="562"/>
      <c r="E121" s="562"/>
      <c r="F121" s="562"/>
      <c r="G121" s="562"/>
      <c r="H121" s="562"/>
      <c r="I121" s="562"/>
      <c r="J121" s="562"/>
      <c r="K121" s="562"/>
      <c r="L121" s="562"/>
      <c r="M121" s="562"/>
      <c r="N121" s="439"/>
      <c r="O121" s="439"/>
      <c r="P121" s="439"/>
      <c r="Q121" s="439"/>
      <c r="R121" s="439"/>
      <c r="S121" s="439"/>
      <c r="T121" s="439"/>
      <c r="U121" s="439"/>
      <c r="V121" s="562"/>
      <c r="W121" s="562"/>
      <c r="X121" s="562"/>
      <c r="Y121" s="577">
        <v>11</v>
      </c>
      <c r="Z121" s="601" t="s">
        <v>603</v>
      </c>
      <c r="AA121" s="562"/>
      <c r="AB121" s="562"/>
      <c r="AC121" s="562"/>
      <c r="AD121" s="562"/>
      <c r="AE121" s="562"/>
      <c r="AF121" s="562"/>
      <c r="AG121" s="562"/>
      <c r="AH121" s="562"/>
      <c r="AI121" s="562"/>
      <c r="AJ121" s="562"/>
      <c r="AK121" s="562"/>
      <c r="AL121" s="562"/>
      <c r="AM121" s="562"/>
      <c r="AN121" s="562"/>
      <c r="AO121" s="562"/>
      <c r="AP121" s="562"/>
      <c r="AQ121" s="562"/>
      <c r="AR121" s="562"/>
      <c r="AS121" s="562"/>
      <c r="AT121" s="562"/>
      <c r="AU121" s="562"/>
      <c r="AV121" s="562"/>
      <c r="AW121" s="562"/>
      <c r="AX121" s="562"/>
      <c r="AY121" s="562"/>
      <c r="AZ121" s="562"/>
      <c r="BA121" s="562"/>
      <c r="BB121" s="562"/>
      <c r="BC121" s="562"/>
    </row>
    <row r="122" spans="1:55" ht="16">
      <c r="A122" s="577">
        <v>5</v>
      </c>
      <c r="B122" s="601" t="s">
        <v>585</v>
      </c>
      <c r="C122" s="562"/>
      <c r="D122" s="562"/>
      <c r="E122" s="562"/>
      <c r="F122" s="562"/>
      <c r="G122" s="562"/>
      <c r="H122" s="562"/>
      <c r="I122" s="562"/>
      <c r="J122" s="562"/>
      <c r="K122" s="562"/>
      <c r="L122" s="562"/>
      <c r="M122" s="562"/>
      <c r="N122" s="439"/>
      <c r="O122" s="439"/>
      <c r="P122" s="439"/>
      <c r="Q122" s="439"/>
      <c r="R122" s="439"/>
      <c r="S122" s="439"/>
      <c r="T122" s="439"/>
      <c r="U122" s="439"/>
      <c r="V122" s="562"/>
      <c r="W122" s="562"/>
      <c r="X122" s="562"/>
      <c r="Y122" s="577">
        <v>12</v>
      </c>
      <c r="Z122" s="601" t="s">
        <v>605</v>
      </c>
      <c r="AA122" s="562"/>
      <c r="AB122" s="562"/>
      <c r="AC122" s="562"/>
      <c r="AD122" s="562"/>
      <c r="AE122" s="562"/>
      <c r="AF122" s="562"/>
      <c r="AG122" s="562"/>
      <c r="AH122" s="562"/>
      <c r="AI122" s="562"/>
      <c r="AJ122" s="562"/>
      <c r="AK122" s="562"/>
      <c r="AL122" s="562"/>
      <c r="AM122" s="562"/>
      <c r="AN122" s="562"/>
      <c r="AO122" s="562"/>
      <c r="AP122" s="562"/>
      <c r="AQ122" s="562"/>
      <c r="AR122" s="562"/>
      <c r="AS122" s="562"/>
      <c r="AT122" s="562"/>
      <c r="AU122" s="562"/>
      <c r="AV122" s="562"/>
      <c r="AW122" s="562"/>
      <c r="AX122" s="562"/>
      <c r="AY122" s="562"/>
      <c r="AZ122" s="562"/>
      <c r="BA122" s="562"/>
      <c r="BB122" s="562"/>
      <c r="BC122" s="562"/>
    </row>
    <row r="123" spans="1:55" ht="16">
      <c r="A123" s="577">
        <v>7</v>
      </c>
      <c r="B123" s="601" t="s">
        <v>586</v>
      </c>
      <c r="C123" s="562"/>
      <c r="D123" s="562"/>
      <c r="E123" s="562"/>
      <c r="F123" s="562"/>
      <c r="G123" s="562"/>
      <c r="H123" s="562"/>
      <c r="I123" s="562"/>
      <c r="J123" s="562"/>
      <c r="K123" s="562"/>
      <c r="L123" s="562"/>
      <c r="M123" s="562"/>
      <c r="N123" s="439"/>
      <c r="O123" s="439"/>
      <c r="P123" s="439"/>
      <c r="Q123" s="439"/>
      <c r="R123" s="439"/>
      <c r="S123" s="439"/>
      <c r="T123" s="439"/>
      <c r="U123" s="439"/>
      <c r="V123" s="562"/>
      <c r="W123" s="562"/>
      <c r="X123" s="562"/>
      <c r="Y123" s="577">
        <v>15</v>
      </c>
      <c r="Z123" s="601"/>
      <c r="AA123" s="562"/>
      <c r="AB123" s="562"/>
      <c r="AC123" s="562"/>
      <c r="AD123" s="562"/>
      <c r="AE123" s="562"/>
      <c r="AF123" s="562"/>
      <c r="AG123" s="562"/>
      <c r="AH123" s="562"/>
      <c r="AI123" s="562"/>
      <c r="AJ123" s="562"/>
      <c r="AK123" s="562"/>
      <c r="AL123" s="562"/>
      <c r="AM123" s="562"/>
      <c r="AN123" s="562"/>
      <c r="AO123" s="562"/>
      <c r="AP123" s="562"/>
      <c r="AQ123" s="562"/>
      <c r="AR123" s="562"/>
      <c r="AS123" s="562"/>
      <c r="AT123" s="562"/>
      <c r="AU123" s="562"/>
      <c r="AV123" s="562"/>
      <c r="AW123" s="562"/>
      <c r="AX123" s="562"/>
      <c r="AY123" s="562"/>
      <c r="AZ123" s="562"/>
      <c r="BA123" s="562"/>
      <c r="BB123" s="562"/>
      <c r="BC123" s="562"/>
    </row>
    <row r="124" spans="1:55" ht="16">
      <c r="A124" s="577">
        <v>8</v>
      </c>
      <c r="B124" s="601" t="s">
        <v>587</v>
      </c>
      <c r="C124" s="113"/>
      <c r="D124" s="113"/>
      <c r="E124" s="113"/>
      <c r="F124" s="113"/>
      <c r="G124" s="113"/>
      <c r="H124" s="113"/>
      <c r="I124" s="113"/>
      <c r="J124" s="113"/>
      <c r="K124" s="113"/>
      <c r="L124" s="113"/>
      <c r="M124" s="113"/>
      <c r="N124" s="545"/>
      <c r="O124" s="545"/>
      <c r="P124" s="439"/>
      <c r="Q124" s="439"/>
      <c r="R124" s="439"/>
      <c r="S124" s="439"/>
      <c r="T124" s="439"/>
      <c r="U124" s="439"/>
      <c r="V124" s="562"/>
      <c r="W124" s="562"/>
      <c r="X124" s="562"/>
      <c r="Y124" s="577"/>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c r="AT124" s="562"/>
      <c r="AU124" s="562"/>
      <c r="AV124" s="562"/>
      <c r="AW124" s="562"/>
      <c r="AX124" s="562"/>
      <c r="AY124" s="562"/>
      <c r="AZ124" s="562"/>
      <c r="BA124" s="562"/>
      <c r="BB124" s="562"/>
      <c r="BC124" s="562"/>
    </row>
    <row r="125" spans="1:55" ht="16">
      <c r="A125" s="577">
        <v>14</v>
      </c>
      <c r="B125" s="601" t="s">
        <v>588</v>
      </c>
      <c r="C125" s="158"/>
      <c r="D125" s="158"/>
      <c r="E125" s="158"/>
      <c r="F125" s="158"/>
      <c r="G125" s="158"/>
      <c r="H125" s="158"/>
      <c r="I125" s="545"/>
      <c r="J125" s="545"/>
      <c r="K125" s="545"/>
      <c r="L125" s="545"/>
      <c r="M125" s="545"/>
      <c r="N125" s="545"/>
      <c r="O125" s="545"/>
      <c r="P125" s="439"/>
      <c r="Q125" s="439"/>
      <c r="R125" s="439"/>
      <c r="S125" s="439"/>
      <c r="T125" s="439"/>
      <c r="U125" s="439"/>
      <c r="V125" s="562"/>
      <c r="W125" s="562"/>
      <c r="X125" s="562"/>
      <c r="Y125" s="576" t="s">
        <v>589</v>
      </c>
      <c r="Z125" s="563" t="s">
        <v>590</v>
      </c>
      <c r="AA125" s="562"/>
      <c r="AB125" s="562"/>
      <c r="AC125" s="562"/>
      <c r="AD125" s="562"/>
      <c r="AE125" s="562"/>
      <c r="AF125" s="562"/>
      <c r="AG125" s="562"/>
      <c r="AH125" s="562"/>
      <c r="AI125" s="562"/>
      <c r="AJ125" s="562"/>
      <c r="AK125" s="562"/>
      <c r="AL125" s="562"/>
      <c r="AM125" s="562"/>
      <c r="AN125" s="562"/>
      <c r="AO125" s="562"/>
      <c r="AP125" s="562"/>
      <c r="AQ125" s="562"/>
      <c r="AR125" s="562"/>
      <c r="AS125" s="562"/>
      <c r="AT125" s="562"/>
      <c r="AU125" s="562"/>
      <c r="AV125" s="562"/>
      <c r="AW125" s="562"/>
      <c r="AX125" s="562"/>
      <c r="AY125" s="562"/>
      <c r="AZ125" s="562"/>
      <c r="BA125" s="562"/>
      <c r="BB125" s="562"/>
      <c r="BC125" s="562"/>
    </row>
    <row r="126" spans="1:55" ht="16">
      <c r="A126" s="562"/>
      <c r="B126" s="113"/>
      <c r="C126" s="113"/>
      <c r="D126" s="113"/>
      <c r="E126" s="113"/>
      <c r="F126" s="113"/>
      <c r="G126" s="113"/>
      <c r="H126" s="113"/>
      <c r="I126" s="113"/>
      <c r="J126" s="113"/>
      <c r="K126" s="113"/>
      <c r="L126" s="113"/>
      <c r="M126" s="113"/>
      <c r="N126" s="545"/>
      <c r="O126" s="545"/>
      <c r="P126" s="439"/>
      <c r="Q126" s="439"/>
      <c r="R126" s="439"/>
      <c r="S126" s="439"/>
      <c r="T126" s="439"/>
      <c r="U126" s="439"/>
      <c r="V126" s="562"/>
      <c r="W126" s="562"/>
      <c r="X126" s="562"/>
      <c r="Y126" s="579" t="s">
        <v>42</v>
      </c>
      <c r="Z126" s="578" t="s">
        <v>591</v>
      </c>
      <c r="AA126" s="562"/>
      <c r="AB126" s="562"/>
      <c r="AC126" s="562"/>
      <c r="AD126" s="562"/>
      <c r="AE126" s="562"/>
      <c r="AF126" s="562"/>
      <c r="AG126" s="562"/>
      <c r="AH126" s="562"/>
      <c r="AI126" s="562"/>
      <c r="AJ126" s="562"/>
      <c r="AK126" s="562"/>
      <c r="AL126" s="562"/>
      <c r="AM126" s="562"/>
      <c r="AN126" s="562"/>
      <c r="AO126" s="562"/>
      <c r="AP126" s="562"/>
      <c r="AQ126" s="562"/>
      <c r="AR126" s="562"/>
      <c r="AS126" s="562"/>
      <c r="AT126" s="562"/>
      <c r="AU126" s="562"/>
      <c r="AV126" s="562"/>
      <c r="AW126" s="562"/>
      <c r="AX126" s="562"/>
      <c r="AY126" s="562"/>
      <c r="AZ126" s="562"/>
      <c r="BA126" s="562"/>
      <c r="BB126" s="562"/>
      <c r="BC126" s="562"/>
    </row>
    <row r="127" spans="1:55" ht="16">
      <c r="A127" s="576" t="s">
        <v>589</v>
      </c>
      <c r="B127" s="562"/>
      <c r="C127" s="113"/>
      <c r="D127" s="113"/>
      <c r="E127" s="113"/>
      <c r="F127" s="113"/>
      <c r="G127" s="113"/>
      <c r="H127" s="113"/>
      <c r="I127" s="113"/>
      <c r="J127" s="113"/>
      <c r="K127" s="113"/>
      <c r="L127" s="113"/>
      <c r="M127" s="113"/>
      <c r="N127" s="545"/>
      <c r="O127" s="545"/>
      <c r="P127" s="439"/>
      <c r="Q127" s="439"/>
      <c r="R127" s="439"/>
      <c r="S127" s="439"/>
      <c r="T127" s="439"/>
      <c r="U127" s="439"/>
      <c r="V127" s="562"/>
      <c r="W127" s="562"/>
      <c r="X127" s="562"/>
      <c r="Y127" s="579" t="s">
        <v>15</v>
      </c>
      <c r="Z127" s="578" t="s">
        <v>593</v>
      </c>
      <c r="AA127" s="562"/>
      <c r="AB127" s="562"/>
      <c r="AC127" s="562"/>
      <c r="AD127" s="562"/>
      <c r="AE127" s="562"/>
      <c r="AF127" s="562"/>
      <c r="AG127" s="562"/>
      <c r="AH127" s="562"/>
      <c r="AI127" s="562"/>
      <c r="AJ127" s="562"/>
      <c r="AK127" s="562"/>
      <c r="AL127" s="562"/>
      <c r="AM127" s="562"/>
      <c r="AN127" s="562"/>
      <c r="AO127" s="562"/>
      <c r="AP127" s="562"/>
      <c r="AQ127" s="562"/>
      <c r="AR127" s="562"/>
      <c r="AS127" s="562"/>
      <c r="AT127" s="562"/>
      <c r="AU127" s="562"/>
      <c r="AV127" s="562"/>
      <c r="AW127" s="562"/>
      <c r="AX127" s="562"/>
      <c r="AY127" s="562"/>
      <c r="AZ127" s="562"/>
      <c r="BA127" s="562"/>
      <c r="BB127" s="562"/>
      <c r="BC127" s="562"/>
    </row>
    <row r="128" spans="1:55" ht="16">
      <c r="A128" s="579" t="s">
        <v>6</v>
      </c>
      <c r="B128" s="563" t="s">
        <v>611</v>
      </c>
      <c r="C128" s="113"/>
      <c r="D128" s="113"/>
      <c r="E128" s="113"/>
      <c r="F128" s="113"/>
      <c r="G128" s="113"/>
      <c r="H128" s="113"/>
      <c r="I128" s="113"/>
      <c r="J128" s="113"/>
      <c r="K128" s="113"/>
      <c r="L128" s="113"/>
      <c r="M128" s="113"/>
      <c r="N128" s="545"/>
      <c r="O128" s="545"/>
      <c r="P128" s="439"/>
      <c r="Q128" s="439"/>
      <c r="R128" s="439"/>
      <c r="S128" s="439"/>
      <c r="T128" s="439"/>
      <c r="U128" s="439"/>
      <c r="V128" s="562"/>
      <c r="W128" s="562"/>
      <c r="X128" s="562"/>
      <c r="Y128" s="579" t="s">
        <v>23</v>
      </c>
      <c r="Z128" s="578" t="s">
        <v>594</v>
      </c>
      <c r="AA128" s="562"/>
      <c r="AB128" s="562"/>
      <c r="AC128" s="562"/>
      <c r="AD128" s="562"/>
      <c r="AE128" s="562"/>
      <c r="AF128" s="562"/>
      <c r="AG128" s="562"/>
      <c r="AH128" s="562"/>
      <c r="AI128" s="562"/>
      <c r="AJ128" s="562"/>
      <c r="AK128" s="562"/>
      <c r="AL128" s="562"/>
      <c r="AM128" s="562"/>
      <c r="AN128" s="562"/>
      <c r="AO128" s="562"/>
      <c r="AP128" s="562"/>
      <c r="AQ128" s="562"/>
      <c r="AR128" s="562"/>
      <c r="AS128" s="562"/>
      <c r="AT128" s="562"/>
      <c r="AU128" s="562"/>
      <c r="AV128" s="562"/>
      <c r="AW128" s="562"/>
      <c r="AX128" s="562"/>
      <c r="AY128" s="562"/>
      <c r="AZ128" s="562"/>
      <c r="BA128" s="562"/>
      <c r="BB128" s="562"/>
      <c r="BC128" s="562"/>
    </row>
    <row r="129" spans="1:55" ht="16">
      <c r="A129" s="579" t="s">
        <v>42</v>
      </c>
      <c r="B129" s="563" t="s">
        <v>590</v>
      </c>
      <c r="C129" s="113"/>
      <c r="D129" s="113"/>
      <c r="E129" s="113"/>
      <c r="F129" s="113"/>
      <c r="G129" s="113"/>
      <c r="H129" s="113"/>
      <c r="I129" s="113"/>
      <c r="J129" s="113"/>
      <c r="K129" s="113"/>
      <c r="L129" s="113"/>
      <c r="M129" s="113"/>
      <c r="N129" s="545"/>
      <c r="O129" s="545"/>
      <c r="P129" s="439"/>
      <c r="Q129" s="439"/>
      <c r="R129" s="439"/>
      <c r="S129" s="439"/>
      <c r="T129" s="439"/>
      <c r="U129" s="439"/>
      <c r="V129" s="562"/>
      <c r="W129" s="562"/>
      <c r="X129" s="562"/>
      <c r="Y129" s="579" t="s">
        <v>40</v>
      </c>
      <c r="Z129" s="578" t="s">
        <v>595</v>
      </c>
      <c r="AA129" s="562"/>
      <c r="AB129" s="562"/>
      <c r="AC129" s="562"/>
      <c r="AD129" s="562"/>
      <c r="AE129" s="562"/>
      <c r="AF129" s="562"/>
      <c r="AG129" s="562"/>
      <c r="AH129" s="562"/>
      <c r="AI129" s="562"/>
      <c r="AJ129" s="562"/>
      <c r="AK129" s="562"/>
      <c r="AL129" s="562"/>
      <c r="AM129" s="562"/>
      <c r="AN129" s="562"/>
      <c r="AO129" s="562"/>
      <c r="AP129" s="562"/>
      <c r="AQ129" s="562"/>
      <c r="AR129" s="562"/>
      <c r="AS129" s="562"/>
      <c r="AT129" s="562"/>
      <c r="AU129" s="562"/>
      <c r="AV129" s="562"/>
      <c r="AW129" s="562"/>
      <c r="AX129" s="562"/>
      <c r="AY129" s="562"/>
      <c r="AZ129" s="562"/>
      <c r="BA129" s="562"/>
      <c r="BB129" s="562"/>
      <c r="BC129" s="562"/>
    </row>
    <row r="130" spans="1:55" ht="16">
      <c r="A130" s="579" t="s">
        <v>15</v>
      </c>
      <c r="B130" s="578" t="s">
        <v>591</v>
      </c>
      <c r="C130" s="158"/>
      <c r="D130" s="158"/>
      <c r="E130" s="158"/>
      <c r="F130" s="158"/>
      <c r="G130" s="158"/>
      <c r="H130" s="158"/>
      <c r="I130" s="545"/>
      <c r="J130" s="545"/>
      <c r="K130" s="545"/>
      <c r="L130" s="545"/>
      <c r="M130" s="545"/>
      <c r="N130" s="545"/>
      <c r="O130" s="545"/>
      <c r="P130" s="439"/>
      <c r="Q130" s="439"/>
      <c r="R130" s="439"/>
      <c r="S130" s="439"/>
      <c r="T130" s="439"/>
      <c r="U130" s="439"/>
      <c r="V130" s="562"/>
      <c r="W130" s="562"/>
      <c r="X130" s="562"/>
      <c r="Y130" s="579" t="s">
        <v>41</v>
      </c>
      <c r="Z130" s="578" t="s">
        <v>596</v>
      </c>
      <c r="AA130" s="562"/>
      <c r="AB130" s="562"/>
      <c r="AC130" s="562"/>
      <c r="AD130" s="562"/>
      <c r="AE130" s="562"/>
      <c r="AF130" s="562"/>
      <c r="AG130" s="562"/>
      <c r="AH130" s="562"/>
      <c r="AI130" s="562"/>
      <c r="AJ130" s="562"/>
      <c r="AK130" s="562"/>
      <c r="AL130" s="562"/>
      <c r="AM130" s="562"/>
      <c r="AN130" s="562"/>
      <c r="AO130" s="562"/>
      <c r="AP130" s="562"/>
      <c r="AQ130" s="562"/>
      <c r="AR130" s="562"/>
      <c r="AS130" s="562"/>
      <c r="AT130" s="562"/>
      <c r="AU130" s="562"/>
      <c r="AV130" s="562"/>
      <c r="AW130" s="562"/>
      <c r="AX130" s="562"/>
      <c r="AY130" s="562"/>
      <c r="AZ130" s="562"/>
      <c r="BA130" s="562"/>
      <c r="BB130" s="562"/>
      <c r="BC130" s="562"/>
    </row>
    <row r="131" spans="1:55" ht="16">
      <c r="A131" s="579" t="s">
        <v>23</v>
      </c>
      <c r="B131" s="578" t="s">
        <v>593</v>
      </c>
      <c r="C131" s="158"/>
      <c r="D131" s="158"/>
      <c r="E131" s="158"/>
      <c r="F131" s="158"/>
      <c r="G131" s="158"/>
      <c r="H131" s="158"/>
      <c r="I131" s="545"/>
      <c r="J131" s="545"/>
      <c r="K131" s="545"/>
      <c r="L131" s="545"/>
      <c r="M131" s="545"/>
      <c r="N131" s="545"/>
      <c r="O131" s="545"/>
      <c r="P131" s="439"/>
      <c r="Q131" s="439"/>
      <c r="R131" s="439"/>
      <c r="S131" s="439"/>
      <c r="T131" s="439"/>
      <c r="U131" s="439"/>
      <c r="V131" s="562"/>
      <c r="W131" s="562"/>
      <c r="X131" s="562"/>
      <c r="Y131" s="579" t="s">
        <v>279</v>
      </c>
      <c r="Z131" s="593"/>
      <c r="AA131" s="562"/>
      <c r="AB131" s="562"/>
      <c r="AC131" s="562"/>
      <c r="AD131" s="562"/>
      <c r="AE131" s="562"/>
      <c r="AF131" s="562"/>
      <c r="AG131" s="562"/>
      <c r="AH131" s="562"/>
      <c r="AI131" s="562"/>
      <c r="AJ131" s="562"/>
      <c r="AK131" s="562"/>
      <c r="AL131" s="562"/>
      <c r="AM131" s="562"/>
      <c r="AN131" s="562"/>
      <c r="AO131" s="562"/>
      <c r="AP131" s="562"/>
      <c r="AQ131" s="562"/>
      <c r="AR131" s="562"/>
      <c r="AS131" s="562"/>
      <c r="AT131" s="562"/>
      <c r="AU131" s="562"/>
      <c r="AV131" s="562"/>
      <c r="AW131" s="562"/>
      <c r="AX131" s="562"/>
      <c r="AY131" s="562"/>
      <c r="AZ131" s="562"/>
      <c r="BA131" s="562"/>
      <c r="BB131" s="562"/>
      <c r="BC131" s="562"/>
    </row>
    <row r="132" spans="1:55" ht="16">
      <c r="A132" s="579" t="s">
        <v>31</v>
      </c>
      <c r="B132" s="578" t="s">
        <v>612</v>
      </c>
      <c r="C132" s="549"/>
      <c r="D132" s="550"/>
      <c r="E132" s="550"/>
      <c r="F132" s="550"/>
      <c r="G132" s="551"/>
      <c r="H132" s="552"/>
      <c r="I132" s="545"/>
      <c r="J132" s="545"/>
      <c r="K132" s="545"/>
      <c r="L132" s="545"/>
      <c r="M132" s="545"/>
      <c r="N132" s="545"/>
      <c r="O132" s="545"/>
      <c r="P132" s="439"/>
      <c r="Q132" s="439"/>
      <c r="R132" s="439"/>
      <c r="S132" s="439"/>
      <c r="T132" s="439"/>
      <c r="U132" s="439"/>
      <c r="V132" s="562"/>
      <c r="W132" s="562"/>
      <c r="X132" s="562"/>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c r="AT132" s="562"/>
      <c r="AU132" s="562"/>
      <c r="AV132" s="562"/>
      <c r="AW132" s="562"/>
      <c r="AX132" s="562"/>
      <c r="AY132" s="562"/>
      <c r="AZ132" s="562"/>
      <c r="BA132" s="562"/>
      <c r="BB132" s="562"/>
      <c r="BC132" s="562"/>
    </row>
    <row r="133" spans="1:55" ht="16">
      <c r="A133" s="579" t="s">
        <v>40</v>
      </c>
      <c r="B133" s="578" t="s">
        <v>594</v>
      </c>
      <c r="C133" s="550"/>
      <c r="D133" s="553"/>
      <c r="E133" s="550"/>
      <c r="F133" s="550"/>
      <c r="G133" s="554"/>
      <c r="H133" s="552"/>
      <c r="I133" s="545"/>
      <c r="J133" s="545"/>
      <c r="K133" s="545"/>
      <c r="L133" s="545"/>
      <c r="M133" s="545"/>
      <c r="N133" s="545"/>
      <c r="O133" s="545"/>
      <c r="P133" s="439"/>
      <c r="Q133" s="439"/>
      <c r="R133" s="439"/>
      <c r="S133" s="439"/>
      <c r="T133" s="439"/>
      <c r="U133" s="439"/>
      <c r="V133" s="562"/>
      <c r="W133" s="562"/>
      <c r="X133" s="562"/>
      <c r="Y133" s="562"/>
      <c r="Z133" s="562"/>
      <c r="AA133" s="562"/>
      <c r="AB133" s="562"/>
      <c r="AC133" s="562"/>
      <c r="AD133" s="562"/>
      <c r="AE133" s="562"/>
      <c r="AF133" s="562"/>
      <c r="AG133" s="562"/>
      <c r="AH133" s="562"/>
      <c r="AI133" s="562"/>
      <c r="AJ133" s="562"/>
      <c r="AK133" s="562"/>
      <c r="AL133" s="562"/>
      <c r="AM133" s="562"/>
      <c r="AN133" s="562"/>
      <c r="AO133" s="562"/>
      <c r="AP133" s="562"/>
      <c r="AQ133" s="562"/>
      <c r="AR133" s="562"/>
      <c r="AS133" s="562"/>
      <c r="AT133" s="562"/>
      <c r="AU133" s="562"/>
      <c r="AV133" s="562"/>
      <c r="AW133" s="562"/>
      <c r="AX133" s="562"/>
      <c r="AY133" s="562"/>
      <c r="AZ133" s="562"/>
      <c r="BA133" s="562"/>
      <c r="BB133" s="562"/>
      <c r="BC133" s="562"/>
    </row>
    <row r="134" spans="1:55" ht="16">
      <c r="A134" s="579" t="s">
        <v>41</v>
      </c>
      <c r="B134" s="578" t="s">
        <v>595</v>
      </c>
      <c r="C134" s="439"/>
      <c r="D134" s="439"/>
      <c r="E134" s="439"/>
      <c r="F134" s="439"/>
      <c r="G134" s="439"/>
      <c r="H134" s="439"/>
      <c r="I134" s="439"/>
      <c r="J134" s="439"/>
      <c r="K134" s="439"/>
      <c r="L134" s="439"/>
      <c r="M134" s="439"/>
      <c r="N134" s="439"/>
      <c r="O134" s="439"/>
      <c r="P134" s="439"/>
      <c r="Q134" s="439"/>
      <c r="R134" s="439"/>
      <c r="S134" s="439"/>
      <c r="T134" s="439"/>
      <c r="U134" s="439"/>
      <c r="V134" s="562"/>
      <c r="W134" s="562"/>
      <c r="X134" s="562"/>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c r="AT134" s="562"/>
      <c r="AU134" s="562"/>
      <c r="AV134" s="562"/>
      <c r="AW134" s="562"/>
      <c r="AX134" s="562"/>
      <c r="AY134" s="562"/>
      <c r="AZ134" s="562"/>
      <c r="BA134" s="562"/>
      <c r="BB134" s="562"/>
      <c r="BC134" s="562"/>
    </row>
    <row r="135" spans="1:55" ht="16">
      <c r="A135" s="579" t="s">
        <v>279</v>
      </c>
      <c r="B135" s="578" t="s">
        <v>596</v>
      </c>
      <c r="C135" s="439"/>
      <c r="D135" s="439"/>
      <c r="E135" s="439"/>
      <c r="F135" s="439"/>
      <c r="G135" s="439"/>
      <c r="H135" s="439"/>
      <c r="I135" s="439"/>
      <c r="J135" s="439"/>
      <c r="K135" s="439"/>
      <c r="L135" s="439"/>
      <c r="M135" s="439"/>
      <c r="N135" s="439"/>
      <c r="O135" s="439"/>
      <c r="P135" s="439"/>
      <c r="Q135" s="439"/>
      <c r="R135" s="439"/>
      <c r="S135" s="439"/>
      <c r="T135" s="439"/>
      <c r="U135" s="439"/>
      <c r="V135" s="562"/>
      <c r="W135" s="562"/>
      <c r="X135" s="562"/>
      <c r="Y135" s="562"/>
      <c r="Z135" s="562"/>
      <c r="AA135" s="562"/>
      <c r="AB135" s="562"/>
      <c r="AC135" s="562"/>
      <c r="AD135" s="562"/>
      <c r="AE135" s="562"/>
      <c r="AF135" s="562"/>
      <c r="AG135" s="562"/>
      <c r="AH135" s="562"/>
      <c r="AI135" s="562"/>
      <c r="AJ135" s="562"/>
      <c r="AK135" s="562"/>
      <c r="AL135" s="562"/>
      <c r="AM135" s="562"/>
      <c r="AN135" s="562"/>
      <c r="AO135" s="562"/>
      <c r="AP135" s="562"/>
      <c r="AQ135" s="562"/>
      <c r="AR135" s="562"/>
      <c r="AS135" s="562"/>
      <c r="AT135" s="562"/>
      <c r="AU135" s="562"/>
      <c r="AV135" s="562"/>
      <c r="AW135" s="562"/>
      <c r="AX135" s="562"/>
      <c r="AY135" s="562"/>
      <c r="AZ135" s="562"/>
      <c r="BA135" s="562"/>
      <c r="BB135" s="562"/>
      <c r="BC135" s="562"/>
    </row>
    <row r="136" spans="1:55">
      <c r="A136" s="562"/>
      <c r="B136" s="593"/>
      <c r="C136" s="439"/>
      <c r="D136" s="439"/>
      <c r="E136" s="439"/>
      <c r="F136" s="439"/>
      <c r="G136" s="439"/>
      <c r="H136" s="439"/>
      <c r="I136" s="439"/>
      <c r="J136" s="439"/>
      <c r="K136" s="439"/>
      <c r="L136" s="439"/>
      <c r="M136" s="439"/>
      <c r="N136" s="439"/>
      <c r="O136" s="439"/>
      <c r="P136" s="439"/>
      <c r="Q136" s="439"/>
      <c r="R136" s="439"/>
      <c r="S136" s="439"/>
      <c r="T136" s="439"/>
      <c r="U136" s="439"/>
      <c r="V136" s="562"/>
      <c r="W136" s="562"/>
      <c r="X136" s="562"/>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c r="AT136" s="562"/>
      <c r="AU136" s="562"/>
      <c r="AV136" s="562"/>
      <c r="AW136" s="562"/>
      <c r="AX136" s="562"/>
      <c r="AY136" s="562"/>
      <c r="AZ136" s="562"/>
      <c r="BA136" s="562"/>
      <c r="BB136" s="562"/>
      <c r="BC136" s="562"/>
    </row>
    <row r="137" spans="1:55">
      <c r="A137" s="562"/>
      <c r="B137" s="439"/>
      <c r="C137" s="439"/>
      <c r="D137" s="439"/>
      <c r="E137" s="439"/>
      <c r="F137" s="439"/>
      <c r="G137" s="439"/>
      <c r="H137" s="439"/>
      <c r="I137" s="439"/>
      <c r="J137" s="439"/>
      <c r="K137" s="439"/>
      <c r="L137" s="439"/>
      <c r="M137" s="439"/>
      <c r="N137" s="439"/>
      <c r="O137" s="439"/>
      <c r="P137" s="439"/>
      <c r="Q137" s="439"/>
      <c r="R137" s="439"/>
      <c r="S137" s="439"/>
      <c r="T137" s="439"/>
      <c r="U137" s="439"/>
      <c r="V137" s="562"/>
      <c r="W137" s="562"/>
      <c r="X137" s="562"/>
      <c r="Y137" s="562"/>
      <c r="Z137" s="562"/>
      <c r="AA137" s="562"/>
      <c r="AB137" s="562"/>
      <c r="AC137" s="562"/>
      <c r="AD137" s="562"/>
      <c r="AE137" s="562"/>
      <c r="AF137" s="562"/>
      <c r="AG137" s="562"/>
      <c r="AH137" s="562"/>
      <c r="AI137" s="562"/>
      <c r="AJ137" s="562"/>
      <c r="AK137" s="562"/>
      <c r="AL137" s="562"/>
      <c r="AM137" s="562"/>
      <c r="AN137" s="562"/>
      <c r="AO137" s="562"/>
      <c r="AP137" s="562"/>
      <c r="AQ137" s="562"/>
      <c r="AR137" s="562"/>
      <c r="AS137" s="562"/>
      <c r="AT137" s="562"/>
      <c r="AU137" s="562"/>
      <c r="AV137" s="562"/>
      <c r="AW137" s="562"/>
      <c r="AX137" s="562"/>
      <c r="AY137" s="562"/>
      <c r="AZ137" s="562"/>
      <c r="BA137" s="562"/>
      <c r="BB137" s="562"/>
      <c r="BC137" s="562"/>
    </row>
    <row r="138" spans="1:55">
      <c r="A138" s="562"/>
      <c r="B138" s="439"/>
      <c r="C138" s="439"/>
      <c r="D138" s="439"/>
      <c r="E138" s="439"/>
      <c r="F138" s="439"/>
      <c r="G138" s="439"/>
      <c r="H138" s="439"/>
      <c r="I138" s="439"/>
      <c r="J138" s="439"/>
      <c r="K138" s="439"/>
      <c r="L138" s="439"/>
      <c r="M138" s="439"/>
      <c r="N138" s="439"/>
      <c r="O138" s="439"/>
      <c r="P138" s="439"/>
      <c r="Q138" s="439"/>
      <c r="R138" s="439"/>
      <c r="S138" s="439"/>
      <c r="T138" s="439"/>
      <c r="U138" s="439"/>
      <c r="V138" s="562"/>
      <c r="W138" s="562"/>
      <c r="X138" s="562"/>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c r="AT138" s="562"/>
      <c r="AU138" s="562"/>
      <c r="AV138" s="562"/>
      <c r="AW138" s="562"/>
      <c r="AX138" s="562"/>
      <c r="AY138" s="562"/>
      <c r="AZ138" s="562"/>
      <c r="BA138" s="562"/>
      <c r="BB138" s="562"/>
      <c r="BC138" s="562"/>
    </row>
    <row r="139" spans="1:55">
      <c r="A139" s="562"/>
      <c r="B139" s="562"/>
      <c r="C139" s="562"/>
      <c r="D139" s="562"/>
      <c r="E139" s="562"/>
      <c r="F139" s="562"/>
      <c r="G139" s="562"/>
      <c r="H139" s="562"/>
      <c r="I139" s="562"/>
      <c r="J139" s="562"/>
      <c r="K139" s="562"/>
      <c r="L139" s="562"/>
      <c r="M139" s="562"/>
      <c r="N139" s="562"/>
      <c r="O139" s="562"/>
      <c r="P139" s="562"/>
      <c r="Q139" s="562"/>
      <c r="R139" s="562"/>
      <c r="S139" s="562"/>
      <c r="T139" s="562"/>
      <c r="U139" s="562"/>
      <c r="V139" s="562"/>
      <c r="W139" s="562"/>
      <c r="X139" s="562"/>
      <c r="Y139" s="562"/>
      <c r="Z139" s="562"/>
      <c r="AA139" s="562"/>
      <c r="AB139" s="562"/>
      <c r="AC139" s="562"/>
      <c r="AD139" s="562"/>
      <c r="AE139" s="562"/>
      <c r="AF139" s="562"/>
      <c r="AG139" s="562"/>
      <c r="AH139" s="562"/>
      <c r="AI139" s="562"/>
      <c r="AJ139" s="562"/>
      <c r="AK139" s="562"/>
      <c r="AL139" s="562"/>
      <c r="AM139" s="562"/>
      <c r="AN139" s="562"/>
      <c r="AO139" s="562"/>
      <c r="AP139" s="562"/>
      <c r="AQ139" s="562"/>
      <c r="AR139" s="562"/>
      <c r="AS139" s="562"/>
      <c r="AT139" s="562"/>
      <c r="AU139" s="562"/>
      <c r="AV139" s="562"/>
      <c r="AW139" s="562"/>
      <c r="AX139" s="562"/>
      <c r="AY139" s="562"/>
      <c r="AZ139" s="562"/>
      <c r="BA139" s="562"/>
      <c r="BB139" s="562"/>
      <c r="BC139" s="562"/>
    </row>
    <row r="140" spans="1:55">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row>
    <row r="141" spans="1:55">
      <c r="A141" s="562"/>
      <c r="B141" s="562"/>
      <c r="C141" s="562"/>
      <c r="D141" s="562"/>
      <c r="E141" s="562"/>
      <c r="F141" s="562"/>
      <c r="G141" s="562"/>
      <c r="H141" s="562"/>
      <c r="I141" s="562"/>
      <c r="J141" s="562"/>
      <c r="K141" s="562"/>
      <c r="L141" s="562"/>
      <c r="M141" s="562"/>
      <c r="N141" s="562"/>
      <c r="O141" s="562"/>
      <c r="P141" s="562"/>
      <c r="Q141" s="562"/>
      <c r="R141" s="562"/>
      <c r="S141" s="562"/>
      <c r="T141" s="562"/>
      <c r="U141" s="562"/>
      <c r="V141" s="562"/>
      <c r="W141" s="562"/>
      <c r="X141" s="562"/>
      <c r="Y141" s="562"/>
      <c r="Z141" s="562"/>
      <c r="AA141" s="562"/>
      <c r="AB141" s="562"/>
      <c r="AC141" s="562"/>
      <c r="AD141" s="562"/>
      <c r="AE141" s="562"/>
      <c r="AF141" s="562"/>
      <c r="AG141" s="562"/>
      <c r="AH141" s="562"/>
      <c r="AI141" s="562"/>
      <c r="AJ141" s="562"/>
      <c r="AK141" s="562"/>
      <c r="AL141" s="562"/>
      <c r="AM141" s="562"/>
      <c r="AN141" s="562"/>
      <c r="AO141" s="562"/>
      <c r="AP141" s="562"/>
      <c r="AQ141" s="562"/>
      <c r="AR141" s="562"/>
      <c r="AS141" s="562"/>
      <c r="AT141" s="562"/>
      <c r="AU141" s="562"/>
      <c r="AV141" s="562"/>
      <c r="AW141" s="562"/>
      <c r="AX141" s="562"/>
      <c r="AY141" s="562"/>
      <c r="AZ141" s="562"/>
      <c r="BA141" s="562"/>
      <c r="BB141" s="562"/>
      <c r="BC141" s="562"/>
    </row>
    <row r="142" spans="1:55">
      <c r="A142" s="562"/>
      <c r="B142" s="562"/>
      <c r="C142" s="562"/>
      <c r="D142" s="562"/>
      <c r="E142" s="562"/>
      <c r="F142" s="562"/>
      <c r="G142" s="562"/>
      <c r="H142" s="43"/>
      <c r="I142" s="562"/>
      <c r="J142" s="562"/>
      <c r="K142" s="562"/>
      <c r="L142" s="562"/>
      <c r="M142" s="562"/>
      <c r="N142" s="562"/>
      <c r="O142" s="562"/>
      <c r="P142" s="562"/>
      <c r="Q142" s="562"/>
      <c r="R142" s="562"/>
      <c r="S142" s="562"/>
      <c r="T142" s="562"/>
      <c r="U142" s="562"/>
      <c r="V142" s="562"/>
      <c r="W142" s="562"/>
      <c r="X142" s="562"/>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c r="AT142" s="562"/>
      <c r="AU142" s="562"/>
      <c r="AV142" s="562"/>
      <c r="AW142" s="562"/>
      <c r="AX142" s="562"/>
      <c r="AY142" s="562"/>
      <c r="AZ142" s="562"/>
      <c r="BA142" s="562"/>
      <c r="BB142" s="562"/>
      <c r="BC142" s="562"/>
    </row>
    <row r="143" spans="1:55">
      <c r="A143" s="562"/>
      <c r="B143" s="562"/>
      <c r="C143" s="562"/>
      <c r="D143" s="562"/>
      <c r="E143" s="562"/>
      <c r="F143" s="562"/>
      <c r="G143" s="562"/>
      <c r="H143" s="562"/>
      <c r="I143" s="562"/>
      <c r="J143" s="562"/>
      <c r="K143" s="562"/>
      <c r="L143" s="562"/>
      <c r="M143" s="562"/>
      <c r="N143" s="562"/>
      <c r="O143" s="562"/>
      <c r="P143" s="562"/>
      <c r="Q143" s="562"/>
      <c r="R143" s="562"/>
      <c r="S143" s="562"/>
      <c r="T143" s="562"/>
      <c r="U143" s="562"/>
      <c r="V143" s="562"/>
      <c r="W143" s="562"/>
      <c r="X143" s="562"/>
      <c r="Y143" s="562"/>
      <c r="Z143" s="562"/>
      <c r="AA143" s="562"/>
      <c r="AB143" s="562"/>
      <c r="AC143" s="562"/>
      <c r="AD143" s="562"/>
      <c r="AE143" s="562"/>
      <c r="AF143" s="562"/>
      <c r="AG143" s="562"/>
      <c r="AH143" s="562"/>
      <c r="AI143" s="562"/>
      <c r="AJ143" s="562"/>
      <c r="AK143" s="562"/>
      <c r="AL143" s="562"/>
      <c r="AM143" s="562"/>
      <c r="AN143" s="562"/>
      <c r="AO143" s="562"/>
      <c r="AP143" s="562"/>
      <c r="AQ143" s="562"/>
      <c r="AR143" s="562"/>
      <c r="AS143" s="562"/>
      <c r="AT143" s="562"/>
      <c r="AU143" s="562"/>
      <c r="AV143" s="562"/>
      <c r="AW143" s="562"/>
      <c r="AX143" s="562"/>
      <c r="AY143" s="562"/>
      <c r="AZ143" s="562"/>
      <c r="BA143" s="562"/>
      <c r="BB143" s="562"/>
      <c r="BC143" s="562"/>
    </row>
    <row r="144" spans="1:55">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c r="AT144" s="562"/>
      <c r="AU144" s="562"/>
      <c r="AV144" s="562"/>
      <c r="AW144" s="562"/>
      <c r="AX144" s="562"/>
      <c r="AY144" s="562"/>
      <c r="AZ144" s="562"/>
      <c r="BA144" s="562"/>
      <c r="BB144" s="562"/>
      <c r="BC144" s="562"/>
    </row>
    <row r="145" spans="1:55">
      <c r="A145" s="562"/>
      <c r="B145" s="562"/>
      <c r="C145" s="562"/>
      <c r="D145" s="562"/>
      <c r="E145" s="562"/>
      <c r="F145" s="562"/>
      <c r="G145" s="562"/>
      <c r="H145" s="562"/>
      <c r="I145" s="562"/>
      <c r="J145" s="562"/>
      <c r="K145" s="562"/>
      <c r="L145" s="562"/>
      <c r="M145" s="562"/>
      <c r="N145" s="562"/>
      <c r="O145" s="562"/>
      <c r="P145" s="562"/>
      <c r="Q145" s="562"/>
      <c r="R145" s="562"/>
      <c r="S145" s="562"/>
      <c r="T145" s="562"/>
      <c r="U145" s="562"/>
      <c r="V145" s="562"/>
      <c r="W145" s="562"/>
      <c r="X145" s="562"/>
      <c r="Y145" s="562"/>
      <c r="Z145" s="562"/>
      <c r="AA145" s="562"/>
      <c r="AB145" s="562"/>
      <c r="AC145" s="562"/>
      <c r="AD145" s="562"/>
      <c r="AE145" s="562"/>
      <c r="AF145" s="562"/>
      <c r="AG145" s="562"/>
      <c r="AH145" s="562"/>
      <c r="AI145" s="562"/>
      <c r="AJ145" s="562"/>
      <c r="AK145" s="562"/>
      <c r="AL145" s="562"/>
      <c r="AM145" s="562"/>
      <c r="AN145" s="562"/>
      <c r="AO145" s="562"/>
      <c r="AP145" s="562"/>
      <c r="AQ145" s="562"/>
      <c r="AR145" s="562"/>
      <c r="AS145" s="562"/>
      <c r="AT145" s="562"/>
      <c r="AU145" s="562"/>
      <c r="AV145" s="562"/>
      <c r="AW145" s="562"/>
      <c r="AX145" s="562"/>
      <c r="AY145" s="562"/>
      <c r="AZ145" s="562"/>
      <c r="BA145" s="562"/>
      <c r="BB145" s="562"/>
      <c r="BC145" s="562"/>
    </row>
    <row r="146" spans="1:55">
      <c r="A146" s="562"/>
      <c r="B146" s="562"/>
      <c r="C146" s="562"/>
      <c r="D146" s="562"/>
      <c r="E146" s="562"/>
      <c r="F146" s="562"/>
      <c r="G146" s="562"/>
      <c r="H146" s="562"/>
      <c r="I146" s="562"/>
      <c r="J146" s="562"/>
      <c r="K146" s="562"/>
      <c r="L146" s="562"/>
      <c r="M146" s="562"/>
      <c r="N146" s="562"/>
      <c r="O146" s="562"/>
      <c r="P146" s="562"/>
      <c r="Q146" s="562"/>
      <c r="R146" s="562"/>
      <c r="S146" s="562"/>
      <c r="T146" s="562"/>
      <c r="U146" s="562"/>
      <c r="V146" s="562"/>
      <c r="W146" s="562"/>
      <c r="X146" s="562"/>
      <c r="Y146" s="562"/>
      <c r="Z146" s="562"/>
      <c r="AA146" s="562"/>
      <c r="AB146" s="562"/>
      <c r="AC146" s="562"/>
      <c r="AD146" s="562"/>
      <c r="AE146" s="562"/>
      <c r="AF146" s="562"/>
      <c r="AG146" s="562"/>
      <c r="AH146" s="562"/>
      <c r="AI146" s="562"/>
      <c r="AJ146" s="562"/>
      <c r="AK146" s="562"/>
      <c r="AL146" s="562"/>
      <c r="AM146" s="562"/>
      <c r="AN146" s="562"/>
      <c r="AO146" s="562"/>
      <c r="AP146" s="562"/>
      <c r="AQ146" s="562"/>
      <c r="AR146" s="562"/>
      <c r="AS146" s="562"/>
      <c r="AT146" s="562"/>
      <c r="AU146" s="562"/>
      <c r="AV146" s="562"/>
      <c r="AW146" s="562"/>
      <c r="AX146" s="562"/>
      <c r="AY146" s="562"/>
      <c r="AZ146" s="562"/>
      <c r="BA146" s="562"/>
      <c r="BB146" s="562"/>
      <c r="BC146" s="562"/>
    </row>
    <row r="147" spans="1:55">
      <c r="A147" s="562"/>
      <c r="B147" s="562"/>
      <c r="C147" s="562"/>
      <c r="D147" s="562"/>
      <c r="E147" s="562"/>
      <c r="F147" s="562"/>
      <c r="G147" s="562"/>
      <c r="H147" s="562"/>
      <c r="I147" s="562"/>
      <c r="J147" s="562"/>
      <c r="K147" s="562"/>
      <c r="L147" s="562"/>
      <c r="M147" s="562"/>
      <c r="N147" s="562"/>
      <c r="O147" s="562"/>
      <c r="P147" s="562"/>
      <c r="Q147" s="562"/>
      <c r="R147" s="562"/>
      <c r="S147" s="562"/>
      <c r="T147" s="562"/>
      <c r="U147" s="562"/>
      <c r="V147" s="562"/>
      <c r="W147" s="562"/>
      <c r="X147" s="562"/>
      <c r="Y147" s="562"/>
      <c r="Z147" s="562"/>
      <c r="AA147" s="562"/>
      <c r="AB147" s="562"/>
      <c r="AC147" s="562"/>
      <c r="AD147" s="562"/>
      <c r="AE147" s="562"/>
      <c r="AF147" s="562"/>
      <c r="AG147" s="562"/>
      <c r="AH147" s="562"/>
      <c r="AI147" s="562"/>
      <c r="AJ147" s="562"/>
      <c r="AK147" s="562"/>
      <c r="AL147" s="562"/>
      <c r="AM147" s="562"/>
      <c r="AN147" s="562"/>
      <c r="AO147" s="562"/>
      <c r="AP147" s="562"/>
      <c r="AQ147" s="562"/>
      <c r="AR147" s="562"/>
      <c r="AS147" s="562"/>
      <c r="AT147" s="562"/>
      <c r="AU147" s="562"/>
      <c r="AV147" s="562"/>
      <c r="AW147" s="562"/>
      <c r="AX147" s="562"/>
      <c r="AY147" s="562"/>
      <c r="AZ147" s="562"/>
      <c r="BA147" s="562"/>
      <c r="BB147" s="562"/>
      <c r="BC147" s="562"/>
    </row>
    <row r="148" spans="1:55">
      <c r="A148" s="562"/>
      <c r="B148" s="562"/>
      <c r="C148" s="562"/>
      <c r="D148" s="562"/>
      <c r="E148" s="562"/>
      <c r="F148" s="562"/>
      <c r="G148" s="562"/>
      <c r="H148" s="562"/>
      <c r="I148" s="562"/>
      <c r="J148" s="562"/>
      <c r="K148" s="562"/>
      <c r="L148" s="562"/>
      <c r="M148" s="562"/>
      <c r="N148" s="562"/>
      <c r="O148" s="562"/>
      <c r="P148" s="562"/>
      <c r="Q148" s="562"/>
      <c r="R148" s="562"/>
      <c r="S148" s="562"/>
      <c r="T148" s="562"/>
      <c r="U148" s="562"/>
      <c r="V148" s="562"/>
      <c r="W148" s="562"/>
      <c r="X148" s="562"/>
      <c r="Y148" s="562"/>
      <c r="Z148" s="562"/>
      <c r="AA148" s="562"/>
      <c r="AB148" s="562"/>
      <c r="AC148" s="562"/>
      <c r="AD148" s="562"/>
      <c r="AE148" s="562"/>
      <c r="AF148" s="562"/>
      <c r="AG148" s="562"/>
      <c r="AH148" s="562"/>
      <c r="AI148" s="562"/>
      <c r="AJ148" s="562"/>
      <c r="AK148" s="562"/>
      <c r="AL148" s="562"/>
      <c r="AM148" s="562"/>
      <c r="AN148" s="562"/>
      <c r="AO148" s="562"/>
      <c r="AP148" s="562"/>
      <c r="AQ148" s="562"/>
      <c r="AR148" s="562"/>
      <c r="AS148" s="562"/>
      <c r="AT148" s="562"/>
      <c r="AU148" s="562"/>
      <c r="AV148" s="562"/>
      <c r="AW148" s="562"/>
      <c r="AX148" s="562"/>
      <c r="AY148" s="562"/>
      <c r="AZ148" s="562"/>
      <c r="BA148" s="562"/>
      <c r="BB148" s="562"/>
      <c r="BC148" s="562"/>
    </row>
    <row r="149" spans="1:55">
      <c r="A149" s="562"/>
      <c r="B149" s="562"/>
      <c r="C149" s="562"/>
      <c r="D149" s="562"/>
      <c r="E149" s="562"/>
      <c r="F149" s="562"/>
      <c r="G149" s="562"/>
      <c r="H149" s="562"/>
      <c r="I149" s="562"/>
      <c r="J149" s="562"/>
      <c r="K149" s="562"/>
      <c r="L149" s="562"/>
      <c r="M149" s="562"/>
      <c r="N149" s="562"/>
      <c r="O149" s="562"/>
      <c r="P149" s="562"/>
      <c r="Q149" s="562"/>
      <c r="R149" s="562"/>
      <c r="S149" s="562"/>
      <c r="T149" s="562"/>
      <c r="U149" s="562"/>
      <c r="V149" s="562"/>
      <c r="W149" s="562"/>
      <c r="X149" s="562"/>
      <c r="Y149" s="562"/>
      <c r="Z149" s="562"/>
      <c r="AA149" s="562"/>
      <c r="AB149" s="562"/>
      <c r="AC149" s="562"/>
      <c r="AD149" s="562"/>
      <c r="AE149" s="562"/>
      <c r="AF149" s="562"/>
      <c r="AG149" s="562"/>
      <c r="AH149" s="562"/>
      <c r="AI149" s="562"/>
      <c r="AJ149" s="562"/>
      <c r="AK149" s="562"/>
      <c r="AL149" s="562"/>
      <c r="AM149" s="562"/>
      <c r="AN149" s="562"/>
      <c r="AO149" s="562"/>
      <c r="AP149" s="562"/>
      <c r="AQ149" s="562"/>
      <c r="AR149" s="562"/>
      <c r="AS149" s="562"/>
      <c r="AT149" s="562"/>
      <c r="AU149" s="562"/>
      <c r="AV149" s="562"/>
      <c r="AW149" s="562"/>
      <c r="AX149" s="562"/>
      <c r="AY149" s="562"/>
      <c r="AZ149" s="562"/>
      <c r="BA149" s="562"/>
      <c r="BB149" s="562"/>
      <c r="BC149" s="562"/>
    </row>
    <row r="150" spans="1:55">
      <c r="A150" s="562"/>
      <c r="B150" s="562"/>
      <c r="C150" s="562"/>
      <c r="D150" s="562"/>
      <c r="E150" s="562"/>
      <c r="F150" s="562"/>
      <c r="G150" s="562"/>
      <c r="H150" s="562"/>
      <c r="I150" s="562"/>
      <c r="J150" s="562"/>
      <c r="K150" s="562"/>
      <c r="L150" s="562"/>
      <c r="M150" s="562"/>
      <c r="N150" s="562"/>
      <c r="O150" s="562"/>
      <c r="P150" s="562"/>
      <c r="Q150" s="562"/>
      <c r="R150" s="562"/>
      <c r="S150" s="562"/>
      <c r="T150" s="562"/>
      <c r="U150" s="562"/>
      <c r="V150" s="562"/>
      <c r="W150" s="562"/>
      <c r="X150" s="562"/>
      <c r="Y150" s="562"/>
      <c r="Z150" s="562"/>
      <c r="AA150" s="562"/>
      <c r="AB150" s="562"/>
      <c r="AC150" s="562"/>
      <c r="AD150" s="562"/>
      <c r="AE150" s="562"/>
      <c r="AF150" s="562"/>
      <c r="AG150" s="562"/>
      <c r="AH150" s="562"/>
      <c r="AI150" s="562"/>
      <c r="AJ150" s="562"/>
      <c r="AK150" s="562"/>
      <c r="AL150" s="562"/>
      <c r="AM150" s="562"/>
      <c r="AN150" s="562"/>
      <c r="AO150" s="562"/>
      <c r="AP150" s="562"/>
      <c r="AQ150" s="562"/>
      <c r="AR150" s="562"/>
      <c r="AS150" s="562"/>
      <c r="AT150" s="562"/>
      <c r="AU150" s="562"/>
      <c r="AV150" s="562"/>
      <c r="AW150" s="562"/>
      <c r="AX150" s="562"/>
      <c r="AY150" s="562"/>
      <c r="AZ150" s="562"/>
      <c r="BA150" s="562"/>
      <c r="BB150" s="562"/>
      <c r="BC150" s="562"/>
    </row>
    <row r="151" spans="1:55">
      <c r="A151" s="562"/>
      <c r="B151" s="562"/>
      <c r="C151" s="562"/>
      <c r="D151" s="562"/>
      <c r="E151" s="562"/>
      <c r="F151" s="562"/>
      <c r="G151" s="562"/>
      <c r="H151" s="562"/>
      <c r="I151" s="562"/>
      <c r="J151" s="562"/>
      <c r="K151" s="562"/>
      <c r="L151" s="562"/>
      <c r="M151" s="562"/>
      <c r="N151" s="562"/>
      <c r="O151" s="562"/>
      <c r="P151" s="562"/>
      <c r="Q151" s="562"/>
      <c r="R151" s="562"/>
      <c r="S151" s="562"/>
      <c r="T151" s="562"/>
      <c r="U151" s="562"/>
      <c r="V151" s="562"/>
      <c r="W151" s="562"/>
      <c r="X151" s="562"/>
      <c r="Y151" s="562"/>
      <c r="Z151" s="562"/>
      <c r="AA151" s="562"/>
      <c r="AB151" s="562"/>
      <c r="AC151" s="562"/>
      <c r="AD151" s="562"/>
      <c r="AE151" s="562"/>
      <c r="AF151" s="562"/>
      <c r="AG151" s="562"/>
      <c r="AH151" s="562"/>
      <c r="AI151" s="562"/>
      <c r="AJ151" s="562"/>
      <c r="AK151" s="562"/>
      <c r="AL151" s="562"/>
      <c r="AM151" s="562"/>
      <c r="AN151" s="562"/>
      <c r="AO151" s="562"/>
      <c r="AP151" s="562"/>
      <c r="AQ151" s="562"/>
      <c r="AR151" s="562"/>
      <c r="AS151" s="562"/>
      <c r="AT151" s="562"/>
      <c r="AU151" s="562"/>
      <c r="AV151" s="562"/>
      <c r="AW151" s="562"/>
      <c r="AX151" s="562"/>
      <c r="AY151" s="562"/>
      <c r="AZ151" s="562"/>
      <c r="BA151" s="562"/>
      <c r="BB151" s="562"/>
      <c r="BC151" s="562"/>
    </row>
    <row r="152" spans="1:55">
      <c r="A152" s="562"/>
      <c r="B152" s="562"/>
      <c r="C152" s="562"/>
      <c r="D152" s="562"/>
      <c r="E152" s="562"/>
      <c r="F152" s="562"/>
      <c r="G152" s="562"/>
      <c r="H152" s="562"/>
      <c r="I152" s="562"/>
      <c r="J152" s="562"/>
      <c r="K152" s="562"/>
      <c r="L152" s="562"/>
      <c r="M152" s="562"/>
      <c r="N152" s="562"/>
      <c r="O152" s="562"/>
      <c r="P152" s="562"/>
      <c r="Q152" s="562"/>
      <c r="R152" s="562"/>
      <c r="S152" s="562"/>
      <c r="T152" s="562"/>
      <c r="U152" s="562"/>
      <c r="V152" s="562"/>
      <c r="W152" s="562"/>
      <c r="X152" s="562"/>
      <c r="Y152" s="562"/>
      <c r="Z152" s="562"/>
      <c r="AA152" s="562"/>
      <c r="AB152" s="562"/>
      <c r="AC152" s="562"/>
      <c r="AD152" s="562"/>
      <c r="AE152" s="562"/>
      <c r="AF152" s="562"/>
      <c r="AG152" s="562"/>
      <c r="AH152" s="562"/>
      <c r="AI152" s="562"/>
      <c r="AJ152" s="562"/>
      <c r="AK152" s="562"/>
      <c r="AL152" s="562"/>
      <c r="AM152" s="562"/>
      <c r="AN152" s="562"/>
      <c r="AO152" s="562"/>
      <c r="AP152" s="562"/>
      <c r="AQ152" s="562"/>
      <c r="AR152" s="562"/>
      <c r="AS152" s="562"/>
      <c r="AT152" s="562"/>
      <c r="AU152" s="562"/>
      <c r="AV152" s="562"/>
      <c r="AW152" s="562"/>
      <c r="AX152" s="562"/>
      <c r="AY152" s="562"/>
      <c r="AZ152" s="562"/>
      <c r="BA152" s="562"/>
      <c r="BB152" s="562"/>
      <c r="BC152" s="562"/>
    </row>
    <row r="153" spans="1:55">
      <c r="A153" s="562"/>
      <c r="B153" s="562"/>
      <c r="C153" s="562"/>
      <c r="D153" s="562"/>
      <c r="E153" s="562"/>
      <c r="F153" s="562"/>
      <c r="G153" s="562"/>
      <c r="H153" s="562"/>
      <c r="I153" s="562"/>
      <c r="J153" s="562"/>
      <c r="K153" s="562"/>
      <c r="L153" s="562"/>
      <c r="M153" s="562"/>
      <c r="N153" s="562"/>
      <c r="O153" s="562"/>
      <c r="P153" s="562"/>
      <c r="Q153" s="562"/>
      <c r="R153" s="562"/>
      <c r="S153" s="562"/>
      <c r="T153" s="562"/>
      <c r="U153" s="562"/>
      <c r="V153" s="562"/>
      <c r="W153" s="562"/>
      <c r="X153" s="562"/>
      <c r="Y153" s="562"/>
      <c r="Z153" s="562"/>
      <c r="AA153" s="562"/>
      <c r="AB153" s="562"/>
      <c r="AC153" s="562"/>
      <c r="AD153" s="562"/>
      <c r="AE153" s="562"/>
      <c r="AF153" s="562"/>
      <c r="AG153" s="562"/>
      <c r="AH153" s="562"/>
      <c r="AI153" s="562"/>
      <c r="AJ153" s="562"/>
      <c r="AK153" s="562"/>
      <c r="AL153" s="562"/>
      <c r="AM153" s="562"/>
      <c r="AN153" s="562"/>
      <c r="AO153" s="562"/>
      <c r="AP153" s="562"/>
      <c r="AQ153" s="562"/>
      <c r="AR153" s="562"/>
      <c r="AS153" s="562"/>
      <c r="AT153" s="562"/>
      <c r="AU153" s="562"/>
      <c r="AV153" s="562"/>
      <c r="AW153" s="562"/>
      <c r="AX153" s="562"/>
      <c r="AY153" s="562"/>
      <c r="AZ153" s="562"/>
      <c r="BA153" s="562"/>
      <c r="BB153" s="562"/>
      <c r="BC153" s="562"/>
    </row>
    <row r="154" spans="1:55">
      <c r="A154" s="562"/>
      <c r="B154" s="562"/>
      <c r="C154" s="562"/>
      <c r="D154" s="562"/>
      <c r="E154" s="562"/>
      <c r="F154" s="562"/>
      <c r="G154" s="562"/>
      <c r="H154" s="562"/>
      <c r="I154" s="562"/>
      <c r="J154" s="562"/>
      <c r="K154" s="562"/>
      <c r="L154" s="562"/>
      <c r="M154" s="562"/>
      <c r="N154" s="562"/>
      <c r="O154" s="562"/>
      <c r="P154" s="562"/>
      <c r="Q154" s="562"/>
      <c r="R154" s="562"/>
      <c r="S154" s="562"/>
      <c r="T154" s="562"/>
      <c r="U154" s="562"/>
      <c r="V154" s="562"/>
      <c r="W154" s="562"/>
      <c r="X154" s="562"/>
      <c r="Y154" s="562"/>
      <c r="Z154" s="562"/>
      <c r="AA154" s="562"/>
      <c r="AB154" s="562"/>
      <c r="AC154" s="562"/>
      <c r="AD154" s="562"/>
      <c r="AE154" s="562"/>
      <c r="AF154" s="562"/>
      <c r="AG154" s="562"/>
      <c r="AH154" s="562"/>
      <c r="AI154" s="562"/>
      <c r="AJ154" s="562"/>
      <c r="AK154" s="562"/>
      <c r="AL154" s="562"/>
      <c r="AM154" s="562"/>
      <c r="AN154" s="562"/>
      <c r="AO154" s="562"/>
      <c r="AP154" s="562"/>
      <c r="AQ154" s="562"/>
      <c r="AR154" s="562"/>
      <c r="AS154" s="562"/>
      <c r="AT154" s="562"/>
      <c r="AU154" s="562"/>
      <c r="AV154" s="562"/>
      <c r="AW154" s="562"/>
      <c r="AX154" s="562"/>
      <c r="AY154" s="562"/>
      <c r="AZ154" s="562"/>
      <c r="BA154" s="562"/>
      <c r="BB154" s="562"/>
      <c r="BC154" s="562"/>
    </row>
    <row r="155" spans="1:55">
      <c r="A155" s="562"/>
      <c r="B155" s="562"/>
      <c r="C155" s="562"/>
      <c r="D155" s="562"/>
      <c r="E155" s="562"/>
      <c r="F155" s="562"/>
      <c r="G155" s="562"/>
      <c r="H155" s="562"/>
      <c r="I155" s="562"/>
      <c r="J155" s="562"/>
      <c r="K155" s="562"/>
      <c r="L155" s="562"/>
      <c r="M155" s="562"/>
      <c r="N155" s="562"/>
      <c r="O155" s="562"/>
      <c r="P155" s="562"/>
      <c r="Q155" s="562"/>
      <c r="R155" s="562"/>
      <c r="S155" s="562"/>
      <c r="T155" s="562"/>
      <c r="U155" s="562"/>
      <c r="V155" s="562"/>
      <c r="W155" s="562"/>
      <c r="X155" s="562"/>
      <c r="Y155" s="562"/>
      <c r="Z155" s="562"/>
      <c r="AA155" s="562"/>
      <c r="AB155" s="562"/>
      <c r="AC155" s="562"/>
      <c r="AD155" s="562"/>
      <c r="AE155" s="562"/>
      <c r="AF155" s="562"/>
      <c r="AG155" s="562"/>
      <c r="AH155" s="562"/>
      <c r="AI155" s="562"/>
      <c r="AJ155" s="562"/>
      <c r="AK155" s="562"/>
      <c r="AL155" s="562"/>
      <c r="AM155" s="562"/>
      <c r="AN155" s="562"/>
      <c r="AO155" s="562"/>
      <c r="AP155" s="562"/>
      <c r="AQ155" s="562"/>
      <c r="AR155" s="562"/>
      <c r="AS155" s="562"/>
      <c r="AT155" s="562"/>
      <c r="AU155" s="562"/>
      <c r="AV155" s="562"/>
      <c r="AW155" s="562"/>
      <c r="AX155" s="562"/>
      <c r="AY155" s="562"/>
      <c r="AZ155" s="562"/>
      <c r="BA155" s="562"/>
      <c r="BB155" s="562"/>
      <c r="BC155" s="562"/>
    </row>
    <row r="156" spans="1:55">
      <c r="A156" s="562"/>
      <c r="B156" s="562"/>
      <c r="C156" s="562"/>
      <c r="D156" s="562"/>
      <c r="E156" s="562"/>
      <c r="F156" s="562"/>
      <c r="G156" s="562"/>
      <c r="H156" s="562"/>
      <c r="I156" s="562"/>
      <c r="J156" s="562"/>
      <c r="K156" s="562"/>
      <c r="L156" s="562"/>
      <c r="M156" s="562"/>
      <c r="N156" s="562"/>
      <c r="O156" s="562"/>
      <c r="P156" s="562"/>
      <c r="Q156" s="562"/>
      <c r="R156" s="562"/>
      <c r="S156" s="562"/>
      <c r="T156" s="562"/>
      <c r="U156" s="562"/>
      <c r="V156" s="562"/>
      <c r="W156" s="562"/>
      <c r="X156" s="562"/>
      <c r="Y156" s="562"/>
      <c r="Z156" s="562"/>
      <c r="AA156" s="562"/>
      <c r="AB156" s="562"/>
      <c r="AC156" s="562"/>
      <c r="AD156" s="562"/>
      <c r="AE156" s="562"/>
      <c r="AF156" s="562"/>
      <c r="AG156" s="562"/>
      <c r="AH156" s="562"/>
      <c r="AI156" s="562"/>
      <c r="AJ156" s="562"/>
      <c r="AK156" s="562"/>
      <c r="AL156" s="562"/>
      <c r="AM156" s="562"/>
      <c r="AN156" s="562"/>
      <c r="AO156" s="562"/>
      <c r="AP156" s="562"/>
      <c r="AQ156" s="562"/>
      <c r="AR156" s="562"/>
      <c r="AS156" s="562"/>
      <c r="AT156" s="562"/>
      <c r="AU156" s="562"/>
      <c r="AV156" s="562"/>
      <c r="AW156" s="562"/>
      <c r="AX156" s="562"/>
      <c r="AY156" s="562"/>
      <c r="AZ156" s="562"/>
      <c r="BA156" s="562"/>
      <c r="BB156" s="562"/>
      <c r="BC156" s="562"/>
    </row>
    <row r="157" spans="1:55">
      <c r="A157" s="562"/>
      <c r="B157" s="562"/>
      <c r="C157" s="562"/>
      <c r="D157" s="562"/>
      <c r="E157" s="562"/>
      <c r="F157" s="562"/>
      <c r="G157" s="562"/>
      <c r="H157" s="562"/>
      <c r="I157" s="562"/>
      <c r="J157" s="562"/>
      <c r="K157" s="562"/>
      <c r="L157" s="562"/>
      <c r="M157" s="562"/>
      <c r="N157" s="562"/>
      <c r="O157" s="562"/>
      <c r="P157" s="562"/>
      <c r="Q157" s="562"/>
      <c r="R157" s="562"/>
      <c r="S157" s="562"/>
      <c r="T157" s="562"/>
      <c r="U157" s="562"/>
      <c r="V157" s="562"/>
      <c r="W157" s="562"/>
      <c r="X157" s="562"/>
      <c r="Y157" s="562"/>
      <c r="Z157" s="562"/>
      <c r="AA157" s="562"/>
      <c r="AB157" s="562"/>
      <c r="AC157" s="562"/>
      <c r="AD157" s="562"/>
      <c r="AE157" s="562"/>
      <c r="AF157" s="562"/>
      <c r="AG157" s="562"/>
      <c r="AH157" s="562"/>
      <c r="AI157" s="562"/>
      <c r="AJ157" s="562"/>
      <c r="AK157" s="562"/>
      <c r="AL157" s="562"/>
      <c r="AM157" s="562"/>
      <c r="AN157" s="562"/>
      <c r="AO157" s="562"/>
      <c r="AP157" s="562"/>
      <c r="AQ157" s="562"/>
      <c r="AR157" s="562"/>
      <c r="AS157" s="562"/>
      <c r="AT157" s="562"/>
      <c r="AU157" s="562"/>
      <c r="AV157" s="562"/>
      <c r="AW157" s="562"/>
      <c r="AX157" s="562"/>
      <c r="AY157" s="562"/>
      <c r="AZ157" s="562"/>
      <c r="BA157" s="562"/>
      <c r="BB157" s="562"/>
      <c r="BC157" s="562"/>
    </row>
    <row r="158" spans="1:55">
      <c r="A158" s="562"/>
      <c r="B158" s="562"/>
      <c r="C158" s="562"/>
      <c r="D158" s="562"/>
      <c r="E158" s="562"/>
      <c r="F158" s="562"/>
      <c r="G158" s="562"/>
      <c r="H158" s="562"/>
      <c r="I158" s="562"/>
      <c r="J158" s="562"/>
      <c r="K158" s="562"/>
      <c r="L158" s="562"/>
      <c r="M158" s="562"/>
      <c r="N158" s="562"/>
      <c r="O158" s="562"/>
      <c r="P158" s="562"/>
      <c r="Q158" s="562"/>
      <c r="R158" s="562"/>
      <c r="S158" s="562"/>
      <c r="T158" s="562"/>
      <c r="U158" s="562"/>
      <c r="V158" s="562"/>
      <c r="W158" s="562"/>
      <c r="X158" s="562"/>
      <c r="Y158" s="562"/>
      <c r="Z158" s="562"/>
      <c r="AA158" s="562"/>
      <c r="AB158" s="562"/>
      <c r="AC158" s="562"/>
      <c r="AD158" s="562"/>
      <c r="AE158" s="562"/>
      <c r="AF158" s="562"/>
      <c r="AG158" s="562"/>
      <c r="AH158" s="562"/>
      <c r="AI158" s="562"/>
      <c r="AJ158" s="562"/>
      <c r="AK158" s="562"/>
      <c r="AL158" s="562"/>
      <c r="AM158" s="562"/>
      <c r="AN158" s="562"/>
      <c r="AO158" s="562"/>
      <c r="AP158" s="562"/>
      <c r="AQ158" s="562"/>
      <c r="AR158" s="562"/>
      <c r="AS158" s="562"/>
      <c r="AT158" s="562"/>
      <c r="AU158" s="562"/>
      <c r="AV158" s="562"/>
      <c r="AW158" s="562"/>
      <c r="AX158" s="562"/>
      <c r="AY158" s="562"/>
      <c r="AZ158" s="562"/>
      <c r="BA158" s="562"/>
      <c r="BB158" s="562"/>
      <c r="BC158" s="562"/>
    </row>
    <row r="159" spans="1:55">
      <c r="A159" s="562"/>
      <c r="B159" s="562"/>
      <c r="C159" s="562"/>
      <c r="D159" s="562"/>
      <c r="E159" s="562"/>
      <c r="F159" s="562"/>
      <c r="G159" s="562"/>
      <c r="H159" s="562"/>
      <c r="I159" s="562"/>
      <c r="J159" s="562"/>
      <c r="K159" s="562"/>
      <c r="L159" s="562"/>
      <c r="M159" s="562"/>
      <c r="N159" s="562"/>
      <c r="O159" s="562"/>
      <c r="P159" s="562"/>
      <c r="Q159" s="562"/>
      <c r="R159" s="562"/>
      <c r="S159" s="562"/>
      <c r="T159" s="562"/>
      <c r="U159" s="562"/>
      <c r="V159" s="562"/>
      <c r="W159" s="562"/>
      <c r="X159" s="562"/>
      <c r="Y159" s="562"/>
      <c r="Z159" s="562"/>
      <c r="AA159" s="562"/>
      <c r="AB159" s="562"/>
      <c r="AC159" s="562"/>
      <c r="AD159" s="562"/>
      <c r="AE159" s="562"/>
      <c r="AF159" s="562"/>
      <c r="AG159" s="562"/>
      <c r="AH159" s="562"/>
      <c r="AI159" s="562"/>
      <c r="AJ159" s="562"/>
      <c r="AK159" s="562"/>
      <c r="AL159" s="562"/>
      <c r="AM159" s="562"/>
      <c r="AN159" s="562"/>
      <c r="AO159" s="562"/>
      <c r="AP159" s="562"/>
      <c r="AQ159" s="562"/>
      <c r="AR159" s="562"/>
      <c r="AS159" s="562"/>
      <c r="AT159" s="562"/>
      <c r="AU159" s="562"/>
      <c r="AV159" s="562"/>
      <c r="AW159" s="562"/>
      <c r="AX159" s="562"/>
      <c r="AY159" s="562"/>
      <c r="AZ159" s="562"/>
      <c r="BA159" s="562"/>
      <c r="BB159" s="562"/>
      <c r="BC159" s="562"/>
    </row>
    <row r="160" spans="1:55">
      <c r="A160" s="562"/>
      <c r="B160" s="562"/>
      <c r="C160" s="562"/>
      <c r="D160" s="562"/>
      <c r="E160" s="562"/>
      <c r="F160" s="562"/>
      <c r="G160" s="562"/>
      <c r="H160" s="562"/>
      <c r="I160" s="562"/>
      <c r="J160" s="562"/>
      <c r="K160" s="562"/>
      <c r="L160" s="562"/>
      <c r="M160" s="562"/>
      <c r="N160" s="562"/>
      <c r="O160" s="562"/>
      <c r="P160" s="562"/>
      <c r="Q160" s="562"/>
      <c r="R160" s="562"/>
      <c r="S160" s="562"/>
      <c r="T160" s="562"/>
      <c r="U160" s="562"/>
      <c r="V160" s="562"/>
      <c r="W160" s="562"/>
      <c r="X160" s="562"/>
      <c r="Y160" s="562"/>
      <c r="Z160" s="562"/>
      <c r="AA160" s="562"/>
      <c r="AB160" s="562"/>
      <c r="AC160" s="562"/>
      <c r="AD160" s="562"/>
      <c r="AE160" s="562"/>
      <c r="AF160" s="562"/>
      <c r="AG160" s="562"/>
      <c r="AH160" s="562"/>
      <c r="AI160" s="562"/>
      <c r="AJ160" s="562"/>
      <c r="AK160" s="562"/>
      <c r="AL160" s="562"/>
      <c r="AM160" s="562"/>
      <c r="AN160" s="562"/>
      <c r="AO160" s="562"/>
      <c r="AP160" s="562"/>
      <c r="AQ160" s="562"/>
      <c r="AR160" s="562"/>
      <c r="AS160" s="562"/>
      <c r="AT160" s="562"/>
      <c r="AU160" s="562"/>
      <c r="AV160" s="562"/>
      <c r="AW160" s="562"/>
      <c r="AX160" s="562"/>
      <c r="AY160" s="562"/>
      <c r="AZ160" s="562"/>
      <c r="BA160" s="562"/>
      <c r="BB160" s="562"/>
      <c r="BC160" s="562"/>
    </row>
    <row r="161" spans="1:55">
      <c r="A161" s="562"/>
      <c r="B161" s="562"/>
      <c r="C161" s="562"/>
      <c r="D161" s="562"/>
      <c r="E161" s="562"/>
      <c r="F161" s="562"/>
      <c r="G161" s="562"/>
      <c r="H161" s="562"/>
      <c r="I161" s="562"/>
      <c r="J161" s="562"/>
      <c r="K161" s="562"/>
      <c r="L161" s="562"/>
      <c r="M161" s="562"/>
      <c r="N161" s="562"/>
      <c r="O161" s="562"/>
      <c r="P161" s="562"/>
      <c r="Q161" s="562"/>
      <c r="R161" s="562"/>
      <c r="S161" s="562"/>
      <c r="T161" s="562"/>
      <c r="U161" s="562"/>
      <c r="V161" s="562"/>
      <c r="W161" s="562"/>
      <c r="X161" s="562"/>
      <c r="Y161" s="562"/>
      <c r="Z161" s="562"/>
      <c r="AA161" s="562"/>
      <c r="AB161" s="562"/>
      <c r="AC161" s="562"/>
      <c r="AD161" s="562"/>
      <c r="AE161" s="562"/>
      <c r="AF161" s="562"/>
      <c r="AG161" s="562"/>
      <c r="AH161" s="562"/>
      <c r="AI161" s="562"/>
      <c r="AJ161" s="562"/>
      <c r="AK161" s="562"/>
      <c r="AL161" s="562"/>
      <c r="AM161" s="562"/>
      <c r="AN161" s="562"/>
      <c r="AO161" s="562"/>
      <c r="AP161" s="562"/>
      <c r="AQ161" s="562"/>
      <c r="AR161" s="562"/>
      <c r="AS161" s="562"/>
      <c r="AT161" s="562"/>
      <c r="AU161" s="562"/>
      <c r="AV161" s="562"/>
      <c r="AW161" s="562"/>
      <c r="AX161" s="562"/>
      <c r="AY161" s="562"/>
      <c r="AZ161" s="562"/>
      <c r="BA161" s="562"/>
      <c r="BB161" s="562"/>
      <c r="BC161" s="562"/>
    </row>
    <row r="162" spans="1:55">
      <c r="A162" s="562"/>
      <c r="B162" s="562"/>
      <c r="C162" s="562"/>
      <c r="D162" s="562"/>
      <c r="E162" s="562"/>
      <c r="F162" s="562"/>
      <c r="G162" s="562"/>
      <c r="H162" s="562"/>
      <c r="I162" s="562"/>
      <c r="J162" s="562"/>
      <c r="K162" s="562"/>
      <c r="L162" s="562"/>
      <c r="M162" s="562"/>
      <c r="N162" s="562"/>
      <c r="O162" s="562"/>
      <c r="P162" s="562"/>
      <c r="Q162" s="562"/>
      <c r="R162" s="562"/>
      <c r="S162" s="562"/>
      <c r="T162" s="562"/>
      <c r="U162" s="562"/>
      <c r="V162" s="562"/>
      <c r="W162" s="562"/>
      <c r="X162" s="562"/>
      <c r="Y162" s="562"/>
      <c r="AN162" s="562"/>
      <c r="AO162" s="562"/>
      <c r="AP162" s="562"/>
      <c r="AQ162" s="562"/>
      <c r="AR162" s="562"/>
      <c r="AS162" s="562"/>
      <c r="AT162" s="562"/>
      <c r="AU162" s="562"/>
      <c r="AV162" s="562"/>
      <c r="AW162" s="562"/>
      <c r="AX162" s="562"/>
      <c r="AY162" s="562"/>
      <c r="AZ162" s="562"/>
      <c r="BA162" s="562"/>
      <c r="BB162" s="562"/>
      <c r="BC162" s="562"/>
    </row>
  </sheetData>
  <mergeCells count="42">
    <mergeCell ref="C62:L62"/>
    <mergeCell ref="G63:H63"/>
    <mergeCell ref="I63:J63"/>
    <mergeCell ref="L63:L64"/>
    <mergeCell ref="C63:C64"/>
    <mergeCell ref="D63:D64"/>
    <mergeCell ref="E63:E64"/>
    <mergeCell ref="F63:F64"/>
    <mergeCell ref="K63:K64"/>
    <mergeCell ref="C21:C22"/>
    <mergeCell ref="D21:D22"/>
    <mergeCell ref="L21:L22"/>
    <mergeCell ref="E21:E22"/>
    <mergeCell ref="F21:F22"/>
    <mergeCell ref="G21:H21"/>
    <mergeCell ref="I21:J21"/>
    <mergeCell ref="K21:K22"/>
    <mergeCell ref="AA62:AJ62"/>
    <mergeCell ref="AA63:AA64"/>
    <mergeCell ref="AB63:AB64"/>
    <mergeCell ref="AC63:AC64"/>
    <mergeCell ref="AD63:AD64"/>
    <mergeCell ref="AE63:AF63"/>
    <mergeCell ref="AG63:AH63"/>
    <mergeCell ref="AI63:AI64"/>
    <mergeCell ref="AJ63:AJ64"/>
    <mergeCell ref="B3:G3"/>
    <mergeCell ref="Z3:AE3"/>
    <mergeCell ref="AA20:AJ20"/>
    <mergeCell ref="AA21:AA22"/>
    <mergeCell ref="AB21:AB22"/>
    <mergeCell ref="AC21:AC22"/>
    <mergeCell ref="AD21:AD22"/>
    <mergeCell ref="AE21:AF21"/>
    <mergeCell ref="AG21:AH21"/>
    <mergeCell ref="AI21:AI22"/>
    <mergeCell ref="B8:O8"/>
    <mergeCell ref="B13:O13"/>
    <mergeCell ref="Z8:AM8"/>
    <mergeCell ref="Z13:AM13"/>
    <mergeCell ref="AJ21:AJ22"/>
    <mergeCell ref="C20:L20"/>
  </mergeCell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sheetPr>
  <dimension ref="A1:AM193"/>
  <sheetViews>
    <sheetView workbookViewId="0">
      <selection activeCell="D95" sqref="D95"/>
    </sheetView>
  </sheetViews>
  <sheetFormatPr baseColWidth="10" defaultColWidth="8.83203125" defaultRowHeight="15"/>
  <cols>
    <col min="2" max="2" width="36.6640625" customWidth="1"/>
    <col min="10" max="10" width="42.5" customWidth="1"/>
    <col min="26" max="26" width="28.1640625" customWidth="1"/>
    <col min="27" max="27" width="10" bestFit="1" customWidth="1"/>
  </cols>
  <sheetData>
    <row r="1" spans="2:39">
      <c r="B1" s="8" t="s">
        <v>242</v>
      </c>
    </row>
    <row r="3" spans="2:39">
      <c r="J3" s="821" t="s">
        <v>783</v>
      </c>
      <c r="AH3" s="821" t="s">
        <v>783</v>
      </c>
    </row>
    <row r="4" spans="2:39" s="556" customFormat="1" ht="16" thickBot="1">
      <c r="B4" s="146" t="s">
        <v>273</v>
      </c>
      <c r="C4"/>
      <c r="D4"/>
      <c r="E4"/>
      <c r="F4"/>
      <c r="G4"/>
      <c r="H4"/>
      <c r="I4"/>
      <c r="J4" s="821">
        <v>0.2</v>
      </c>
      <c r="K4"/>
      <c r="L4"/>
      <c r="M4"/>
      <c r="N4"/>
      <c r="O4"/>
      <c r="P4"/>
      <c r="Z4" s="34" t="s">
        <v>273</v>
      </c>
      <c r="AA4"/>
      <c r="AB4"/>
      <c r="AC4"/>
      <c r="AD4"/>
      <c r="AE4"/>
      <c r="AF4"/>
      <c r="AG4"/>
      <c r="AH4" s="821">
        <v>0.2</v>
      </c>
      <c r="AI4"/>
      <c r="AJ4"/>
      <c r="AK4"/>
      <c r="AL4"/>
      <c r="AM4"/>
    </row>
    <row r="5" spans="2:39" ht="31" thickTop="1">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P5" s="137"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row>
    <row r="6" spans="2:39" s="556" customFormat="1" ht="16" thickBot="1">
      <c r="B6" s="31"/>
      <c r="C6" s="31"/>
      <c r="D6" s="32"/>
      <c r="E6" s="32"/>
      <c r="F6" s="33"/>
      <c r="G6" s="31"/>
      <c r="H6" s="31"/>
      <c r="I6" s="31"/>
      <c r="J6" s="31"/>
      <c r="K6" s="31"/>
      <c r="L6" s="31"/>
      <c r="M6" s="31"/>
      <c r="N6" s="31"/>
      <c r="O6" s="31"/>
      <c r="P6" s="139"/>
      <c r="Z6" s="31"/>
      <c r="AA6" s="31"/>
      <c r="AB6" s="32"/>
      <c r="AC6" s="32"/>
      <c r="AD6" s="33"/>
      <c r="AE6" s="31"/>
      <c r="AF6" s="31"/>
      <c r="AG6" s="31"/>
      <c r="AH6" s="31"/>
      <c r="AI6" s="31"/>
      <c r="AJ6" s="31"/>
      <c r="AK6" s="31"/>
      <c r="AL6" s="31"/>
      <c r="AM6" s="31"/>
    </row>
    <row r="7" spans="2:39" s="556" customFormat="1">
      <c r="B7" s="37"/>
      <c r="C7" s="37"/>
      <c r="D7" s="38"/>
      <c r="E7" s="38"/>
      <c r="F7" s="37" t="s">
        <v>622</v>
      </c>
      <c r="G7" s="37" t="s">
        <v>623</v>
      </c>
      <c r="H7" s="37" t="s">
        <v>253</v>
      </c>
      <c r="I7" s="37" t="s">
        <v>271</v>
      </c>
      <c r="J7" s="37" t="s">
        <v>271</v>
      </c>
      <c r="K7" s="37" t="s">
        <v>272</v>
      </c>
      <c r="L7" s="37" t="s">
        <v>272</v>
      </c>
      <c r="M7" s="37" t="s">
        <v>272</v>
      </c>
      <c r="N7" s="37" t="s">
        <v>272</v>
      </c>
      <c r="O7" s="37" t="s">
        <v>272</v>
      </c>
      <c r="P7" s="141" t="s">
        <v>272</v>
      </c>
      <c r="Z7" s="37"/>
      <c r="AA7" s="37"/>
      <c r="AB7" s="38"/>
      <c r="AC7" s="38"/>
      <c r="AD7" s="37" t="s">
        <v>270</v>
      </c>
      <c r="AE7" s="37" t="s">
        <v>252</v>
      </c>
      <c r="AF7" s="37" t="s">
        <v>253</v>
      </c>
      <c r="AG7" s="37" t="s">
        <v>271</v>
      </c>
      <c r="AH7" s="37" t="s">
        <v>271</v>
      </c>
      <c r="AI7" s="37" t="s">
        <v>272</v>
      </c>
      <c r="AJ7" s="37" t="s">
        <v>272</v>
      </c>
      <c r="AK7" s="37" t="s">
        <v>272</v>
      </c>
      <c r="AL7" s="37" t="s">
        <v>272</v>
      </c>
      <c r="AM7" s="37" t="s">
        <v>272</v>
      </c>
    </row>
    <row r="8" spans="2:39" s="821" customFormat="1">
      <c r="B8" s="1266" t="s">
        <v>801</v>
      </c>
      <c r="C8" s="1267"/>
      <c r="D8" s="1267"/>
      <c r="E8" s="1267"/>
      <c r="F8" s="1267"/>
      <c r="G8" s="1267"/>
      <c r="H8" s="1267"/>
      <c r="I8" s="1267"/>
      <c r="J8" s="1267"/>
      <c r="K8" s="1267"/>
      <c r="L8" s="1267"/>
      <c r="M8" s="1267"/>
      <c r="N8" s="1267"/>
      <c r="O8" s="1268"/>
      <c r="Z8" s="1266" t="s">
        <v>820</v>
      </c>
      <c r="AA8" s="1267"/>
      <c r="AB8" s="1267"/>
      <c r="AC8" s="1267"/>
      <c r="AD8" s="1267"/>
      <c r="AE8" s="1267"/>
      <c r="AF8" s="1267"/>
      <c r="AG8" s="1267"/>
      <c r="AH8" s="1267"/>
      <c r="AI8" s="1267"/>
      <c r="AJ8" s="1267"/>
      <c r="AK8" s="1267"/>
      <c r="AL8" s="1267"/>
      <c r="AM8" s="1268"/>
    </row>
    <row r="9" spans="2:39" s="556" customFormat="1">
      <c r="B9" s="39">
        <f>C20</f>
        <v>2015</v>
      </c>
      <c r="C9" s="39">
        <f>B9</f>
        <v>2015</v>
      </c>
      <c r="D9" s="39">
        <f>C29/100</f>
        <v>3.6</v>
      </c>
      <c r="E9" s="39">
        <f>C31</f>
        <v>20</v>
      </c>
      <c r="F9" s="40">
        <f>C54</f>
        <v>11.920000000000002</v>
      </c>
      <c r="G9" s="559">
        <f>C57</f>
        <v>0.21679500000000002</v>
      </c>
      <c r="H9" s="560">
        <f>C58</f>
        <v>0</v>
      </c>
      <c r="I9" s="39"/>
      <c r="J9" s="39">
        <v>0.2</v>
      </c>
      <c r="K9" s="39"/>
      <c r="L9" s="39"/>
      <c r="M9" s="39"/>
      <c r="N9" s="39"/>
      <c r="O9" s="39"/>
      <c r="Z9" s="39">
        <f>AA20</f>
        <v>2015</v>
      </c>
      <c r="AA9" s="39">
        <f>Z9</f>
        <v>2015</v>
      </c>
      <c r="AB9" s="39">
        <f>AA29/100</f>
        <v>4</v>
      </c>
      <c r="AC9" s="39">
        <f>AA31</f>
        <v>15</v>
      </c>
      <c r="AD9" s="40">
        <f>AA54</f>
        <v>4.9356249999999999</v>
      </c>
      <c r="AE9" s="559">
        <f>AA57</f>
        <v>3.0544999999999996E-2</v>
      </c>
      <c r="AF9" s="560">
        <f>AA58</f>
        <v>1.341E-2</v>
      </c>
      <c r="AG9" s="39"/>
      <c r="AH9" s="39">
        <v>0.2</v>
      </c>
      <c r="AI9" s="39"/>
      <c r="AJ9" s="39"/>
      <c r="AK9" s="39"/>
      <c r="AL9" s="39"/>
      <c r="AM9" s="39"/>
    </row>
    <row r="10" spans="2:39" s="556" customFormat="1">
      <c r="B10" s="39">
        <f>D20</f>
        <v>2020</v>
      </c>
      <c r="C10" s="39"/>
      <c r="D10" s="39">
        <f>D29/100</f>
        <v>3.7</v>
      </c>
      <c r="E10" s="39">
        <f>D31</f>
        <v>20</v>
      </c>
      <c r="F10" s="40">
        <f>D54</f>
        <v>11.175000000000001</v>
      </c>
      <c r="G10" s="559">
        <f>D57</f>
        <v>0.20713396234501746</v>
      </c>
      <c r="H10" s="560">
        <f>D58</f>
        <v>0</v>
      </c>
      <c r="I10" s="39"/>
      <c r="J10" s="39">
        <v>0.2</v>
      </c>
      <c r="K10" s="39"/>
      <c r="L10" s="39"/>
      <c r="M10" s="39"/>
      <c r="N10" s="39"/>
      <c r="O10" s="39"/>
      <c r="Z10" s="39">
        <f>AB20</f>
        <v>2020</v>
      </c>
      <c r="AA10" s="39"/>
      <c r="AB10" s="39">
        <f>AB29/100</f>
        <v>4.0999999999999996</v>
      </c>
      <c r="AC10" s="39">
        <f>AB31</f>
        <v>15</v>
      </c>
      <c r="AD10" s="40">
        <f>AB54</f>
        <v>4.6376250000000008</v>
      </c>
      <c r="AE10" s="559">
        <f>AB57</f>
        <v>3.0731250000000002E-2</v>
      </c>
      <c r="AF10" s="560">
        <f>AB58</f>
        <v>1.2605399999999999E-2</v>
      </c>
      <c r="AG10" s="39"/>
      <c r="AH10" s="39">
        <v>0.2</v>
      </c>
      <c r="AI10" s="39"/>
      <c r="AJ10" s="39"/>
      <c r="AK10" s="39"/>
      <c r="AL10" s="39"/>
      <c r="AM10" s="39"/>
    </row>
    <row r="11" spans="2:39" s="556" customFormat="1">
      <c r="B11" s="39">
        <f>E20</f>
        <v>2030</v>
      </c>
      <c r="C11" s="39"/>
      <c r="D11" s="39">
        <f>E29/100</f>
        <v>3.8</v>
      </c>
      <c r="E11" s="39">
        <f>E31</f>
        <v>20</v>
      </c>
      <c r="F11" s="40">
        <f>E54</f>
        <v>10.43</v>
      </c>
      <c r="G11" s="559">
        <f>E57</f>
        <v>0.19006189014921157</v>
      </c>
      <c r="H11" s="560">
        <f>E58</f>
        <v>0</v>
      </c>
      <c r="I11" s="39"/>
      <c r="J11" s="39">
        <v>0.2</v>
      </c>
      <c r="K11" s="39"/>
      <c r="L11" s="39"/>
      <c r="M11" s="39"/>
      <c r="N11" s="39"/>
      <c r="O11" s="39"/>
      <c r="Z11" s="39">
        <f>AC20</f>
        <v>2030</v>
      </c>
      <c r="AA11" s="39"/>
      <c r="AB11" s="39">
        <f>AC29/100</f>
        <v>4.2</v>
      </c>
      <c r="AC11" s="39">
        <f>AC31</f>
        <v>15</v>
      </c>
      <c r="AD11" s="40">
        <f>AC54</f>
        <v>4.1720000000000006</v>
      </c>
      <c r="AE11" s="559">
        <f>AC57</f>
        <v>3.475425E-2</v>
      </c>
      <c r="AF11" s="560">
        <f>AC58</f>
        <v>1.1264400000000001E-2</v>
      </c>
      <c r="AG11" s="39"/>
      <c r="AH11" s="39">
        <v>0.2</v>
      </c>
      <c r="AI11" s="39"/>
      <c r="AJ11" s="39"/>
      <c r="AK11" s="39"/>
      <c r="AL11" s="39"/>
      <c r="AM11" s="39"/>
    </row>
    <row r="12" spans="2:39" s="556" customFormat="1">
      <c r="B12" s="39">
        <f>F20</f>
        <v>2050</v>
      </c>
      <c r="C12" s="39"/>
      <c r="D12" s="39">
        <f>F29/100</f>
        <v>3.95</v>
      </c>
      <c r="E12" s="39">
        <f>F31</f>
        <v>20</v>
      </c>
      <c r="F12" s="40">
        <f>F54</f>
        <v>8.94</v>
      </c>
      <c r="G12" s="559">
        <f>F57</f>
        <v>0.17785762965173399</v>
      </c>
      <c r="H12" s="560">
        <f>F58</f>
        <v>0</v>
      </c>
      <c r="I12" s="39"/>
      <c r="J12" s="39">
        <v>0.2</v>
      </c>
      <c r="K12" s="39"/>
      <c r="L12" s="39"/>
      <c r="M12" s="39"/>
      <c r="N12" s="39"/>
      <c r="O12" s="39"/>
      <c r="Z12" s="39">
        <f>AD20</f>
        <v>2050</v>
      </c>
      <c r="AA12" s="39"/>
      <c r="AB12" s="39">
        <f>AD29/100</f>
        <v>4.4000000000000004</v>
      </c>
      <c r="AC12" s="39">
        <f>AD31</f>
        <v>15</v>
      </c>
      <c r="AD12" s="40">
        <f>AD54</f>
        <v>3.7622500000000003</v>
      </c>
      <c r="AE12" s="559">
        <f>AD57</f>
        <v>4.4904874999999997E-2</v>
      </c>
      <c r="AF12" s="560">
        <f>AD58</f>
        <v>1.01916E-2</v>
      </c>
      <c r="AG12" s="39"/>
      <c r="AH12" s="39">
        <v>0.2</v>
      </c>
      <c r="AI12" s="39"/>
      <c r="AJ12" s="39"/>
      <c r="AK12" s="39"/>
      <c r="AL12" s="39"/>
      <c r="AM12" s="39"/>
    </row>
    <row r="13" spans="2:39" s="821" customFormat="1">
      <c r="B13" s="1266" t="s">
        <v>800</v>
      </c>
      <c r="C13" s="1267"/>
      <c r="D13" s="1267"/>
      <c r="E13" s="1267"/>
      <c r="F13" s="1267"/>
      <c r="G13" s="1267"/>
      <c r="H13" s="1267"/>
      <c r="I13" s="1267"/>
      <c r="J13" s="1267"/>
      <c r="K13" s="1267"/>
      <c r="L13" s="1267"/>
      <c r="M13" s="1267"/>
      <c r="N13" s="1267"/>
      <c r="O13" s="1268"/>
      <c r="Z13" s="1266" t="s">
        <v>821</v>
      </c>
      <c r="AA13" s="1267"/>
      <c r="AB13" s="1267"/>
      <c r="AC13" s="1267"/>
      <c r="AD13" s="1267"/>
      <c r="AE13" s="1267"/>
      <c r="AF13" s="1267"/>
      <c r="AG13" s="1267"/>
      <c r="AH13" s="1267"/>
      <c r="AI13" s="1267"/>
      <c r="AJ13" s="1267"/>
      <c r="AK13" s="1267"/>
      <c r="AL13" s="1267"/>
      <c r="AM13" s="1268"/>
    </row>
    <row r="14" spans="2:39" s="821" customFormat="1">
      <c r="B14" s="39">
        <f>C62</f>
        <v>2015</v>
      </c>
      <c r="C14" s="39">
        <f>B14</f>
        <v>2015</v>
      </c>
      <c r="D14" s="39">
        <f>(C68+C70)/2/100</f>
        <v>3.3250000000000002</v>
      </c>
      <c r="E14" s="39">
        <f>C73</f>
        <v>20</v>
      </c>
      <c r="F14" s="226">
        <f>C96</f>
        <v>22.35</v>
      </c>
      <c r="G14" s="226">
        <f>C99</f>
        <v>0.54198749999999996</v>
      </c>
      <c r="H14" s="226">
        <f>C100</f>
        <v>0</v>
      </c>
      <c r="I14" s="39"/>
      <c r="J14" s="39">
        <f>$J$4*C67/100</f>
        <v>0.2</v>
      </c>
      <c r="K14" s="39"/>
      <c r="L14" s="39"/>
      <c r="M14" s="39"/>
      <c r="N14" s="39"/>
      <c r="O14" s="39"/>
      <c r="Z14" s="39">
        <f>AA62</f>
        <v>2015</v>
      </c>
      <c r="AA14" s="39">
        <f>Z14</f>
        <v>2015</v>
      </c>
      <c r="AB14" s="39">
        <f>(AA68+AA70)/2/100</f>
        <v>4.9000000000000004</v>
      </c>
      <c r="AC14" s="39">
        <f>AA73</f>
        <v>15</v>
      </c>
      <c r="AD14" s="226">
        <f>AA96</f>
        <v>4.4234375000000004</v>
      </c>
      <c r="AE14" s="226">
        <f>AA99</f>
        <v>7.63625E-2</v>
      </c>
      <c r="AF14" s="226">
        <f>AA100</f>
        <v>1.341E-2</v>
      </c>
      <c r="AG14" s="39"/>
      <c r="AH14" s="39">
        <f>$J$4*AA67/100</f>
        <v>0.2</v>
      </c>
      <c r="AI14" s="39"/>
      <c r="AJ14" s="39"/>
      <c r="AK14" s="39"/>
      <c r="AL14" s="39"/>
      <c r="AM14" s="39"/>
    </row>
    <row r="15" spans="2:39" s="821" customFormat="1">
      <c r="B15" s="39">
        <f>D62</f>
        <v>2020</v>
      </c>
      <c r="C15" s="39"/>
      <c r="D15" s="39">
        <f>(D68+D70)/2/100</f>
        <v>3.4249999999999998</v>
      </c>
      <c r="E15" s="39">
        <f>D73</f>
        <v>20</v>
      </c>
      <c r="F15" s="226">
        <f>D96</f>
        <v>20.487500000000001</v>
      </c>
      <c r="G15" s="226">
        <f>D99</f>
        <v>0.51783490586254366</v>
      </c>
      <c r="H15" s="226">
        <f>D100</f>
        <v>0</v>
      </c>
      <c r="I15" s="39"/>
      <c r="J15" s="39">
        <f>$J$4*D67/100</f>
        <v>0.2</v>
      </c>
      <c r="K15" s="39"/>
      <c r="L15" s="39"/>
      <c r="M15" s="39"/>
      <c r="N15" s="39"/>
      <c r="O15" s="39"/>
      <c r="Z15" s="39">
        <f>AB62</f>
        <v>2020</v>
      </c>
      <c r="AA15" s="39"/>
      <c r="AB15" s="39">
        <f>(AB68+AB70)/2/100</f>
        <v>5</v>
      </c>
      <c r="AC15" s="39">
        <f>AB73</f>
        <v>15</v>
      </c>
      <c r="AD15" s="226">
        <f>AB96</f>
        <v>4.1440625000000004</v>
      </c>
      <c r="AE15" s="226">
        <f>AB99</f>
        <v>7.6828125000000011E-2</v>
      </c>
      <c r="AF15" s="226">
        <f>AB100</f>
        <v>1.2605399999999999E-2</v>
      </c>
      <c r="AG15" s="39"/>
      <c r="AH15" s="39">
        <f>$J$4*AB67/100</f>
        <v>0.2</v>
      </c>
      <c r="AI15" s="39"/>
      <c r="AJ15" s="39"/>
      <c r="AK15" s="39"/>
      <c r="AL15" s="39"/>
      <c r="AM15" s="39"/>
    </row>
    <row r="16" spans="2:39" s="821" customFormat="1">
      <c r="B16" s="39">
        <f>E62</f>
        <v>2030</v>
      </c>
      <c r="C16" s="39"/>
      <c r="D16" s="39">
        <f>(E68+E70)/2/100</f>
        <v>3.5249999999999999</v>
      </c>
      <c r="E16" s="39">
        <f>E73</f>
        <v>20</v>
      </c>
      <c r="F16" s="226">
        <f>E96</f>
        <v>18.625</v>
      </c>
      <c r="G16" s="226">
        <f>E99</f>
        <v>0.47515472537302883</v>
      </c>
      <c r="H16" s="226">
        <f>E100</f>
        <v>0</v>
      </c>
      <c r="I16" s="39"/>
      <c r="J16" s="39">
        <f>$J$4*E67/100</f>
        <v>0.2</v>
      </c>
      <c r="K16" s="39"/>
      <c r="L16" s="39"/>
      <c r="M16" s="39"/>
      <c r="N16" s="39"/>
      <c r="O16" s="39"/>
      <c r="Z16" s="39">
        <f>AC62</f>
        <v>2030</v>
      </c>
      <c r="AA16" s="39"/>
      <c r="AB16" s="39">
        <f>(AC68+AC70)/2/100</f>
        <v>5.0999999999999996</v>
      </c>
      <c r="AC16" s="39">
        <f>AC73</f>
        <v>15</v>
      </c>
      <c r="AD16" s="226">
        <f>AC96</f>
        <v>3.7250000000000001</v>
      </c>
      <c r="AE16" s="226">
        <f>AC99</f>
        <v>8.6885624999999994E-2</v>
      </c>
      <c r="AF16" s="226">
        <f>AC100</f>
        <v>1.1264400000000001E-2</v>
      </c>
      <c r="AG16" s="39"/>
      <c r="AH16" s="39">
        <f>$J$4*AC67/100</f>
        <v>0.2</v>
      </c>
      <c r="AI16" s="39"/>
      <c r="AJ16" s="39"/>
      <c r="AK16" s="39"/>
      <c r="AL16" s="39"/>
      <c r="AM16" s="39"/>
    </row>
    <row r="17" spans="1:39" s="821" customFormat="1">
      <c r="B17" s="39">
        <f>F62</f>
        <v>2050</v>
      </c>
      <c r="C17" s="39"/>
      <c r="D17" s="39">
        <f>(F68+F70)/2/100</f>
        <v>3.6749999999999998</v>
      </c>
      <c r="E17" s="39">
        <f>F73</f>
        <v>20</v>
      </c>
      <c r="F17" s="226">
        <f>F96</f>
        <v>16.762499999999999</v>
      </c>
      <c r="G17" s="226">
        <f>F99</f>
        <v>0.44464407412933504</v>
      </c>
      <c r="H17" s="226">
        <f>F100</f>
        <v>0</v>
      </c>
      <c r="I17" s="39"/>
      <c r="J17" s="39">
        <f>$J$4*F67/100</f>
        <v>0.2</v>
      </c>
      <c r="K17" s="39"/>
      <c r="L17" s="39"/>
      <c r="M17" s="39"/>
      <c r="N17" s="39"/>
      <c r="O17" s="39"/>
      <c r="Z17" s="39">
        <f>AD62</f>
        <v>2050</v>
      </c>
      <c r="AA17" s="39"/>
      <c r="AB17" s="39">
        <f>(AD68+AD70)/2/100</f>
        <v>5.3</v>
      </c>
      <c r="AC17" s="39">
        <f>AD73</f>
        <v>15</v>
      </c>
      <c r="AD17" s="226">
        <f>AD96</f>
        <v>3.3525</v>
      </c>
      <c r="AE17" s="226">
        <f>AD99</f>
        <v>0.1122621875</v>
      </c>
      <c r="AF17" s="226">
        <f>AD100</f>
        <v>1.01916E-2</v>
      </c>
      <c r="AG17" s="39"/>
      <c r="AH17" s="39">
        <f>$J$4*AD67/100</f>
        <v>0.2</v>
      </c>
      <c r="AI17" s="39"/>
      <c r="AJ17" s="39"/>
      <c r="AK17" s="39"/>
      <c r="AL17" s="39"/>
      <c r="AM17" s="39"/>
    </row>
    <row r="18" spans="1:39" s="556" customFormat="1" ht="16" thickBot="1">
      <c r="B18" s="826"/>
      <c r="C18" s="826"/>
      <c r="D18" s="826"/>
      <c r="E18" s="826"/>
      <c r="F18" s="826"/>
      <c r="G18" s="826"/>
      <c r="H18" s="826"/>
      <c r="I18" s="826"/>
      <c r="J18" s="826"/>
      <c r="K18" s="826"/>
      <c r="L18" s="826"/>
      <c r="M18" s="826"/>
      <c r="N18" s="826"/>
      <c r="O18" s="826"/>
      <c r="Z18" s="826"/>
      <c r="AA18" s="826"/>
      <c r="AB18" s="826"/>
      <c r="AC18" s="826"/>
      <c r="AD18" s="826"/>
      <c r="AE18" s="826"/>
      <c r="AF18" s="826"/>
      <c r="AG18" s="826"/>
      <c r="AH18" s="826"/>
      <c r="AI18" s="826"/>
      <c r="AJ18" s="826"/>
      <c r="AK18" s="826"/>
      <c r="AL18" s="826"/>
      <c r="AM18" s="826"/>
    </row>
    <row r="19" spans="1:39" ht="23.25" customHeight="1" thickBot="1">
      <c r="A19" s="439"/>
      <c r="B19" s="1120" t="s">
        <v>0</v>
      </c>
      <c r="C19" s="1249" t="s">
        <v>570</v>
      </c>
      <c r="D19" s="1250"/>
      <c r="E19" s="1250"/>
      <c r="F19" s="1250"/>
      <c r="G19" s="1250"/>
      <c r="H19" s="1250"/>
      <c r="I19" s="1250"/>
      <c r="J19" s="1250"/>
      <c r="K19" s="1250"/>
      <c r="L19" s="1251"/>
      <c r="M19" s="439"/>
      <c r="N19" s="439"/>
      <c r="O19" s="439"/>
      <c r="P19" s="439"/>
      <c r="Q19" s="439"/>
      <c r="R19" s="439"/>
      <c r="S19" s="439"/>
      <c r="T19" s="439"/>
      <c r="U19" s="439"/>
      <c r="V19" s="562"/>
      <c r="W19" s="562"/>
      <c r="X19" s="562"/>
      <c r="Y19" s="562"/>
      <c r="Z19" s="739" t="s">
        <v>0</v>
      </c>
      <c r="AA19" s="1249" t="s">
        <v>819</v>
      </c>
      <c r="AB19" s="1250"/>
      <c r="AC19" s="1250"/>
      <c r="AD19" s="1250"/>
      <c r="AE19" s="1250"/>
      <c r="AF19" s="1250"/>
      <c r="AG19" s="1250"/>
      <c r="AH19" s="1250"/>
      <c r="AI19" s="1250"/>
      <c r="AJ19" s="1251"/>
      <c r="AK19" s="826"/>
      <c r="AL19" s="826"/>
      <c r="AM19" s="826"/>
    </row>
    <row r="20" spans="1:39" ht="15.75" customHeight="1" thickBot="1">
      <c r="A20" s="439"/>
      <c r="B20" s="1121"/>
      <c r="C20" s="1255">
        <v>2015</v>
      </c>
      <c r="D20" s="1256">
        <v>2020</v>
      </c>
      <c r="E20" s="1256">
        <v>2030</v>
      </c>
      <c r="F20" s="1252">
        <v>2050</v>
      </c>
      <c r="G20" s="1254" t="s">
        <v>467</v>
      </c>
      <c r="H20" s="1252"/>
      <c r="I20" s="1255" t="s">
        <v>468</v>
      </c>
      <c r="J20" s="1252"/>
      <c r="K20" s="1256" t="s">
        <v>2</v>
      </c>
      <c r="L20" s="1256" t="s">
        <v>3</v>
      </c>
      <c r="M20" s="439"/>
      <c r="N20" s="439"/>
      <c r="O20" s="439"/>
      <c r="P20" s="439"/>
      <c r="Q20" s="439"/>
      <c r="R20" s="439"/>
      <c r="S20" s="439"/>
      <c r="T20" s="439"/>
      <c r="U20" s="439"/>
      <c r="V20" s="562"/>
      <c r="W20" s="562"/>
      <c r="X20" s="562"/>
      <c r="Y20" s="562"/>
      <c r="Z20" s="564"/>
      <c r="AA20" s="1255">
        <v>2015</v>
      </c>
      <c r="AB20" s="1256">
        <v>2020</v>
      </c>
      <c r="AC20" s="1256">
        <v>2030</v>
      </c>
      <c r="AD20" s="1252">
        <v>2050</v>
      </c>
      <c r="AE20" s="1254" t="s">
        <v>467</v>
      </c>
      <c r="AF20" s="1252"/>
      <c r="AG20" s="1255" t="s">
        <v>468</v>
      </c>
      <c r="AH20" s="1252"/>
      <c r="AI20" s="1256" t="s">
        <v>2</v>
      </c>
      <c r="AJ20" s="1256" t="s">
        <v>3</v>
      </c>
      <c r="AK20" s="826"/>
      <c r="AL20" s="826"/>
      <c r="AM20" s="826"/>
    </row>
    <row r="21" spans="1:39" ht="16" thickBot="1">
      <c r="A21" s="439"/>
      <c r="B21" s="1122" t="s">
        <v>4</v>
      </c>
      <c r="C21" s="1259"/>
      <c r="D21" s="1257"/>
      <c r="E21" s="1257"/>
      <c r="F21" s="1253"/>
      <c r="G21" s="1123" t="s">
        <v>469</v>
      </c>
      <c r="H21" s="1124" t="s">
        <v>470</v>
      </c>
      <c r="I21" s="1124" t="s">
        <v>469</v>
      </c>
      <c r="J21" s="1125" t="s">
        <v>470</v>
      </c>
      <c r="K21" s="1257"/>
      <c r="L21" s="1257"/>
      <c r="M21" s="439"/>
      <c r="N21" s="439"/>
      <c r="O21" s="439"/>
      <c r="P21" s="439"/>
      <c r="Q21" s="439"/>
      <c r="R21" s="439"/>
      <c r="S21" s="439"/>
      <c r="T21" s="439"/>
      <c r="U21" s="439"/>
      <c r="V21" s="562"/>
      <c r="W21" s="562"/>
      <c r="X21" s="562"/>
      <c r="Y21" s="562"/>
      <c r="Z21" s="766" t="s">
        <v>4</v>
      </c>
      <c r="AA21" s="1259"/>
      <c r="AB21" s="1257"/>
      <c r="AC21" s="1257"/>
      <c r="AD21" s="1253"/>
      <c r="AE21" s="741" t="s">
        <v>469</v>
      </c>
      <c r="AF21" s="742" t="s">
        <v>470</v>
      </c>
      <c r="AG21" s="742" t="s">
        <v>469</v>
      </c>
      <c r="AH21" s="743" t="s">
        <v>470</v>
      </c>
      <c r="AI21" s="1257"/>
      <c r="AJ21" s="1257"/>
      <c r="AK21" s="826"/>
      <c r="AL21" s="826"/>
      <c r="AM21" s="826"/>
    </row>
    <row r="22" spans="1:39" ht="16" thickBot="1">
      <c r="A22" s="439"/>
      <c r="B22" s="1126" t="s">
        <v>5</v>
      </c>
      <c r="C22" s="1133">
        <v>10</v>
      </c>
      <c r="D22" s="1133">
        <v>10</v>
      </c>
      <c r="E22" s="1133">
        <v>10</v>
      </c>
      <c r="F22" s="1133">
        <v>10</v>
      </c>
      <c r="G22" s="1119">
        <v>5</v>
      </c>
      <c r="H22" s="1119">
        <v>15</v>
      </c>
      <c r="I22" s="1119">
        <v>5</v>
      </c>
      <c r="J22" s="1119">
        <v>15</v>
      </c>
      <c r="K22" s="1119"/>
      <c r="L22" s="1119" t="s">
        <v>571</v>
      </c>
      <c r="M22" s="439"/>
      <c r="N22" s="439"/>
      <c r="O22" s="439"/>
      <c r="P22" s="439"/>
      <c r="Q22" s="439"/>
      <c r="R22" s="439"/>
      <c r="S22" s="439"/>
      <c r="T22" s="439"/>
      <c r="U22" s="439"/>
      <c r="V22" s="562"/>
      <c r="W22" s="562"/>
      <c r="X22" s="562"/>
      <c r="Y22" s="562"/>
      <c r="Z22" s="744" t="s">
        <v>5</v>
      </c>
      <c r="AA22" s="771">
        <v>400</v>
      </c>
      <c r="AB22" s="771">
        <v>400</v>
      </c>
      <c r="AC22" s="771">
        <v>400</v>
      </c>
      <c r="AD22" s="771">
        <v>400</v>
      </c>
      <c r="AE22" s="854">
        <v>300</v>
      </c>
      <c r="AF22" s="854">
        <v>500</v>
      </c>
      <c r="AG22" s="854">
        <v>300</v>
      </c>
      <c r="AH22" s="854">
        <v>500</v>
      </c>
      <c r="AI22" s="854"/>
      <c r="AJ22" s="854">
        <v>5.6</v>
      </c>
      <c r="AK22" s="826"/>
      <c r="AL22" s="826"/>
      <c r="AM22" s="826"/>
    </row>
    <row r="23" spans="1:39" ht="16" thickBot="1">
      <c r="A23" s="439"/>
      <c r="B23" s="1126" t="s">
        <v>77</v>
      </c>
      <c r="C23" s="1119">
        <v>0</v>
      </c>
      <c r="D23" s="1119">
        <v>0</v>
      </c>
      <c r="E23" s="1119">
        <v>0</v>
      </c>
      <c r="F23" s="1119">
        <v>0</v>
      </c>
      <c r="G23" s="1119">
        <v>0</v>
      </c>
      <c r="H23" s="1119">
        <v>0</v>
      </c>
      <c r="I23" s="1119">
        <v>0</v>
      </c>
      <c r="J23" s="1119">
        <v>0</v>
      </c>
      <c r="K23" s="1119"/>
      <c r="L23" s="1119"/>
      <c r="M23" s="439"/>
      <c r="N23" s="439"/>
      <c r="O23" s="439"/>
      <c r="P23" s="439"/>
      <c r="Q23" s="439"/>
      <c r="R23" s="439"/>
      <c r="S23" s="439"/>
      <c r="T23" s="439"/>
      <c r="U23" s="439"/>
      <c r="V23" s="562"/>
      <c r="W23" s="562"/>
      <c r="X23" s="562"/>
      <c r="Y23" s="562"/>
      <c r="Z23" s="744" t="s">
        <v>77</v>
      </c>
      <c r="AA23" s="854">
        <v>0</v>
      </c>
      <c r="AB23" s="854">
        <v>0</v>
      </c>
      <c r="AC23" s="854">
        <v>0</v>
      </c>
      <c r="AD23" s="854">
        <v>0</v>
      </c>
      <c r="AE23" s="854">
        <v>0</v>
      </c>
      <c r="AF23" s="854">
        <v>0</v>
      </c>
      <c r="AG23" s="854">
        <v>0</v>
      </c>
      <c r="AH23" s="854">
        <v>0</v>
      </c>
      <c r="AI23" s="854"/>
      <c r="AJ23" s="854"/>
      <c r="AK23" s="826"/>
      <c r="AL23" s="826"/>
      <c r="AM23" s="826"/>
    </row>
    <row r="24" spans="1:39" ht="25" thickBot="1">
      <c r="A24" s="439"/>
      <c r="B24" s="1126" t="s">
        <v>7</v>
      </c>
      <c r="C24" s="1119">
        <v>100</v>
      </c>
      <c r="D24" s="1119">
        <v>100</v>
      </c>
      <c r="E24" s="1119">
        <v>100</v>
      </c>
      <c r="F24" s="1119">
        <v>100</v>
      </c>
      <c r="G24" s="1119">
        <v>80</v>
      </c>
      <c r="H24" s="1119">
        <v>100</v>
      </c>
      <c r="I24" s="1119">
        <v>80</v>
      </c>
      <c r="J24" s="1119">
        <v>100</v>
      </c>
      <c r="K24" s="1119" t="s">
        <v>23</v>
      </c>
      <c r="L24" s="1119" t="s">
        <v>572</v>
      </c>
      <c r="M24" s="439"/>
      <c r="N24" s="439"/>
      <c r="O24" s="439"/>
      <c r="P24" s="439"/>
      <c r="Q24" s="439"/>
      <c r="R24" s="439"/>
      <c r="S24" s="439"/>
      <c r="T24" s="439"/>
      <c r="U24" s="439"/>
      <c r="V24" s="562"/>
      <c r="W24" s="562"/>
      <c r="X24" s="562"/>
      <c r="Y24" s="562"/>
      <c r="Z24" s="744" t="s">
        <v>7</v>
      </c>
      <c r="AA24" s="854">
        <v>100</v>
      </c>
      <c r="AB24" s="854">
        <v>100</v>
      </c>
      <c r="AC24" s="854">
        <v>100</v>
      </c>
      <c r="AD24" s="854">
        <v>100</v>
      </c>
      <c r="AE24" s="854">
        <v>70</v>
      </c>
      <c r="AF24" s="854">
        <v>100</v>
      </c>
      <c r="AG24" s="854">
        <v>70</v>
      </c>
      <c r="AH24" s="854">
        <v>100</v>
      </c>
      <c r="AI24" s="854" t="s">
        <v>23</v>
      </c>
      <c r="AJ24" s="854"/>
      <c r="AK24" s="826"/>
      <c r="AL24" s="826"/>
      <c r="AM24" s="826"/>
    </row>
    <row r="25" spans="1:39" ht="25" thickBot="1">
      <c r="A25" s="439"/>
      <c r="B25" s="1126" t="s">
        <v>8</v>
      </c>
      <c r="C25" s="1119">
        <v>100</v>
      </c>
      <c r="D25" s="1119">
        <v>100</v>
      </c>
      <c r="E25" s="1119">
        <v>100</v>
      </c>
      <c r="F25" s="1119">
        <v>100</v>
      </c>
      <c r="G25" s="1119">
        <v>80</v>
      </c>
      <c r="H25" s="1119">
        <v>100</v>
      </c>
      <c r="I25" s="1119">
        <v>80</v>
      </c>
      <c r="J25" s="1119">
        <v>100</v>
      </c>
      <c r="K25" s="1119" t="s">
        <v>23</v>
      </c>
      <c r="L25" s="1119">
        <v>1.2</v>
      </c>
      <c r="M25" s="439"/>
      <c r="N25" s="439"/>
      <c r="O25" s="439"/>
      <c r="P25" s="439"/>
      <c r="Q25" s="439"/>
      <c r="R25" s="439"/>
      <c r="S25" s="439"/>
      <c r="T25" s="439"/>
      <c r="U25" s="439"/>
      <c r="V25" s="562"/>
      <c r="W25" s="562"/>
      <c r="X25" s="562"/>
      <c r="Y25" s="562"/>
      <c r="Z25" s="744" t="s">
        <v>8</v>
      </c>
      <c r="AA25" s="854">
        <v>100</v>
      </c>
      <c r="AB25" s="854">
        <v>100</v>
      </c>
      <c r="AC25" s="854">
        <v>100</v>
      </c>
      <c r="AD25" s="854">
        <v>100</v>
      </c>
      <c r="AE25" s="854">
        <v>70</v>
      </c>
      <c r="AF25" s="854">
        <v>100</v>
      </c>
      <c r="AG25" s="854">
        <v>70</v>
      </c>
      <c r="AH25" s="854">
        <v>100</v>
      </c>
      <c r="AI25" s="854" t="s">
        <v>23</v>
      </c>
      <c r="AJ25" s="854"/>
      <c r="AK25" s="826"/>
      <c r="AL25" s="826"/>
      <c r="AM25" s="826"/>
    </row>
    <row r="26" spans="1:39" ht="25" thickBot="1">
      <c r="A26" s="439"/>
      <c r="B26" s="1126" t="s">
        <v>573</v>
      </c>
      <c r="C26" s="1119">
        <v>440</v>
      </c>
      <c r="D26" s="1119">
        <v>450</v>
      </c>
      <c r="E26" s="1119">
        <v>460</v>
      </c>
      <c r="F26" s="1119">
        <v>485</v>
      </c>
      <c r="G26" s="1119">
        <v>420</v>
      </c>
      <c r="H26" s="1119">
        <v>480</v>
      </c>
      <c r="I26" s="1119">
        <v>420</v>
      </c>
      <c r="J26" s="1119">
        <v>500</v>
      </c>
      <c r="K26" s="1119" t="s">
        <v>498</v>
      </c>
      <c r="L26" s="1119" t="s">
        <v>574</v>
      </c>
      <c r="M26" s="439"/>
      <c r="N26" s="439"/>
      <c r="O26" s="439"/>
      <c r="P26" s="439"/>
      <c r="Q26" s="439"/>
      <c r="R26" s="439"/>
      <c r="S26" s="439"/>
      <c r="T26" s="439"/>
      <c r="U26" s="439"/>
      <c r="V26" s="562"/>
      <c r="W26" s="562"/>
      <c r="X26" s="562"/>
      <c r="Y26" s="562"/>
      <c r="Z26" s="744" t="s">
        <v>573</v>
      </c>
      <c r="AA26" s="854">
        <v>470</v>
      </c>
      <c r="AB26" s="854">
        <v>480</v>
      </c>
      <c r="AC26" s="854">
        <v>490</v>
      </c>
      <c r="AD26" s="854">
        <v>510</v>
      </c>
      <c r="AE26" s="854">
        <v>470</v>
      </c>
      <c r="AF26" s="854">
        <v>500</v>
      </c>
      <c r="AG26" s="854">
        <v>470</v>
      </c>
      <c r="AH26" s="854">
        <v>550</v>
      </c>
      <c r="AI26" s="854" t="s">
        <v>498</v>
      </c>
      <c r="AJ26" s="854" t="s">
        <v>598</v>
      </c>
      <c r="AK26" s="826"/>
      <c r="AL26" s="826"/>
      <c r="AM26" s="826"/>
    </row>
    <row r="27" spans="1:39" ht="25" thickBot="1">
      <c r="A27" s="439"/>
      <c r="B27" s="1126" t="s">
        <v>575</v>
      </c>
      <c r="C27" s="1119">
        <v>430</v>
      </c>
      <c r="D27" s="1119">
        <v>440</v>
      </c>
      <c r="E27" s="1119">
        <v>450</v>
      </c>
      <c r="F27" s="1119">
        <v>475</v>
      </c>
      <c r="G27" s="1119">
        <v>410</v>
      </c>
      <c r="H27" s="1119">
        <v>460</v>
      </c>
      <c r="I27" s="1119">
        <v>410</v>
      </c>
      <c r="J27" s="1119">
        <v>480</v>
      </c>
      <c r="K27" s="1119" t="s">
        <v>481</v>
      </c>
      <c r="L27" s="1119" t="s">
        <v>574</v>
      </c>
      <c r="M27" s="439"/>
      <c r="N27" s="439"/>
      <c r="O27" s="439"/>
      <c r="P27" s="439"/>
      <c r="Q27" s="439"/>
      <c r="R27" s="439"/>
      <c r="S27" s="439"/>
      <c r="T27" s="439"/>
      <c r="U27" s="439"/>
      <c r="V27" s="562"/>
      <c r="W27" s="562"/>
      <c r="X27" s="562"/>
      <c r="Y27" s="562"/>
      <c r="Z27" s="744" t="s">
        <v>575</v>
      </c>
      <c r="AA27" s="854">
        <v>450</v>
      </c>
      <c r="AB27" s="854">
        <v>460</v>
      </c>
      <c r="AC27" s="854">
        <v>470</v>
      </c>
      <c r="AD27" s="854">
        <v>490</v>
      </c>
      <c r="AE27" s="854">
        <v>450</v>
      </c>
      <c r="AF27" s="854">
        <v>480</v>
      </c>
      <c r="AG27" s="854">
        <v>450</v>
      </c>
      <c r="AH27" s="854">
        <v>530</v>
      </c>
      <c r="AI27" s="854" t="s">
        <v>481</v>
      </c>
      <c r="AJ27" s="854" t="s">
        <v>599</v>
      </c>
      <c r="AK27" s="826"/>
      <c r="AL27" s="826"/>
      <c r="AM27" s="826"/>
    </row>
    <row r="28" spans="1:39" ht="25" thickBot="1">
      <c r="A28" s="439"/>
      <c r="B28" s="1126" t="s">
        <v>576</v>
      </c>
      <c r="C28" s="1119">
        <v>370</v>
      </c>
      <c r="D28" s="1119">
        <v>380</v>
      </c>
      <c r="E28" s="1119">
        <v>390</v>
      </c>
      <c r="F28" s="1119">
        <v>405</v>
      </c>
      <c r="G28" s="1119">
        <v>360</v>
      </c>
      <c r="H28" s="1119">
        <v>400</v>
      </c>
      <c r="I28" s="1119">
        <v>360</v>
      </c>
      <c r="J28" s="1119">
        <v>420</v>
      </c>
      <c r="K28" s="1119" t="s">
        <v>498</v>
      </c>
      <c r="L28" s="1119" t="s">
        <v>574</v>
      </c>
      <c r="M28" s="439"/>
      <c r="N28" s="439"/>
      <c r="O28" s="439"/>
      <c r="P28" s="439"/>
      <c r="Q28" s="439"/>
      <c r="R28" s="439"/>
      <c r="S28" s="439"/>
      <c r="T28" s="439"/>
      <c r="U28" s="439"/>
      <c r="V28" s="562"/>
      <c r="W28" s="562"/>
      <c r="X28" s="562"/>
      <c r="Y28" s="562"/>
      <c r="Z28" s="744" t="s">
        <v>576</v>
      </c>
      <c r="AA28" s="854">
        <v>420</v>
      </c>
      <c r="AB28" s="854">
        <v>430</v>
      </c>
      <c r="AC28" s="854">
        <v>440</v>
      </c>
      <c r="AD28" s="854">
        <v>460</v>
      </c>
      <c r="AE28" s="854">
        <v>420</v>
      </c>
      <c r="AF28" s="854">
        <v>450</v>
      </c>
      <c r="AG28" s="854">
        <v>420</v>
      </c>
      <c r="AH28" s="854">
        <v>500</v>
      </c>
      <c r="AI28" s="854" t="s">
        <v>498</v>
      </c>
      <c r="AJ28" s="854" t="s">
        <v>598</v>
      </c>
      <c r="AK28" s="826"/>
      <c r="AL28" s="826"/>
      <c r="AM28" s="826"/>
    </row>
    <row r="29" spans="1:39" ht="25" thickBot="1">
      <c r="A29" s="439"/>
      <c r="B29" s="1126" t="s">
        <v>577</v>
      </c>
      <c r="C29" s="1119">
        <v>360</v>
      </c>
      <c r="D29" s="1119">
        <v>370</v>
      </c>
      <c r="E29" s="1119">
        <v>380</v>
      </c>
      <c r="F29" s="1119">
        <v>395</v>
      </c>
      <c r="G29" s="1119">
        <v>350</v>
      </c>
      <c r="H29" s="1119">
        <v>380</v>
      </c>
      <c r="I29" s="1119">
        <v>350</v>
      </c>
      <c r="J29" s="1119">
        <v>405</v>
      </c>
      <c r="K29" s="1119" t="s">
        <v>481</v>
      </c>
      <c r="L29" s="1119" t="s">
        <v>574</v>
      </c>
      <c r="M29" s="439"/>
      <c r="N29" s="439"/>
      <c r="O29" s="439"/>
      <c r="P29" s="439"/>
      <c r="Q29" s="439"/>
      <c r="R29" s="439"/>
      <c r="S29" s="439"/>
      <c r="T29" s="439"/>
      <c r="U29" s="439"/>
      <c r="V29" s="562"/>
      <c r="W29" s="562"/>
      <c r="X29" s="562"/>
      <c r="Y29" s="562"/>
      <c r="Z29" s="744" t="s">
        <v>577</v>
      </c>
      <c r="AA29" s="854">
        <v>400</v>
      </c>
      <c r="AB29" s="854">
        <v>410</v>
      </c>
      <c r="AC29" s="854">
        <v>420</v>
      </c>
      <c r="AD29" s="568">
        <v>440</v>
      </c>
      <c r="AE29" s="854">
        <v>400</v>
      </c>
      <c r="AF29" s="854">
        <v>430</v>
      </c>
      <c r="AG29" s="854">
        <v>400</v>
      </c>
      <c r="AH29" s="854">
        <v>480</v>
      </c>
      <c r="AI29" s="854" t="s">
        <v>481</v>
      </c>
      <c r="AJ29" s="854" t="s">
        <v>599</v>
      </c>
      <c r="AK29" s="826"/>
      <c r="AL29" s="826"/>
      <c r="AM29" s="826"/>
    </row>
    <row r="30" spans="1:39" ht="16" thickBot="1">
      <c r="A30" s="439"/>
      <c r="B30" s="1126" t="s">
        <v>472</v>
      </c>
      <c r="C30" s="1119">
        <v>100</v>
      </c>
      <c r="D30" s="1119">
        <v>100</v>
      </c>
      <c r="E30" s="1119">
        <v>100</v>
      </c>
      <c r="F30" s="1119">
        <v>100</v>
      </c>
      <c r="G30" s="1119">
        <v>80</v>
      </c>
      <c r="H30" s="1119">
        <v>120</v>
      </c>
      <c r="I30" s="1119">
        <v>80</v>
      </c>
      <c r="J30" s="1119">
        <v>120</v>
      </c>
      <c r="K30" s="1119" t="s">
        <v>279</v>
      </c>
      <c r="L30" s="1119">
        <v>4</v>
      </c>
      <c r="M30" s="439"/>
      <c r="N30" s="439"/>
      <c r="O30" s="439"/>
      <c r="P30" s="439"/>
      <c r="Q30" s="439"/>
      <c r="R30" s="439"/>
      <c r="S30" s="439"/>
      <c r="T30" s="439"/>
      <c r="U30" s="439"/>
      <c r="V30" s="562"/>
      <c r="W30" s="562"/>
      <c r="X30" s="562"/>
      <c r="Y30" s="562"/>
      <c r="Z30" s="744" t="s">
        <v>472</v>
      </c>
      <c r="AA30" s="854">
        <v>10000</v>
      </c>
      <c r="AB30" s="854">
        <v>10000</v>
      </c>
      <c r="AC30" s="854">
        <v>10000</v>
      </c>
      <c r="AD30" s="854">
        <v>10000</v>
      </c>
      <c r="AE30" s="854">
        <v>8000</v>
      </c>
      <c r="AF30" s="854">
        <v>12000</v>
      </c>
      <c r="AG30" s="854">
        <v>8000</v>
      </c>
      <c r="AH30" s="854">
        <v>12000</v>
      </c>
      <c r="AI30" s="854" t="s">
        <v>279</v>
      </c>
      <c r="AJ30" s="854">
        <v>4.7</v>
      </c>
      <c r="AK30" s="826"/>
      <c r="AL30" s="826"/>
      <c r="AM30" s="826"/>
    </row>
    <row r="31" spans="1:39" ht="16" thickBot="1">
      <c r="A31" s="439"/>
      <c r="B31" s="1126" t="s">
        <v>10</v>
      </c>
      <c r="C31" s="1119">
        <v>20</v>
      </c>
      <c r="D31" s="1119">
        <v>20</v>
      </c>
      <c r="E31" s="1119">
        <v>20</v>
      </c>
      <c r="F31" s="1119">
        <v>20</v>
      </c>
      <c r="G31" s="1119">
        <v>15</v>
      </c>
      <c r="H31" s="1119">
        <v>25</v>
      </c>
      <c r="I31" s="1119">
        <v>15</v>
      </c>
      <c r="J31" s="1119">
        <v>25</v>
      </c>
      <c r="K31" s="1119"/>
      <c r="L31" s="1119" t="s">
        <v>572</v>
      </c>
      <c r="M31" s="439"/>
      <c r="N31" s="439"/>
      <c r="O31" s="439"/>
      <c r="P31" s="439"/>
      <c r="Q31" s="439"/>
      <c r="R31" s="439"/>
      <c r="S31" s="439"/>
      <c r="T31" s="439"/>
      <c r="U31" s="439"/>
      <c r="V31" s="562"/>
      <c r="W31" s="562"/>
      <c r="X31" s="562"/>
      <c r="Y31" s="562"/>
      <c r="Z31" s="744" t="s">
        <v>10</v>
      </c>
      <c r="AA31" s="854">
        <v>15</v>
      </c>
      <c r="AB31" s="854">
        <v>15</v>
      </c>
      <c r="AC31" s="854">
        <v>15</v>
      </c>
      <c r="AD31" s="854">
        <v>15</v>
      </c>
      <c r="AE31" s="854">
        <v>12</v>
      </c>
      <c r="AF31" s="854">
        <v>20</v>
      </c>
      <c r="AG31" s="854">
        <v>12</v>
      </c>
      <c r="AH31" s="854">
        <v>20</v>
      </c>
      <c r="AI31" s="854"/>
      <c r="AJ31" s="854">
        <v>7.12</v>
      </c>
      <c r="AK31" s="826"/>
      <c r="AL31" s="826"/>
      <c r="AM31" s="826"/>
    </row>
    <row r="32" spans="1:39" ht="16" thickBot="1">
      <c r="A32" s="439"/>
      <c r="B32" s="1122" t="s">
        <v>488</v>
      </c>
      <c r="C32" s="1127"/>
      <c r="D32" s="1127"/>
      <c r="E32" s="1127"/>
      <c r="F32" s="1127"/>
      <c r="G32" s="1127"/>
      <c r="H32" s="1127"/>
      <c r="I32" s="1127"/>
      <c r="J32" s="1127"/>
      <c r="K32" s="1127"/>
      <c r="L32" s="1119"/>
      <c r="M32" s="439"/>
      <c r="N32" s="439"/>
      <c r="O32" s="439"/>
      <c r="P32" s="439"/>
      <c r="Q32" s="439"/>
      <c r="R32" s="439"/>
      <c r="S32" s="439"/>
      <c r="T32" s="439"/>
      <c r="U32" s="439"/>
      <c r="V32" s="562"/>
      <c r="W32" s="562"/>
      <c r="X32" s="562"/>
      <c r="Y32" s="562"/>
      <c r="Z32" s="766" t="s">
        <v>488</v>
      </c>
      <c r="AA32" s="857"/>
      <c r="AB32" s="857"/>
      <c r="AC32" s="857"/>
      <c r="AD32" s="857"/>
      <c r="AE32" s="857"/>
      <c r="AF32" s="857"/>
      <c r="AG32" s="857"/>
      <c r="AH32" s="857"/>
      <c r="AI32" s="857"/>
      <c r="AJ32" s="854"/>
      <c r="AK32" s="826"/>
      <c r="AL32" s="826"/>
      <c r="AM32" s="826"/>
    </row>
    <row r="33" spans="1:39" ht="16" thickBot="1">
      <c r="A33" s="439"/>
      <c r="B33" s="1126" t="s">
        <v>578</v>
      </c>
      <c r="C33" s="1128">
        <v>100</v>
      </c>
      <c r="D33" s="1128">
        <v>100</v>
      </c>
      <c r="E33" s="1128">
        <v>100</v>
      </c>
      <c r="F33" s="1128">
        <v>100</v>
      </c>
      <c r="G33" s="1128">
        <v>50</v>
      </c>
      <c r="H33" s="1128">
        <v>100</v>
      </c>
      <c r="I33" s="1128">
        <v>50</v>
      </c>
      <c r="J33" s="1128">
        <v>100</v>
      </c>
      <c r="K33" s="1128"/>
      <c r="L33" s="1119" t="s">
        <v>572</v>
      </c>
      <c r="M33" s="439"/>
      <c r="N33" s="439"/>
      <c r="O33" s="439"/>
      <c r="P33" s="439"/>
      <c r="Q33" s="439"/>
      <c r="R33" s="439"/>
      <c r="S33" s="439"/>
      <c r="T33" s="439"/>
      <c r="U33" s="439"/>
      <c r="V33" s="562"/>
      <c r="W33" s="562"/>
      <c r="X33" s="562"/>
      <c r="Y33" s="562"/>
      <c r="Z33" s="744" t="s">
        <v>578</v>
      </c>
      <c r="AA33" s="746">
        <v>50</v>
      </c>
      <c r="AB33" s="746">
        <v>50</v>
      </c>
      <c r="AC33" s="746">
        <v>50</v>
      </c>
      <c r="AD33" s="746">
        <v>50</v>
      </c>
      <c r="AE33" s="746">
        <v>10</v>
      </c>
      <c r="AF33" s="746">
        <v>100</v>
      </c>
      <c r="AG33" s="746">
        <v>10</v>
      </c>
      <c r="AH33" s="746">
        <v>100</v>
      </c>
      <c r="AI33" s="746"/>
      <c r="AJ33" s="854">
        <v>7.11</v>
      </c>
      <c r="AK33" s="826"/>
      <c r="AL33" s="826"/>
      <c r="AM33" s="826"/>
    </row>
    <row r="34" spans="1:39" ht="16" thickBot="1">
      <c r="A34" s="439"/>
      <c r="B34" s="1126" t="s">
        <v>492</v>
      </c>
      <c r="C34" s="1128">
        <v>0</v>
      </c>
      <c r="D34" s="1128">
        <v>0</v>
      </c>
      <c r="E34" s="1128">
        <v>0</v>
      </c>
      <c r="F34" s="1128">
        <v>0</v>
      </c>
      <c r="G34" s="1128">
        <v>0</v>
      </c>
      <c r="H34" s="1128">
        <v>0</v>
      </c>
      <c r="I34" s="1128">
        <v>0</v>
      </c>
      <c r="J34" s="1128">
        <v>0</v>
      </c>
      <c r="K34" s="1128"/>
      <c r="L34" s="1119" t="s">
        <v>572</v>
      </c>
      <c r="M34" s="562"/>
      <c r="N34" s="439"/>
      <c r="O34" s="439"/>
      <c r="P34" s="439"/>
      <c r="Q34" s="439"/>
      <c r="R34" s="439"/>
      <c r="S34" s="439"/>
      <c r="T34" s="439"/>
      <c r="U34" s="439"/>
      <c r="V34" s="562"/>
      <c r="W34" s="562"/>
      <c r="X34" s="562"/>
      <c r="Y34" s="562"/>
      <c r="Z34" s="744" t="s">
        <v>492</v>
      </c>
      <c r="AA34" s="746">
        <v>0</v>
      </c>
      <c r="AB34" s="746">
        <v>0</v>
      </c>
      <c r="AC34" s="746">
        <v>0</v>
      </c>
      <c r="AD34" s="746">
        <v>0</v>
      </c>
      <c r="AE34" s="746">
        <v>0</v>
      </c>
      <c r="AF34" s="746">
        <v>0</v>
      </c>
      <c r="AG34" s="746">
        <v>0</v>
      </c>
      <c r="AH34" s="746">
        <v>0</v>
      </c>
      <c r="AI34" s="746"/>
      <c r="AJ34" s="854">
        <v>7.11</v>
      </c>
      <c r="AK34" s="821"/>
      <c r="AL34" s="826"/>
      <c r="AM34" s="826"/>
    </row>
    <row r="35" spans="1:39" ht="16" thickBot="1">
      <c r="A35" s="439"/>
      <c r="B35" s="1126" t="s">
        <v>493</v>
      </c>
      <c r="C35" s="1128">
        <v>0</v>
      </c>
      <c r="D35" s="1128">
        <v>0</v>
      </c>
      <c r="E35" s="1128">
        <v>0</v>
      </c>
      <c r="F35" s="1128">
        <v>0</v>
      </c>
      <c r="G35" s="1128">
        <v>0</v>
      </c>
      <c r="H35" s="1128">
        <v>0</v>
      </c>
      <c r="I35" s="1128">
        <v>0</v>
      </c>
      <c r="J35" s="1128">
        <v>0</v>
      </c>
      <c r="K35" s="1128"/>
      <c r="L35" s="1119" t="s">
        <v>572</v>
      </c>
      <c r="M35" s="562"/>
      <c r="N35" s="439"/>
      <c r="O35" s="439"/>
      <c r="P35" s="439"/>
      <c r="Q35" s="439"/>
      <c r="R35" s="439"/>
      <c r="S35" s="439"/>
      <c r="T35" s="439"/>
      <c r="U35" s="439"/>
      <c r="V35" s="562"/>
      <c r="W35" s="562"/>
      <c r="X35" s="562"/>
      <c r="Y35" s="562"/>
      <c r="Z35" s="744" t="s">
        <v>493</v>
      </c>
      <c r="AA35" s="746">
        <v>0</v>
      </c>
      <c r="AB35" s="746">
        <v>0</v>
      </c>
      <c r="AC35" s="746">
        <v>0</v>
      </c>
      <c r="AD35" s="746">
        <v>0</v>
      </c>
      <c r="AE35" s="746">
        <v>0</v>
      </c>
      <c r="AF35" s="746">
        <v>0</v>
      </c>
      <c r="AG35" s="746">
        <v>0</v>
      </c>
      <c r="AH35" s="746">
        <v>0</v>
      </c>
      <c r="AI35" s="746"/>
      <c r="AJ35" s="854">
        <v>7.11</v>
      </c>
      <c r="AK35" s="821"/>
      <c r="AL35" s="826"/>
      <c r="AM35" s="826"/>
    </row>
    <row r="36" spans="1:39" ht="16" thickBot="1">
      <c r="A36" s="439"/>
      <c r="B36" s="1122" t="s">
        <v>11</v>
      </c>
      <c r="C36" s="1129"/>
      <c r="D36" s="1129"/>
      <c r="E36" s="1129"/>
      <c r="F36" s="1129"/>
      <c r="G36" s="1129"/>
      <c r="H36" s="1129"/>
      <c r="I36" s="1129"/>
      <c r="J36" s="1129"/>
      <c r="K36" s="1129"/>
      <c r="L36" s="1130"/>
      <c r="M36" s="562"/>
      <c r="N36" s="439"/>
      <c r="O36" s="439"/>
      <c r="P36" s="439"/>
      <c r="Q36" s="439"/>
      <c r="R36" s="439"/>
      <c r="S36" s="439"/>
      <c r="T36" s="439"/>
      <c r="U36" s="439"/>
      <c r="V36" s="562"/>
      <c r="W36" s="562"/>
      <c r="X36" s="562"/>
      <c r="Y36" s="562"/>
      <c r="Z36" s="766" t="s">
        <v>11</v>
      </c>
      <c r="AA36" s="767"/>
      <c r="AB36" s="767"/>
      <c r="AC36" s="767"/>
      <c r="AD36" s="767"/>
      <c r="AE36" s="767"/>
      <c r="AF36" s="767"/>
      <c r="AG36" s="767"/>
      <c r="AH36" s="767"/>
      <c r="AI36" s="767"/>
      <c r="AJ36" s="768"/>
      <c r="AK36" s="821"/>
      <c r="AL36" s="826"/>
      <c r="AM36" s="826"/>
    </row>
    <row r="37" spans="1:39" ht="16" thickBot="1">
      <c r="A37" s="439"/>
      <c r="B37" s="1126" t="s">
        <v>474</v>
      </c>
      <c r="C37" s="1128" t="s">
        <v>487</v>
      </c>
      <c r="D37" s="1128" t="s">
        <v>487</v>
      </c>
      <c r="E37" s="1128" t="s">
        <v>487</v>
      </c>
      <c r="F37" s="1128" t="s">
        <v>487</v>
      </c>
      <c r="G37" s="1128" t="s">
        <v>487</v>
      </c>
      <c r="H37" s="1128" t="s">
        <v>487</v>
      </c>
      <c r="I37" s="1128" t="s">
        <v>487</v>
      </c>
      <c r="J37" s="1128" t="s">
        <v>487</v>
      </c>
      <c r="K37" s="1119"/>
      <c r="L37" s="1119"/>
      <c r="M37" s="562"/>
      <c r="N37" s="439"/>
      <c r="O37" s="439"/>
      <c r="P37" s="439"/>
      <c r="Q37" s="439"/>
      <c r="R37" s="439"/>
      <c r="S37" s="439"/>
      <c r="T37" s="439"/>
      <c r="U37" s="439"/>
      <c r="V37" s="562"/>
      <c r="W37" s="562"/>
      <c r="X37" s="562"/>
      <c r="Y37" s="562"/>
      <c r="Z37" s="744" t="s">
        <v>474</v>
      </c>
      <c r="AA37" s="746" t="s">
        <v>487</v>
      </c>
      <c r="AB37" s="746" t="s">
        <v>487</v>
      </c>
      <c r="AC37" s="746" t="s">
        <v>487</v>
      </c>
      <c r="AD37" s="746" t="s">
        <v>487</v>
      </c>
      <c r="AE37" s="746" t="s">
        <v>487</v>
      </c>
      <c r="AF37" s="746" t="s">
        <v>487</v>
      </c>
      <c r="AG37" s="746" t="s">
        <v>487</v>
      </c>
      <c r="AH37" s="746" t="s">
        <v>487</v>
      </c>
      <c r="AI37" s="854"/>
      <c r="AJ37" s="854"/>
      <c r="AK37" s="821"/>
      <c r="AL37" s="826"/>
      <c r="AM37" s="826"/>
    </row>
    <row r="38" spans="1:39" ht="16" thickBot="1">
      <c r="A38" s="439"/>
      <c r="B38" s="1126" t="s">
        <v>475</v>
      </c>
      <c r="C38" s="1128" t="s">
        <v>487</v>
      </c>
      <c r="D38" s="1128" t="s">
        <v>487</v>
      </c>
      <c r="E38" s="1128" t="s">
        <v>487</v>
      </c>
      <c r="F38" s="1128" t="s">
        <v>487</v>
      </c>
      <c r="G38" s="1128" t="s">
        <v>487</v>
      </c>
      <c r="H38" s="1128" t="s">
        <v>487</v>
      </c>
      <c r="I38" s="1128" t="s">
        <v>487</v>
      </c>
      <c r="J38" s="1128" t="s">
        <v>487</v>
      </c>
      <c r="K38" s="1119"/>
      <c r="L38" s="1119"/>
      <c r="M38" s="562"/>
      <c r="N38" s="561"/>
      <c r="O38" s="561"/>
      <c r="P38" s="561"/>
      <c r="Q38" s="561"/>
      <c r="R38" s="439"/>
      <c r="S38" s="439"/>
      <c r="T38" s="439"/>
      <c r="U38" s="439"/>
      <c r="V38" s="562"/>
      <c r="W38" s="562"/>
      <c r="X38" s="562"/>
      <c r="Y38" s="562"/>
      <c r="Z38" s="744" t="s">
        <v>475</v>
      </c>
      <c r="AA38" s="746" t="s">
        <v>487</v>
      </c>
      <c r="AB38" s="746" t="s">
        <v>487</v>
      </c>
      <c r="AC38" s="746" t="s">
        <v>487</v>
      </c>
      <c r="AD38" s="746" t="s">
        <v>487</v>
      </c>
      <c r="AE38" s="746" t="s">
        <v>487</v>
      </c>
      <c r="AF38" s="746" t="s">
        <v>487</v>
      </c>
      <c r="AG38" s="746" t="s">
        <v>487</v>
      </c>
      <c r="AH38" s="746" t="s">
        <v>487</v>
      </c>
      <c r="AI38" s="854"/>
      <c r="AJ38" s="854"/>
      <c r="AK38" s="821"/>
      <c r="AL38" s="561"/>
      <c r="AM38" s="561"/>
    </row>
    <row r="39" spans="1:39" ht="16" thickBot="1">
      <c r="A39" s="439"/>
      <c r="B39" s="1126" t="s">
        <v>476</v>
      </c>
      <c r="C39" s="1128" t="s">
        <v>487</v>
      </c>
      <c r="D39" s="1128" t="s">
        <v>487</v>
      </c>
      <c r="E39" s="1128" t="s">
        <v>487</v>
      </c>
      <c r="F39" s="1128" t="s">
        <v>487</v>
      </c>
      <c r="G39" s="1128" t="s">
        <v>487</v>
      </c>
      <c r="H39" s="1128" t="s">
        <v>487</v>
      </c>
      <c r="I39" s="1128" t="s">
        <v>487</v>
      </c>
      <c r="J39" s="1128" t="s">
        <v>487</v>
      </c>
      <c r="K39" s="1119"/>
      <c r="L39" s="1119"/>
      <c r="M39" s="562"/>
      <c r="N39" s="561"/>
      <c r="O39" s="561"/>
      <c r="P39" s="561"/>
      <c r="Q39" s="561"/>
      <c r="R39" s="439"/>
      <c r="S39" s="439"/>
      <c r="T39" s="439"/>
      <c r="U39" s="439"/>
      <c r="V39" s="562"/>
      <c r="W39" s="562"/>
      <c r="X39" s="562"/>
      <c r="Y39" s="562"/>
      <c r="Z39" s="744" t="s">
        <v>476</v>
      </c>
      <c r="AA39" s="746" t="s">
        <v>487</v>
      </c>
      <c r="AB39" s="746" t="s">
        <v>487</v>
      </c>
      <c r="AC39" s="746" t="s">
        <v>487</v>
      </c>
      <c r="AD39" s="746" t="s">
        <v>487</v>
      </c>
      <c r="AE39" s="746" t="s">
        <v>487</v>
      </c>
      <c r="AF39" s="746" t="s">
        <v>487</v>
      </c>
      <c r="AG39" s="746" t="s">
        <v>487</v>
      </c>
      <c r="AH39" s="746" t="s">
        <v>487</v>
      </c>
      <c r="AI39" s="854"/>
      <c r="AJ39" s="854"/>
      <c r="AK39" s="821"/>
      <c r="AL39" s="561"/>
      <c r="AM39" s="561"/>
    </row>
    <row r="40" spans="1:39" ht="16" thickBot="1">
      <c r="A40" s="439"/>
      <c r="B40" s="1126" t="s">
        <v>477</v>
      </c>
      <c r="C40" s="1128" t="s">
        <v>487</v>
      </c>
      <c r="D40" s="1128" t="s">
        <v>487</v>
      </c>
      <c r="E40" s="1128" t="s">
        <v>487</v>
      </c>
      <c r="F40" s="1128" t="s">
        <v>487</v>
      </c>
      <c r="G40" s="1128" t="s">
        <v>487</v>
      </c>
      <c r="H40" s="1128" t="s">
        <v>487</v>
      </c>
      <c r="I40" s="1128" t="s">
        <v>487</v>
      </c>
      <c r="J40" s="1128" t="s">
        <v>487</v>
      </c>
      <c r="K40" s="1119"/>
      <c r="L40" s="1119"/>
      <c r="M40" s="562"/>
      <c r="N40" s="561"/>
      <c r="O40" s="561"/>
      <c r="P40" s="561"/>
      <c r="Q40" s="561"/>
      <c r="R40" s="439"/>
      <c r="S40" s="439"/>
      <c r="T40" s="439"/>
      <c r="U40" s="439"/>
      <c r="V40" s="562"/>
      <c r="W40" s="562"/>
      <c r="X40" s="562"/>
      <c r="Y40" s="562"/>
      <c r="Z40" s="744" t="s">
        <v>477</v>
      </c>
      <c r="AA40" s="746" t="s">
        <v>487</v>
      </c>
      <c r="AB40" s="746" t="s">
        <v>487</v>
      </c>
      <c r="AC40" s="746" t="s">
        <v>487</v>
      </c>
      <c r="AD40" s="746" t="s">
        <v>487</v>
      </c>
      <c r="AE40" s="746" t="s">
        <v>487</v>
      </c>
      <c r="AF40" s="746" t="s">
        <v>487</v>
      </c>
      <c r="AG40" s="746" t="s">
        <v>487</v>
      </c>
      <c r="AH40" s="746" t="s">
        <v>487</v>
      </c>
      <c r="AI40" s="854"/>
      <c r="AJ40" s="854"/>
      <c r="AK40" s="821"/>
      <c r="AL40" s="561"/>
      <c r="AM40" s="561"/>
    </row>
    <row r="41" spans="1:39" ht="16" thickBot="1">
      <c r="A41" s="439"/>
      <c r="B41" s="1126" t="s">
        <v>18</v>
      </c>
      <c r="C41" s="1128" t="s">
        <v>487</v>
      </c>
      <c r="D41" s="1128" t="s">
        <v>487</v>
      </c>
      <c r="E41" s="1128" t="s">
        <v>487</v>
      </c>
      <c r="F41" s="1128" t="s">
        <v>487</v>
      </c>
      <c r="G41" s="1128" t="s">
        <v>487</v>
      </c>
      <c r="H41" s="1128" t="s">
        <v>487</v>
      </c>
      <c r="I41" s="1128" t="s">
        <v>487</v>
      </c>
      <c r="J41" s="1128" t="s">
        <v>487</v>
      </c>
      <c r="K41" s="1119"/>
      <c r="L41" s="1119"/>
      <c r="M41" s="562"/>
      <c r="N41" s="561"/>
      <c r="O41" s="561"/>
      <c r="P41" s="561"/>
      <c r="Q41" s="561"/>
      <c r="R41" s="439"/>
      <c r="S41" s="439"/>
      <c r="T41" s="439"/>
      <c r="U41" s="439"/>
      <c r="V41" s="562"/>
      <c r="W41" s="562"/>
      <c r="X41" s="562"/>
      <c r="Y41" s="562"/>
      <c r="Z41" s="744" t="s">
        <v>18</v>
      </c>
      <c r="AA41" s="746" t="s">
        <v>487</v>
      </c>
      <c r="AB41" s="746" t="s">
        <v>487</v>
      </c>
      <c r="AC41" s="746" t="s">
        <v>487</v>
      </c>
      <c r="AD41" s="746" t="s">
        <v>487</v>
      </c>
      <c r="AE41" s="746" t="s">
        <v>487</v>
      </c>
      <c r="AF41" s="746" t="s">
        <v>487</v>
      </c>
      <c r="AG41" s="746" t="s">
        <v>487</v>
      </c>
      <c r="AH41" s="746" t="s">
        <v>487</v>
      </c>
      <c r="AI41" s="854"/>
      <c r="AJ41" s="854"/>
      <c r="AK41" s="821"/>
      <c r="AL41" s="561"/>
      <c r="AM41" s="561"/>
    </row>
    <row r="42" spans="1:39" ht="16" thickBot="1">
      <c r="A42" s="439"/>
      <c r="B42" s="1122" t="s">
        <v>20</v>
      </c>
      <c r="C42" s="1129"/>
      <c r="D42" s="1129"/>
      <c r="E42" s="1129"/>
      <c r="F42" s="1129"/>
      <c r="G42" s="1129"/>
      <c r="H42" s="1129"/>
      <c r="I42" s="1129"/>
      <c r="J42" s="1129"/>
      <c r="K42" s="1129"/>
      <c r="L42" s="1130"/>
      <c r="M42" s="562"/>
      <c r="N42" s="561"/>
      <c r="O42" s="561"/>
      <c r="P42" s="561"/>
      <c r="Q42" s="561"/>
      <c r="R42" s="439"/>
      <c r="S42" s="439"/>
      <c r="T42" s="439"/>
      <c r="U42" s="439"/>
      <c r="V42" s="562"/>
      <c r="W42" s="562"/>
      <c r="X42" s="562"/>
      <c r="Y42" s="562"/>
      <c r="Z42" s="766" t="s">
        <v>20</v>
      </c>
      <c r="AA42" s="767"/>
      <c r="AB42" s="767"/>
      <c r="AC42" s="767"/>
      <c r="AD42" s="767"/>
      <c r="AE42" s="767"/>
      <c r="AF42" s="767"/>
      <c r="AG42" s="767"/>
      <c r="AH42" s="767"/>
      <c r="AI42" s="767"/>
      <c r="AJ42" s="768"/>
      <c r="AK42" s="821"/>
      <c r="AL42" s="561"/>
      <c r="AM42" s="561"/>
    </row>
    <row r="43" spans="1:39">
      <c r="A43" s="439"/>
      <c r="B43" s="1131" t="s">
        <v>22</v>
      </c>
      <c r="C43" s="1132">
        <v>16</v>
      </c>
      <c r="D43" s="1145">
        <v>15</v>
      </c>
      <c r="E43" s="1145">
        <v>14</v>
      </c>
      <c r="F43" s="1145">
        <v>12</v>
      </c>
      <c r="G43" s="1132">
        <v>13</v>
      </c>
      <c r="H43" s="1132">
        <v>17</v>
      </c>
      <c r="I43" s="1132">
        <v>10</v>
      </c>
      <c r="J43" s="1132">
        <v>16</v>
      </c>
      <c r="K43" s="1132" t="s">
        <v>19</v>
      </c>
      <c r="L43" s="1132" t="s">
        <v>579</v>
      </c>
      <c r="M43" s="562"/>
      <c r="N43" s="561"/>
      <c r="O43" s="561"/>
      <c r="P43" s="561"/>
      <c r="Q43" s="561"/>
      <c r="R43" s="439"/>
      <c r="S43" s="439"/>
      <c r="T43" s="439"/>
      <c r="U43" s="439"/>
      <c r="V43" s="562"/>
      <c r="W43" s="562"/>
      <c r="X43" s="562"/>
      <c r="Y43" s="562"/>
      <c r="Z43" s="573" t="s">
        <v>22</v>
      </c>
      <c r="AA43" s="769">
        <v>265</v>
      </c>
      <c r="AB43" s="594">
        <v>249</v>
      </c>
      <c r="AC43" s="594">
        <v>224</v>
      </c>
      <c r="AD43" s="594">
        <v>202</v>
      </c>
      <c r="AE43" s="769">
        <v>235</v>
      </c>
      <c r="AF43" s="769">
        <v>265</v>
      </c>
      <c r="AG43" s="769">
        <v>200</v>
      </c>
      <c r="AH43" s="769">
        <v>265</v>
      </c>
      <c r="AI43" s="769"/>
      <c r="AJ43" s="769" t="s">
        <v>600</v>
      </c>
      <c r="AK43" s="821"/>
      <c r="AL43" s="561"/>
      <c r="AM43" s="561"/>
    </row>
    <row r="44" spans="1:39">
      <c r="A44" s="439"/>
      <c r="B44" s="1131" t="s">
        <v>24</v>
      </c>
      <c r="C44" s="1132">
        <v>65</v>
      </c>
      <c r="D44" s="1132">
        <v>65</v>
      </c>
      <c r="E44" s="1132">
        <v>65</v>
      </c>
      <c r="F44" s="1132">
        <v>65</v>
      </c>
      <c r="G44" s="1132">
        <v>55</v>
      </c>
      <c r="H44" s="1132">
        <v>75</v>
      </c>
      <c r="I44" s="1132">
        <v>55</v>
      </c>
      <c r="J44" s="1132">
        <v>85</v>
      </c>
      <c r="K44" s="1132" t="s">
        <v>42</v>
      </c>
      <c r="L44" s="1132" t="s">
        <v>572</v>
      </c>
      <c r="M44" s="562"/>
      <c r="N44" s="561"/>
      <c r="O44" s="561"/>
      <c r="P44" s="561"/>
      <c r="Q44" s="561"/>
      <c r="R44" s="439"/>
      <c r="S44" s="439"/>
      <c r="T44" s="439"/>
      <c r="U44" s="439"/>
      <c r="V44" s="562"/>
      <c r="W44" s="562"/>
      <c r="X44" s="562"/>
      <c r="Y44" s="562"/>
      <c r="Z44" s="573" t="s">
        <v>24</v>
      </c>
      <c r="AA44" s="769">
        <v>60</v>
      </c>
      <c r="AB44" s="574">
        <v>60</v>
      </c>
      <c r="AC44" s="574">
        <v>60</v>
      </c>
      <c r="AD44" s="574">
        <v>60</v>
      </c>
      <c r="AE44" s="769">
        <v>50</v>
      </c>
      <c r="AF44" s="769">
        <v>85</v>
      </c>
      <c r="AG44" s="769">
        <v>50</v>
      </c>
      <c r="AH44" s="769">
        <v>85</v>
      </c>
      <c r="AI44" s="769" t="s">
        <v>42</v>
      </c>
      <c r="AJ44" s="769">
        <v>12.13</v>
      </c>
      <c r="AK44" s="821"/>
      <c r="AL44" s="561"/>
      <c r="AM44" s="561"/>
    </row>
    <row r="45" spans="1:39" ht="16" thickBot="1">
      <c r="A45" s="439"/>
      <c r="B45" s="1126" t="s">
        <v>26</v>
      </c>
      <c r="C45" s="1119">
        <v>35</v>
      </c>
      <c r="D45" s="1119">
        <v>35</v>
      </c>
      <c r="E45" s="1119">
        <v>35</v>
      </c>
      <c r="F45" s="1119">
        <v>35</v>
      </c>
      <c r="G45" s="1119">
        <v>25</v>
      </c>
      <c r="H45" s="1119">
        <v>45</v>
      </c>
      <c r="I45" s="1119">
        <v>15</v>
      </c>
      <c r="J45" s="1119">
        <v>45</v>
      </c>
      <c r="K45" s="1119"/>
      <c r="L45" s="1119" t="s">
        <v>572</v>
      </c>
      <c r="M45" s="562"/>
      <c r="N45" s="351"/>
      <c r="O45" s="351"/>
      <c r="P45" s="561"/>
      <c r="Q45" s="561"/>
      <c r="R45" s="439"/>
      <c r="S45" s="439"/>
      <c r="T45" s="439"/>
      <c r="U45" s="439"/>
      <c r="V45" s="562"/>
      <c r="W45" s="562"/>
      <c r="X45" s="562"/>
      <c r="Y45" s="562"/>
      <c r="Z45" s="744" t="s">
        <v>26</v>
      </c>
      <c r="AA45" s="854">
        <v>40</v>
      </c>
      <c r="AB45" s="568">
        <v>40</v>
      </c>
      <c r="AC45" s="568">
        <v>40</v>
      </c>
      <c r="AD45" s="568">
        <v>40</v>
      </c>
      <c r="AE45" s="854">
        <v>15</v>
      </c>
      <c r="AF45" s="854">
        <v>50</v>
      </c>
      <c r="AG45" s="854">
        <v>15</v>
      </c>
      <c r="AH45" s="854">
        <v>50</v>
      </c>
      <c r="AI45" s="854"/>
      <c r="AJ45" s="854">
        <v>12.13</v>
      </c>
      <c r="AK45" s="821"/>
      <c r="AL45" s="351"/>
      <c r="AM45" s="351"/>
    </row>
    <row r="46" spans="1:39" ht="25" thickBot="1">
      <c r="A46" s="439"/>
      <c r="B46" s="1126" t="s">
        <v>28</v>
      </c>
      <c r="C46" s="1119"/>
      <c r="D46" s="1119"/>
      <c r="E46" s="1119"/>
      <c r="F46" s="1119"/>
      <c r="G46" s="1119"/>
      <c r="H46" s="1119"/>
      <c r="I46" s="1119"/>
      <c r="J46" s="1119"/>
      <c r="K46" s="1119"/>
      <c r="L46" s="1119"/>
      <c r="M46" s="562"/>
      <c r="N46" s="561"/>
      <c r="O46" s="561"/>
      <c r="P46" s="561"/>
      <c r="Q46" s="561"/>
      <c r="R46" s="439"/>
      <c r="S46" s="439"/>
      <c r="T46" s="439"/>
      <c r="U46" s="439"/>
      <c r="V46" s="562"/>
      <c r="W46" s="562"/>
      <c r="X46" s="562"/>
      <c r="Y46" s="562"/>
      <c r="Z46" s="744" t="s">
        <v>28</v>
      </c>
      <c r="AA46" s="854"/>
      <c r="AB46" s="568"/>
      <c r="AC46" s="568"/>
      <c r="AD46" s="568"/>
      <c r="AE46" s="854"/>
      <c r="AF46" s="854"/>
      <c r="AG46" s="854"/>
      <c r="AH46" s="854"/>
      <c r="AI46" s="854"/>
      <c r="AJ46" s="854"/>
      <c r="AK46" s="821"/>
      <c r="AL46" s="561"/>
      <c r="AM46" s="561"/>
    </row>
    <row r="47" spans="1:39">
      <c r="A47" s="439"/>
      <c r="B47" s="1134" t="s">
        <v>44</v>
      </c>
      <c r="C47" s="1135">
        <v>291</v>
      </c>
      <c r="D47" s="1136">
        <v>278.03216422149995</v>
      </c>
      <c r="E47" s="1137">
        <v>255.11663107276718</v>
      </c>
      <c r="F47" s="1136">
        <v>238.73507335803222</v>
      </c>
      <c r="G47" s="1138">
        <v>256</v>
      </c>
      <c r="H47" s="1136">
        <v>328</v>
      </c>
      <c r="I47" s="1136">
        <v>188</v>
      </c>
      <c r="J47" s="1136">
        <v>295</v>
      </c>
      <c r="K47" s="1139"/>
      <c r="L47" s="1139"/>
      <c r="M47" s="562"/>
      <c r="N47" s="561"/>
      <c r="O47" s="561"/>
      <c r="P47" s="561"/>
      <c r="Q47" s="561"/>
      <c r="R47" s="439"/>
      <c r="S47" s="439"/>
      <c r="T47" s="439"/>
      <c r="U47" s="439"/>
      <c r="V47" s="562"/>
      <c r="W47" s="562"/>
      <c r="X47" s="562"/>
      <c r="Y47" s="562"/>
      <c r="Z47" s="708" t="s">
        <v>44</v>
      </c>
      <c r="AA47" s="849">
        <f>SUM(AA48:AA49)</f>
        <v>1640</v>
      </c>
      <c r="AB47" s="772">
        <f t="shared" ref="AB47:AH47" si="0">SUM(AB48:AB49)</f>
        <v>1650</v>
      </c>
      <c r="AC47" s="849">
        <f t="shared" si="0"/>
        <v>1866</v>
      </c>
      <c r="AD47" s="772">
        <f t="shared" si="0"/>
        <v>2411</v>
      </c>
      <c r="AE47" s="849">
        <f t="shared" si="0"/>
        <v>1070</v>
      </c>
      <c r="AF47" s="772">
        <f t="shared" si="0"/>
        <v>2850</v>
      </c>
      <c r="AG47" s="849">
        <f t="shared" si="0"/>
        <v>1820</v>
      </c>
      <c r="AH47" s="772">
        <f t="shared" si="0"/>
        <v>3980</v>
      </c>
      <c r="AI47" s="855"/>
      <c r="AJ47" s="855"/>
      <c r="AK47" s="821"/>
      <c r="AL47" s="561"/>
      <c r="AM47" s="561"/>
    </row>
    <row r="48" spans="1:39">
      <c r="A48" s="439"/>
      <c r="B48" s="1140" t="s">
        <v>479</v>
      </c>
      <c r="C48" s="1141">
        <v>6</v>
      </c>
      <c r="D48" s="1141">
        <v>7</v>
      </c>
      <c r="E48" s="1141">
        <v>10</v>
      </c>
      <c r="F48" s="1141">
        <v>17</v>
      </c>
      <c r="G48" s="1141">
        <v>6</v>
      </c>
      <c r="H48" s="1141">
        <v>8</v>
      </c>
      <c r="I48" s="1141">
        <v>13</v>
      </c>
      <c r="J48" s="1141">
        <v>20</v>
      </c>
      <c r="K48" s="1142" t="s">
        <v>279</v>
      </c>
      <c r="L48" s="1142"/>
      <c r="M48" s="562"/>
      <c r="N48" s="561"/>
      <c r="O48" s="561"/>
      <c r="P48" s="561"/>
      <c r="Q48" s="561"/>
      <c r="R48" s="439"/>
      <c r="S48" s="439"/>
      <c r="T48" s="439"/>
      <c r="U48" s="439"/>
      <c r="V48" s="562"/>
      <c r="W48" s="562"/>
      <c r="X48" s="562"/>
      <c r="Y48" s="562"/>
      <c r="Z48" s="586" t="s">
        <v>479</v>
      </c>
      <c r="AA48" s="587">
        <v>640</v>
      </c>
      <c r="AB48" s="587">
        <v>710</v>
      </c>
      <c r="AC48" s="587">
        <v>1020</v>
      </c>
      <c r="AD48" s="587">
        <v>1650</v>
      </c>
      <c r="AE48" s="587">
        <v>570</v>
      </c>
      <c r="AF48" s="587">
        <v>850</v>
      </c>
      <c r="AG48" s="587">
        <v>1320</v>
      </c>
      <c r="AH48" s="587">
        <v>1980</v>
      </c>
      <c r="AI48" s="774" t="s">
        <v>279</v>
      </c>
      <c r="AJ48" s="774"/>
      <c r="AK48" s="821"/>
      <c r="AL48" s="561"/>
      <c r="AM48" s="561"/>
    </row>
    <row r="49" spans="1:39" ht="16" thickBot="1">
      <c r="A49" s="439"/>
      <c r="B49" s="1143" t="s">
        <v>480</v>
      </c>
      <c r="C49" s="1127">
        <v>285</v>
      </c>
      <c r="D49" s="1146">
        <v>271.03216422149995</v>
      </c>
      <c r="E49" s="1146">
        <v>245.11663107276718</v>
      </c>
      <c r="F49" s="1146">
        <v>221.73507335803222</v>
      </c>
      <c r="G49" s="1119">
        <v>250</v>
      </c>
      <c r="H49" s="1119">
        <v>320</v>
      </c>
      <c r="I49" s="1119">
        <v>175</v>
      </c>
      <c r="J49" s="1119">
        <v>275</v>
      </c>
      <c r="K49" s="1119"/>
      <c r="L49" s="1119"/>
      <c r="M49" s="562"/>
      <c r="N49" s="439"/>
      <c r="O49" s="439"/>
      <c r="P49" s="439"/>
      <c r="Q49" s="439"/>
      <c r="R49" s="439"/>
      <c r="S49" s="439"/>
      <c r="T49" s="439"/>
      <c r="U49" s="439"/>
      <c r="V49" s="562"/>
      <c r="W49" s="562"/>
      <c r="X49" s="562"/>
      <c r="Y49" s="562"/>
      <c r="Z49" s="589" t="s">
        <v>480</v>
      </c>
      <c r="AA49" s="863">
        <v>1000</v>
      </c>
      <c r="AB49" s="590">
        <v>940</v>
      </c>
      <c r="AC49" s="591">
        <v>846</v>
      </c>
      <c r="AD49" s="590">
        <v>761</v>
      </c>
      <c r="AE49" s="857">
        <v>500</v>
      </c>
      <c r="AF49" s="856">
        <v>2000</v>
      </c>
      <c r="AG49" s="857">
        <v>500</v>
      </c>
      <c r="AH49" s="856">
        <v>2000</v>
      </c>
      <c r="AI49" s="854"/>
      <c r="AJ49" s="854">
        <v>12</v>
      </c>
      <c r="AK49" s="821"/>
      <c r="AL49" s="826"/>
      <c r="AM49" s="826"/>
    </row>
    <row r="50" spans="1:39" ht="16" thickBot="1">
      <c r="A50" s="562"/>
      <c r="B50" s="1126" t="s">
        <v>482</v>
      </c>
      <c r="C50" s="1144">
        <v>0</v>
      </c>
      <c r="D50" s="1144">
        <v>0</v>
      </c>
      <c r="E50" s="1144">
        <v>0</v>
      </c>
      <c r="F50" s="1144">
        <v>0</v>
      </c>
      <c r="G50" s="1144">
        <v>0</v>
      </c>
      <c r="H50" s="1144">
        <v>0</v>
      </c>
      <c r="I50" s="1144">
        <v>0</v>
      </c>
      <c r="J50" s="1144">
        <v>0</v>
      </c>
      <c r="K50" s="1119"/>
      <c r="L50" s="1119" t="s">
        <v>572</v>
      </c>
      <c r="M50" s="562"/>
      <c r="N50" s="439"/>
      <c r="O50" s="439"/>
      <c r="P50" s="439"/>
      <c r="Q50" s="439"/>
      <c r="R50" s="439"/>
      <c r="S50" s="439"/>
      <c r="T50" s="439"/>
      <c r="U50" s="439"/>
      <c r="V50" s="562"/>
      <c r="W50" s="562"/>
      <c r="X50" s="562"/>
      <c r="Y50" s="562"/>
      <c r="Z50" s="744" t="s">
        <v>482</v>
      </c>
      <c r="AA50" s="598">
        <f>0.5</f>
        <v>0.5</v>
      </c>
      <c r="AB50" s="595">
        <f>0.47</f>
        <v>0.47</v>
      </c>
      <c r="AC50" s="596">
        <f>0.42</f>
        <v>0.42</v>
      </c>
      <c r="AD50" s="596">
        <f>0.38</f>
        <v>0.38</v>
      </c>
      <c r="AE50" s="597">
        <f>0.2</f>
        <v>0.2</v>
      </c>
      <c r="AF50" s="597">
        <f>1</f>
        <v>1</v>
      </c>
      <c r="AG50" s="597">
        <f>0.2</f>
        <v>0.2</v>
      </c>
      <c r="AH50" s="597">
        <f>1</f>
        <v>1</v>
      </c>
      <c r="AI50" s="854"/>
      <c r="AJ50" s="854">
        <v>12</v>
      </c>
      <c r="AK50" s="821"/>
      <c r="AL50" s="826"/>
      <c r="AM50" s="826"/>
    </row>
    <row r="51" spans="1:39" ht="16" thickBot="1">
      <c r="A51" s="439"/>
      <c r="B51" s="54"/>
      <c r="C51" s="845"/>
      <c r="D51" s="845"/>
      <c r="E51" s="845"/>
      <c r="F51" s="845"/>
      <c r="G51" s="845"/>
      <c r="H51" s="845"/>
      <c r="I51" s="561"/>
      <c r="J51" s="561"/>
      <c r="K51" s="561"/>
      <c r="L51" s="851"/>
      <c r="M51" s="439"/>
      <c r="N51" s="439"/>
      <c r="O51" s="439"/>
      <c r="P51" s="439"/>
      <c r="Q51" s="439"/>
      <c r="R51" s="439"/>
      <c r="S51" s="439"/>
      <c r="T51" s="439"/>
      <c r="U51" s="439"/>
      <c r="V51" s="562"/>
      <c r="W51" s="562"/>
      <c r="X51" s="562"/>
      <c r="Y51" s="562"/>
      <c r="Z51" s="54"/>
      <c r="AA51" s="862"/>
      <c r="AB51" s="862"/>
      <c r="AC51" s="862"/>
      <c r="AD51" s="862"/>
      <c r="AE51" s="862"/>
      <c r="AF51" s="862"/>
      <c r="AG51" s="561"/>
      <c r="AH51" s="561"/>
      <c r="AI51" s="561"/>
      <c r="AJ51" s="851"/>
      <c r="AK51" s="826"/>
      <c r="AL51" s="826"/>
      <c r="AM51" s="826"/>
    </row>
    <row r="52" spans="1:39">
      <c r="A52" s="439"/>
      <c r="B52" s="852"/>
      <c r="C52" s="35"/>
      <c r="D52" s="35"/>
      <c r="E52" s="35"/>
      <c r="F52" s="35"/>
      <c r="G52" s="35"/>
      <c r="H52" s="35"/>
      <c r="I52" s="561"/>
      <c r="J52" s="561"/>
      <c r="K52" s="561"/>
      <c r="L52" s="851"/>
      <c r="M52" s="439"/>
      <c r="N52" s="439"/>
      <c r="O52" s="439"/>
      <c r="P52" s="439"/>
      <c r="Q52" s="439"/>
      <c r="R52" s="439"/>
      <c r="S52" s="439"/>
      <c r="T52" s="439"/>
      <c r="U52" s="439"/>
      <c r="V52" s="562"/>
      <c r="W52" s="562"/>
      <c r="X52" s="562"/>
      <c r="Y52" s="562"/>
      <c r="Z52" s="852"/>
      <c r="AA52" s="35"/>
      <c r="AB52" s="35"/>
      <c r="AC52" s="35"/>
      <c r="AD52" s="35"/>
      <c r="AE52" s="35"/>
      <c r="AF52" s="35"/>
      <c r="AG52" s="561"/>
      <c r="AH52" s="561"/>
      <c r="AI52" s="561"/>
      <c r="AJ52" s="851"/>
      <c r="AK52" s="826"/>
      <c r="AL52" s="826"/>
      <c r="AM52" s="826"/>
    </row>
    <row r="53" spans="1:39" ht="16" thickBot="1">
      <c r="A53" s="439"/>
      <c r="B53" s="429" t="s">
        <v>499</v>
      </c>
      <c r="C53" s="430"/>
      <c r="D53" s="430"/>
      <c r="E53" s="430"/>
      <c r="F53" s="430"/>
      <c r="G53" s="430"/>
      <c r="H53" s="430"/>
      <c r="I53" s="430"/>
      <c r="J53" s="430"/>
      <c r="K53" s="430"/>
      <c r="L53" s="432"/>
      <c r="M53" s="439"/>
      <c r="N53" s="439"/>
      <c r="O53" s="439"/>
      <c r="P53" s="439"/>
      <c r="Q53" s="439"/>
      <c r="R53" s="439"/>
      <c r="S53" s="439"/>
      <c r="T53" s="439"/>
      <c r="U53" s="439"/>
      <c r="V53" s="562"/>
      <c r="W53" s="562"/>
      <c r="X53" s="562"/>
      <c r="Y53" s="562"/>
      <c r="Z53" s="429" t="s">
        <v>499</v>
      </c>
      <c r="AA53" s="430"/>
      <c r="AB53" s="430"/>
      <c r="AC53" s="430"/>
      <c r="AD53" s="430"/>
      <c r="AE53" s="430"/>
      <c r="AF53" s="430"/>
      <c r="AG53" s="430"/>
      <c r="AH53" s="430"/>
      <c r="AI53" s="430"/>
      <c r="AJ53" s="432"/>
      <c r="AK53" s="826"/>
      <c r="AL53" s="826"/>
      <c r="AM53" s="826"/>
    </row>
    <row r="54" spans="1:39" ht="16" thickBot="1">
      <c r="A54" s="439"/>
      <c r="B54" s="844" t="s">
        <v>503</v>
      </c>
      <c r="C54" s="540">
        <f>C43/C$22*Euro</f>
        <v>11.920000000000002</v>
      </c>
      <c r="D54" s="540">
        <f>D43/D$22*Euro</f>
        <v>11.175000000000001</v>
      </c>
      <c r="E54" s="540">
        <f>E43/E$22*Euro</f>
        <v>10.43</v>
      </c>
      <c r="F54" s="540">
        <f>F43/F$22*Euro</f>
        <v>8.94</v>
      </c>
      <c r="G54" s="843"/>
      <c r="H54" s="843"/>
      <c r="I54" s="843"/>
      <c r="J54" s="843"/>
      <c r="K54" s="843"/>
      <c r="L54" s="843"/>
      <c r="M54" s="439"/>
      <c r="N54" s="439"/>
      <c r="O54" s="439"/>
      <c r="P54" s="439"/>
      <c r="Q54" s="439"/>
      <c r="R54" s="439"/>
      <c r="S54" s="439"/>
      <c r="T54" s="439"/>
      <c r="U54" s="439"/>
      <c r="V54" s="562"/>
      <c r="W54" s="562"/>
      <c r="X54" s="562"/>
      <c r="Y54" s="562"/>
      <c r="Z54" s="861" t="s">
        <v>503</v>
      </c>
      <c r="AA54" s="540">
        <f>AA43/AA$22*Euro</f>
        <v>4.9356249999999999</v>
      </c>
      <c r="AB54" s="540">
        <f>AB43/AB$22*Euro</f>
        <v>4.6376250000000008</v>
      </c>
      <c r="AC54" s="540">
        <f>AC43/AC$22*Euro</f>
        <v>4.1720000000000006</v>
      </c>
      <c r="AD54" s="540">
        <f>AD43/AD$22*Euro</f>
        <v>3.7622500000000003</v>
      </c>
      <c r="AE54" s="860"/>
      <c r="AF54" s="860"/>
      <c r="AG54" s="860"/>
      <c r="AH54" s="860"/>
      <c r="AI54" s="860"/>
      <c r="AJ54" s="860"/>
      <c r="AK54" s="826"/>
      <c r="AL54" s="826"/>
      <c r="AM54" s="826"/>
    </row>
    <row r="55" spans="1:39" ht="25" thickBot="1">
      <c r="A55" s="439"/>
      <c r="B55" s="844" t="s">
        <v>504</v>
      </c>
      <c r="C55" s="540">
        <f>C454/C$22*Euro</f>
        <v>0</v>
      </c>
      <c r="D55" s="540">
        <f>D454/D$22*Euro</f>
        <v>0</v>
      </c>
      <c r="E55" s="540">
        <f>E454/E$22*Euro</f>
        <v>0</v>
      </c>
      <c r="F55" s="540">
        <f>F454/F$22*Euro</f>
        <v>0</v>
      </c>
      <c r="G55" s="843"/>
      <c r="H55" s="843"/>
      <c r="I55" s="843"/>
      <c r="J55" s="843"/>
      <c r="K55" s="843"/>
      <c r="L55" s="843"/>
      <c r="M55" s="439"/>
      <c r="N55" s="439"/>
      <c r="O55" s="439"/>
      <c r="P55" s="439"/>
      <c r="Q55" s="439"/>
      <c r="R55" s="439"/>
      <c r="S55" s="439"/>
      <c r="T55" s="439"/>
      <c r="U55" s="439"/>
      <c r="V55" s="562"/>
      <c r="W55" s="562"/>
      <c r="X55" s="562"/>
      <c r="Y55" s="562"/>
      <c r="Z55" s="861" t="s">
        <v>504</v>
      </c>
      <c r="AA55" s="540">
        <f>AA454/AA$22*Euro</f>
        <v>0</v>
      </c>
      <c r="AB55" s="540">
        <f>AB454/AB$22*Euro</f>
        <v>0</v>
      </c>
      <c r="AC55" s="540">
        <f>AC454/AC$22*Euro</f>
        <v>0</v>
      </c>
      <c r="AD55" s="540">
        <f>AD454/AD$22*Euro</f>
        <v>0</v>
      </c>
      <c r="AE55" s="860"/>
      <c r="AF55" s="860"/>
      <c r="AG55" s="860"/>
      <c r="AH55" s="860"/>
      <c r="AI55" s="860"/>
      <c r="AJ55" s="860"/>
      <c r="AK55" s="826"/>
      <c r="AL55" s="826"/>
      <c r="AM55" s="826"/>
    </row>
    <row r="56" spans="1:39" ht="16" thickBot="1">
      <c r="A56" s="439"/>
      <c r="B56" s="844"/>
      <c r="C56" s="843"/>
      <c r="D56" s="843"/>
      <c r="E56" s="843"/>
      <c r="F56" s="843"/>
      <c r="G56" s="843"/>
      <c r="H56" s="843"/>
      <c r="I56" s="843"/>
      <c r="J56" s="843"/>
      <c r="K56" s="843"/>
      <c r="L56" s="843"/>
      <c r="M56" s="439"/>
      <c r="N56" s="439"/>
      <c r="O56" s="439"/>
      <c r="P56" s="439"/>
      <c r="Q56" s="439"/>
      <c r="R56" s="439"/>
      <c r="S56" s="439"/>
      <c r="T56" s="439"/>
      <c r="U56" s="439"/>
      <c r="V56" s="562"/>
      <c r="W56" s="562"/>
      <c r="X56" s="562"/>
      <c r="Y56" s="562"/>
      <c r="Z56" s="861"/>
      <c r="AA56" s="860"/>
      <c r="AB56" s="860"/>
      <c r="AC56" s="860"/>
      <c r="AD56" s="860"/>
      <c r="AE56" s="860"/>
      <c r="AF56" s="860"/>
      <c r="AG56" s="860"/>
      <c r="AH56" s="860"/>
      <c r="AI56" s="860"/>
      <c r="AJ56" s="860"/>
      <c r="AK56" s="826"/>
      <c r="AL56" s="826"/>
      <c r="AM56" s="826"/>
    </row>
    <row r="57" spans="1:39" ht="16" thickBot="1">
      <c r="A57" s="439"/>
      <c r="B57" s="841" t="s">
        <v>502</v>
      </c>
      <c r="C57" s="540">
        <f>C47/C22/1000*Euro</f>
        <v>0.21679500000000002</v>
      </c>
      <c r="D57" s="540">
        <f>D47/D22/1000*Euro</f>
        <v>0.20713396234501746</v>
      </c>
      <c r="E57" s="540">
        <f>E47/E22/1000*Euro</f>
        <v>0.19006189014921157</v>
      </c>
      <c r="F57" s="540">
        <f>F47/F22/1000*Euro</f>
        <v>0.17785762965173399</v>
      </c>
      <c r="G57" s="843"/>
      <c r="H57" s="843"/>
      <c r="I57" s="843"/>
      <c r="J57" s="843"/>
      <c r="K57" s="843"/>
      <c r="L57" s="843"/>
      <c r="M57" s="439"/>
      <c r="N57" s="439"/>
      <c r="O57" s="439"/>
      <c r="P57" s="439"/>
      <c r="Q57" s="439"/>
      <c r="R57" s="439"/>
      <c r="S57" s="439"/>
      <c r="T57" s="439"/>
      <c r="U57" s="439"/>
      <c r="V57" s="562"/>
      <c r="W57" s="562"/>
      <c r="X57" s="562"/>
      <c r="Y57" s="562"/>
      <c r="Z57" s="858" t="s">
        <v>502</v>
      </c>
      <c r="AA57" s="540">
        <f>AA47/AA22/1000*Euro</f>
        <v>3.0544999999999996E-2</v>
      </c>
      <c r="AB57" s="540">
        <f>AB47/AB22/1000*Euro</f>
        <v>3.0731250000000002E-2</v>
      </c>
      <c r="AC57" s="540">
        <f>AC47/AC22/1000*Euro</f>
        <v>3.475425E-2</v>
      </c>
      <c r="AD57" s="540">
        <f>AD47/AD22/1000*Euro</f>
        <v>4.4904874999999997E-2</v>
      </c>
      <c r="AE57" s="860"/>
      <c r="AF57" s="860"/>
      <c r="AG57" s="860"/>
      <c r="AH57" s="860"/>
      <c r="AI57" s="860"/>
      <c r="AJ57" s="860"/>
      <c r="AK57" s="826"/>
      <c r="AL57" s="826"/>
      <c r="AM57" s="826"/>
    </row>
    <row r="58" spans="1:39" ht="16" thickBot="1">
      <c r="A58" s="439"/>
      <c r="B58" s="842" t="s">
        <v>505</v>
      </c>
      <c r="C58" s="775">
        <f>C50*3.6*Euro/1000</f>
        <v>0</v>
      </c>
      <c r="D58" s="775">
        <f>D50*3.6*Euro/1000</f>
        <v>0</v>
      </c>
      <c r="E58" s="775">
        <f>E50*3.6*Euro/1000</f>
        <v>0</v>
      </c>
      <c r="F58" s="775">
        <f>F50*3.6*Euro/1000</f>
        <v>0</v>
      </c>
      <c r="G58" s="843"/>
      <c r="H58" s="843"/>
      <c r="I58" s="843"/>
      <c r="J58" s="843"/>
      <c r="K58" s="843"/>
      <c r="L58" s="843"/>
      <c r="M58" s="439"/>
      <c r="N58" s="439"/>
      <c r="O58" s="439"/>
      <c r="P58" s="439"/>
      <c r="Q58" s="439"/>
      <c r="R58" s="439"/>
      <c r="S58" s="439"/>
      <c r="T58" s="439"/>
      <c r="U58" s="439"/>
      <c r="V58" s="562"/>
      <c r="W58" s="562"/>
      <c r="X58" s="562"/>
      <c r="Y58" s="562"/>
      <c r="Z58" s="859" t="s">
        <v>505</v>
      </c>
      <c r="AA58" s="775">
        <f>AA50*3.6*Euro/1000</f>
        <v>1.341E-2</v>
      </c>
      <c r="AB58" s="775">
        <f>AB50*3.6*Euro/1000</f>
        <v>1.2605399999999999E-2</v>
      </c>
      <c r="AC58" s="775">
        <f>AC50*3.6*Euro/1000</f>
        <v>1.1264400000000001E-2</v>
      </c>
      <c r="AD58" s="775">
        <f>AD50*3.6*Euro/1000</f>
        <v>1.01916E-2</v>
      </c>
      <c r="AE58" s="860"/>
      <c r="AF58" s="860"/>
      <c r="AG58" s="860"/>
      <c r="AH58" s="860"/>
      <c r="AI58" s="860"/>
      <c r="AJ58" s="860"/>
      <c r="AK58" s="826"/>
      <c r="AL58" s="826"/>
      <c r="AM58" s="826"/>
    </row>
    <row r="59" spans="1:39" s="821" customFormat="1">
      <c r="A59" s="826"/>
      <c r="B59" s="848"/>
      <c r="C59" s="849"/>
      <c r="D59" s="849"/>
      <c r="E59" s="849"/>
      <c r="F59" s="849"/>
      <c r="G59" s="850"/>
      <c r="H59" s="850"/>
      <c r="I59" s="850"/>
      <c r="J59" s="850"/>
      <c r="K59" s="850"/>
      <c r="L59" s="850"/>
      <c r="M59" s="826"/>
      <c r="N59" s="826"/>
      <c r="O59" s="826"/>
      <c r="P59" s="826"/>
      <c r="Q59" s="826"/>
      <c r="R59" s="826"/>
      <c r="S59" s="826"/>
      <c r="T59" s="826"/>
      <c r="U59" s="826"/>
      <c r="Z59" s="848"/>
      <c r="AA59" s="849"/>
      <c r="AB59" s="849"/>
      <c r="AC59" s="849"/>
      <c r="AD59" s="849"/>
      <c r="AE59" s="850"/>
      <c r="AF59" s="850"/>
      <c r="AG59" s="850"/>
      <c r="AH59" s="850"/>
      <c r="AI59" s="850"/>
      <c r="AJ59" s="850"/>
      <c r="AK59" s="826"/>
      <c r="AL59" s="826"/>
      <c r="AM59" s="826"/>
    </row>
    <row r="60" spans="1:39" s="821" customFormat="1" ht="16" thickBot="1">
      <c r="A60" s="826"/>
      <c r="B60" s="848"/>
      <c r="C60" s="849"/>
      <c r="D60" s="849"/>
      <c r="E60" s="849"/>
      <c r="F60" s="849"/>
      <c r="G60" s="850"/>
      <c r="H60" s="850"/>
      <c r="I60" s="850"/>
      <c r="J60" s="850"/>
      <c r="K60" s="850"/>
      <c r="L60" s="850"/>
      <c r="M60" s="826"/>
      <c r="N60" s="826"/>
      <c r="O60" s="826"/>
      <c r="P60" s="826"/>
      <c r="Q60" s="826"/>
      <c r="R60" s="826"/>
      <c r="S60" s="826"/>
      <c r="T60" s="826"/>
      <c r="U60" s="826"/>
      <c r="Z60" s="848"/>
      <c r="AA60" s="849"/>
      <c r="AB60" s="849"/>
      <c r="AC60" s="849"/>
      <c r="AD60" s="849"/>
      <c r="AE60" s="850"/>
      <c r="AF60" s="850"/>
      <c r="AG60" s="850"/>
      <c r="AH60" s="850"/>
      <c r="AI60" s="850"/>
      <c r="AJ60" s="850"/>
      <c r="AK60" s="826"/>
      <c r="AL60" s="826"/>
      <c r="AM60" s="826"/>
    </row>
    <row r="61" spans="1:39" s="821" customFormat="1" ht="15.75" customHeight="1" thickBot="1">
      <c r="A61" s="826"/>
      <c r="B61" s="1148" t="s">
        <v>0</v>
      </c>
      <c r="C61" s="1249" t="s">
        <v>806</v>
      </c>
      <c r="D61" s="1250"/>
      <c r="E61" s="1250"/>
      <c r="F61" s="1250"/>
      <c r="G61" s="1250"/>
      <c r="H61" s="1250"/>
      <c r="I61" s="1250"/>
      <c r="J61" s="1250"/>
      <c r="K61" s="1250"/>
      <c r="L61" s="1251"/>
      <c r="M61" s="826"/>
      <c r="N61" s="826"/>
      <c r="O61" s="826"/>
      <c r="P61" s="826"/>
      <c r="Q61" s="826"/>
      <c r="R61" s="826"/>
      <c r="S61" s="826"/>
      <c r="T61" s="826"/>
      <c r="U61" s="826"/>
      <c r="Z61" s="739" t="s">
        <v>0</v>
      </c>
      <c r="AA61" s="1249" t="s">
        <v>597</v>
      </c>
      <c r="AB61" s="1250"/>
      <c r="AC61" s="1250"/>
      <c r="AD61" s="1250"/>
      <c r="AE61" s="1250"/>
      <c r="AF61" s="1250"/>
      <c r="AG61" s="1250"/>
      <c r="AH61" s="1250"/>
      <c r="AI61" s="1250"/>
      <c r="AJ61" s="1251"/>
      <c r="AK61" s="826"/>
      <c r="AL61" s="826"/>
      <c r="AM61" s="826"/>
    </row>
    <row r="62" spans="1:39" s="821" customFormat="1" ht="15.75" customHeight="1" thickBot="1">
      <c r="A62" s="826"/>
      <c r="B62" s="1149"/>
      <c r="C62" s="1255">
        <v>2015</v>
      </c>
      <c r="D62" s="1256">
        <v>2020</v>
      </c>
      <c r="E62" s="1256">
        <v>2030</v>
      </c>
      <c r="F62" s="1252">
        <v>2050</v>
      </c>
      <c r="G62" s="1254" t="s">
        <v>467</v>
      </c>
      <c r="H62" s="1252"/>
      <c r="I62" s="1255" t="s">
        <v>468</v>
      </c>
      <c r="J62" s="1252"/>
      <c r="K62" s="1256" t="s">
        <v>2</v>
      </c>
      <c r="L62" s="1256" t="s">
        <v>3</v>
      </c>
      <c r="M62" s="826"/>
      <c r="N62" s="826"/>
      <c r="O62" s="826"/>
      <c r="P62" s="826"/>
      <c r="Q62" s="826"/>
      <c r="R62" s="826"/>
      <c r="S62" s="826"/>
      <c r="T62" s="826"/>
      <c r="U62" s="826"/>
      <c r="Z62" s="564"/>
      <c r="AA62" s="1256">
        <v>2015</v>
      </c>
      <c r="AB62" s="1256">
        <v>2020</v>
      </c>
      <c r="AC62" s="1256">
        <v>2030</v>
      </c>
      <c r="AD62" s="1256">
        <v>2050</v>
      </c>
      <c r="AE62" s="1309" t="s">
        <v>467</v>
      </c>
      <c r="AF62" s="1310"/>
      <c r="AG62" s="1309" t="s">
        <v>468</v>
      </c>
      <c r="AH62" s="1310"/>
      <c r="AI62" s="1256" t="s">
        <v>2</v>
      </c>
      <c r="AJ62" s="1256" t="s">
        <v>3</v>
      </c>
      <c r="AK62" s="826"/>
      <c r="AL62" s="826"/>
      <c r="AM62" s="826"/>
    </row>
    <row r="63" spans="1:39" s="821" customFormat="1" ht="16" thickBot="1">
      <c r="A63" s="826"/>
      <c r="B63" s="1150" t="s">
        <v>4</v>
      </c>
      <c r="C63" s="1259"/>
      <c r="D63" s="1257"/>
      <c r="E63" s="1257"/>
      <c r="F63" s="1253"/>
      <c r="G63" s="1151" t="s">
        <v>469</v>
      </c>
      <c r="H63" s="1152" t="s">
        <v>470</v>
      </c>
      <c r="I63" s="1152" t="s">
        <v>469</v>
      </c>
      <c r="J63" s="1153" t="s">
        <v>470</v>
      </c>
      <c r="K63" s="1257"/>
      <c r="L63" s="1257"/>
      <c r="M63" s="826"/>
      <c r="N63" s="826"/>
      <c r="O63" s="826"/>
      <c r="P63" s="826"/>
      <c r="Q63" s="826"/>
      <c r="R63" s="826"/>
      <c r="S63" s="826"/>
      <c r="T63" s="826"/>
      <c r="U63" s="826"/>
      <c r="Z63" s="766" t="s">
        <v>4</v>
      </c>
      <c r="AA63" s="1257"/>
      <c r="AB63" s="1257"/>
      <c r="AC63" s="1257"/>
      <c r="AD63" s="1257"/>
      <c r="AE63" s="741" t="s">
        <v>469</v>
      </c>
      <c r="AF63" s="742" t="s">
        <v>470</v>
      </c>
      <c r="AG63" s="742" t="s">
        <v>469</v>
      </c>
      <c r="AH63" s="743" t="s">
        <v>470</v>
      </c>
      <c r="AI63" s="1257"/>
      <c r="AJ63" s="1257"/>
      <c r="AK63" s="826"/>
      <c r="AL63" s="826"/>
      <c r="AM63" s="826"/>
    </row>
    <row r="64" spans="1:39" s="821" customFormat="1" ht="16" thickBot="1">
      <c r="A64" s="826"/>
      <c r="B64" s="1154" t="s">
        <v>5</v>
      </c>
      <c r="C64" s="1161">
        <v>4</v>
      </c>
      <c r="D64" s="1161">
        <v>4</v>
      </c>
      <c r="E64" s="1161">
        <v>4</v>
      </c>
      <c r="F64" s="1161">
        <v>4</v>
      </c>
      <c r="G64" s="1161">
        <v>2.5</v>
      </c>
      <c r="H64" s="1147">
        <v>6</v>
      </c>
      <c r="I64" s="1161">
        <v>2.5</v>
      </c>
      <c r="J64" s="1147">
        <v>6</v>
      </c>
      <c r="K64" s="1147"/>
      <c r="L64" s="1147" t="s">
        <v>571</v>
      </c>
      <c r="M64" s="826"/>
      <c r="N64" s="826"/>
      <c r="O64" s="826"/>
      <c r="P64" s="826"/>
      <c r="Q64" s="826"/>
      <c r="R64" s="826"/>
      <c r="S64" s="826"/>
      <c r="T64" s="826"/>
      <c r="U64" s="826"/>
      <c r="Z64" s="744" t="s">
        <v>5</v>
      </c>
      <c r="AA64" s="771">
        <v>160</v>
      </c>
      <c r="AB64" s="771">
        <v>160</v>
      </c>
      <c r="AC64" s="771">
        <v>160</v>
      </c>
      <c r="AD64" s="771">
        <v>160</v>
      </c>
      <c r="AE64" s="854">
        <v>140</v>
      </c>
      <c r="AF64" s="854">
        <v>200</v>
      </c>
      <c r="AG64" s="854">
        <v>140</v>
      </c>
      <c r="AH64" s="854">
        <v>200</v>
      </c>
      <c r="AI64" s="854"/>
      <c r="AJ64" s="854">
        <v>5.6</v>
      </c>
      <c r="AK64" s="826"/>
      <c r="AL64" s="826"/>
      <c r="AM64" s="826"/>
    </row>
    <row r="65" spans="1:39" s="821" customFormat="1" ht="16" thickBot="1">
      <c r="A65" s="826"/>
      <c r="B65" s="1154" t="s">
        <v>77</v>
      </c>
      <c r="C65" s="1147">
        <v>0</v>
      </c>
      <c r="D65" s="1147">
        <v>0</v>
      </c>
      <c r="E65" s="1147">
        <v>0</v>
      </c>
      <c r="F65" s="1147">
        <v>0</v>
      </c>
      <c r="G65" s="1147">
        <v>0</v>
      </c>
      <c r="H65" s="1147">
        <v>0</v>
      </c>
      <c r="I65" s="1147">
        <v>0</v>
      </c>
      <c r="J65" s="1147">
        <v>0</v>
      </c>
      <c r="K65" s="1147"/>
      <c r="L65" s="1147"/>
      <c r="M65" s="826"/>
      <c r="N65" s="826"/>
      <c r="O65" s="826"/>
      <c r="P65" s="826"/>
      <c r="Q65" s="826"/>
      <c r="R65" s="826"/>
      <c r="S65" s="826"/>
      <c r="T65" s="826"/>
      <c r="U65" s="826"/>
      <c r="Z65" s="744" t="s">
        <v>77</v>
      </c>
      <c r="AA65" s="854">
        <v>0</v>
      </c>
      <c r="AB65" s="854">
        <v>0</v>
      </c>
      <c r="AC65" s="854">
        <v>0</v>
      </c>
      <c r="AD65" s="854">
        <v>0</v>
      </c>
      <c r="AE65" s="854">
        <v>0</v>
      </c>
      <c r="AF65" s="854">
        <v>0</v>
      </c>
      <c r="AG65" s="854">
        <v>0</v>
      </c>
      <c r="AH65" s="854">
        <v>0</v>
      </c>
      <c r="AI65" s="854"/>
      <c r="AJ65" s="854"/>
      <c r="AK65" s="826"/>
      <c r="AL65" s="826"/>
      <c r="AM65" s="826"/>
    </row>
    <row r="66" spans="1:39" s="821" customFormat="1" ht="25" thickBot="1">
      <c r="A66" s="826"/>
      <c r="B66" s="1154" t="s">
        <v>7</v>
      </c>
      <c r="C66" s="1147">
        <v>100</v>
      </c>
      <c r="D66" s="1147">
        <v>100</v>
      </c>
      <c r="E66" s="1147">
        <v>100</v>
      </c>
      <c r="F66" s="1147">
        <v>100</v>
      </c>
      <c r="G66" s="1147">
        <v>80</v>
      </c>
      <c r="H66" s="1147">
        <v>100</v>
      </c>
      <c r="I66" s="1147">
        <v>80</v>
      </c>
      <c r="J66" s="1147">
        <v>100</v>
      </c>
      <c r="K66" s="1147" t="s">
        <v>23</v>
      </c>
      <c r="L66" s="1147" t="s">
        <v>572</v>
      </c>
      <c r="M66" s="826"/>
      <c r="N66" s="826"/>
      <c r="O66" s="826"/>
      <c r="P66" s="826"/>
      <c r="Q66" s="826"/>
      <c r="R66" s="826"/>
      <c r="S66" s="826"/>
      <c r="T66" s="826"/>
      <c r="U66" s="826"/>
      <c r="Z66" s="744" t="s">
        <v>7</v>
      </c>
      <c r="AA66" s="854">
        <v>100</v>
      </c>
      <c r="AB66" s="854">
        <v>100</v>
      </c>
      <c r="AC66" s="854">
        <v>100</v>
      </c>
      <c r="AD66" s="854">
        <v>100</v>
      </c>
      <c r="AE66" s="854">
        <v>70</v>
      </c>
      <c r="AF66" s="854">
        <v>100</v>
      </c>
      <c r="AG66" s="854">
        <v>70</v>
      </c>
      <c r="AH66" s="854">
        <v>100</v>
      </c>
      <c r="AI66" s="854" t="s">
        <v>23</v>
      </c>
      <c r="AJ66" s="854"/>
      <c r="AK66" s="826"/>
      <c r="AL66" s="826"/>
      <c r="AM66" s="826"/>
    </row>
    <row r="67" spans="1:39" s="821" customFormat="1" ht="25" thickBot="1">
      <c r="A67" s="826"/>
      <c r="B67" s="1154" t="s">
        <v>8</v>
      </c>
      <c r="C67" s="1147">
        <v>100</v>
      </c>
      <c r="D67" s="1147">
        <v>100</v>
      </c>
      <c r="E67" s="1147">
        <v>100</v>
      </c>
      <c r="F67" s="1147">
        <v>100</v>
      </c>
      <c r="G67" s="1147">
        <v>80</v>
      </c>
      <c r="H67" s="1147">
        <v>100</v>
      </c>
      <c r="I67" s="1147">
        <v>80</v>
      </c>
      <c r="J67" s="1147">
        <v>100</v>
      </c>
      <c r="K67" s="1147" t="s">
        <v>23</v>
      </c>
      <c r="L67" s="1147">
        <v>1.2</v>
      </c>
      <c r="M67" s="826"/>
      <c r="N67" s="826"/>
      <c r="O67" s="826"/>
      <c r="P67" s="826"/>
      <c r="Q67" s="826"/>
      <c r="R67" s="826"/>
      <c r="S67" s="826"/>
      <c r="T67" s="826"/>
      <c r="U67" s="826"/>
      <c r="Z67" s="744" t="s">
        <v>8</v>
      </c>
      <c r="AA67" s="854">
        <v>100</v>
      </c>
      <c r="AB67" s="854">
        <v>100</v>
      </c>
      <c r="AC67" s="854">
        <v>100</v>
      </c>
      <c r="AD67" s="854">
        <v>100</v>
      </c>
      <c r="AE67" s="854">
        <v>70</v>
      </c>
      <c r="AF67" s="854">
        <v>100</v>
      </c>
      <c r="AG67" s="854">
        <v>70</v>
      </c>
      <c r="AH67" s="854">
        <v>100</v>
      </c>
      <c r="AI67" s="854" t="s">
        <v>23</v>
      </c>
      <c r="AJ67" s="854"/>
      <c r="AK67" s="826"/>
      <c r="AL67" s="826"/>
      <c r="AM67" s="826"/>
    </row>
    <row r="68" spans="1:39" s="821" customFormat="1" ht="25" thickBot="1">
      <c r="A68" s="826"/>
      <c r="B68" s="1154" t="s">
        <v>573</v>
      </c>
      <c r="C68" s="1147">
        <v>355</v>
      </c>
      <c r="D68" s="1147">
        <v>365</v>
      </c>
      <c r="E68" s="1147">
        <v>375</v>
      </c>
      <c r="F68" s="1147">
        <v>390</v>
      </c>
      <c r="G68" s="1147">
        <v>335</v>
      </c>
      <c r="H68" s="1147">
        <v>385</v>
      </c>
      <c r="I68" s="1147">
        <v>335</v>
      </c>
      <c r="J68" s="1147">
        <v>410</v>
      </c>
      <c r="K68" s="1147" t="s">
        <v>498</v>
      </c>
      <c r="L68" s="1147" t="s">
        <v>574</v>
      </c>
      <c r="M68" s="826"/>
      <c r="N68" s="826"/>
      <c r="O68" s="826"/>
      <c r="P68" s="826"/>
      <c r="Q68" s="826"/>
      <c r="R68" s="826"/>
      <c r="S68" s="826"/>
      <c r="T68" s="826"/>
      <c r="U68" s="826"/>
      <c r="Z68" s="744" t="s">
        <v>573</v>
      </c>
      <c r="AA68" s="854">
        <v>500</v>
      </c>
      <c r="AB68" s="854">
        <v>510</v>
      </c>
      <c r="AC68" s="854">
        <v>520</v>
      </c>
      <c r="AD68" s="854">
        <v>540</v>
      </c>
      <c r="AE68" s="854">
        <v>500</v>
      </c>
      <c r="AF68" s="854">
        <v>530</v>
      </c>
      <c r="AG68" s="854">
        <v>500</v>
      </c>
      <c r="AH68" s="854">
        <v>580</v>
      </c>
      <c r="AI68" s="854" t="s">
        <v>498</v>
      </c>
      <c r="AJ68" s="854" t="s">
        <v>598</v>
      </c>
      <c r="AK68" s="826"/>
      <c r="AL68" s="826"/>
      <c r="AM68" s="826"/>
    </row>
    <row r="69" spans="1:39" s="821" customFormat="1" ht="25" thickBot="1">
      <c r="A69" s="826"/>
      <c r="B69" s="1154" t="s">
        <v>575</v>
      </c>
      <c r="C69" s="1147">
        <v>335</v>
      </c>
      <c r="D69" s="1147">
        <v>345</v>
      </c>
      <c r="E69" s="1147">
        <v>360</v>
      </c>
      <c r="F69" s="1147">
        <v>375</v>
      </c>
      <c r="G69" s="1147">
        <v>325</v>
      </c>
      <c r="H69" s="1147">
        <v>375</v>
      </c>
      <c r="I69" s="1147">
        <v>325</v>
      </c>
      <c r="J69" s="1147">
        <v>400</v>
      </c>
      <c r="K69" s="1147" t="s">
        <v>481</v>
      </c>
      <c r="L69" s="1147" t="s">
        <v>574</v>
      </c>
      <c r="M69" s="826"/>
      <c r="N69" s="826"/>
      <c r="O69" s="826"/>
      <c r="P69" s="826"/>
      <c r="Q69" s="826"/>
      <c r="R69" s="826"/>
      <c r="S69" s="826"/>
      <c r="T69" s="826"/>
      <c r="U69" s="826"/>
      <c r="Z69" s="744" t="s">
        <v>575</v>
      </c>
      <c r="AA69" s="854">
        <v>430</v>
      </c>
      <c r="AB69" s="854">
        <v>440</v>
      </c>
      <c r="AC69" s="854">
        <v>450</v>
      </c>
      <c r="AD69" s="854">
        <v>460</v>
      </c>
      <c r="AE69" s="854">
        <v>430</v>
      </c>
      <c r="AF69" s="854">
        <v>490</v>
      </c>
      <c r="AG69" s="854">
        <v>430</v>
      </c>
      <c r="AH69" s="854">
        <v>530</v>
      </c>
      <c r="AI69" s="854" t="s">
        <v>481</v>
      </c>
      <c r="AJ69" s="854" t="s">
        <v>599</v>
      </c>
      <c r="AK69" s="826"/>
      <c r="AL69" s="826"/>
      <c r="AM69" s="826"/>
    </row>
    <row r="70" spans="1:39" s="821" customFormat="1" ht="25" thickBot="1">
      <c r="A70" s="826"/>
      <c r="B70" s="1154" t="s">
        <v>576</v>
      </c>
      <c r="C70" s="1147">
        <v>310</v>
      </c>
      <c r="D70" s="1147">
        <v>320</v>
      </c>
      <c r="E70" s="1147">
        <v>330</v>
      </c>
      <c r="F70" s="1147">
        <v>345</v>
      </c>
      <c r="G70" s="1147">
        <v>300</v>
      </c>
      <c r="H70" s="1147">
        <v>340</v>
      </c>
      <c r="I70" s="1147">
        <v>300</v>
      </c>
      <c r="J70" s="1147">
        <v>380</v>
      </c>
      <c r="K70" s="1147" t="s">
        <v>498</v>
      </c>
      <c r="L70" s="1147" t="s">
        <v>574</v>
      </c>
      <c r="M70" s="826"/>
      <c r="N70" s="826"/>
      <c r="O70" s="826"/>
      <c r="P70" s="826"/>
      <c r="Q70" s="826"/>
      <c r="R70" s="826"/>
      <c r="S70" s="826"/>
      <c r="T70" s="826"/>
      <c r="U70" s="826"/>
      <c r="Z70" s="744" t="s">
        <v>576</v>
      </c>
      <c r="AA70" s="854">
        <v>480</v>
      </c>
      <c r="AB70" s="854">
        <v>490</v>
      </c>
      <c r="AC70" s="854">
        <v>500</v>
      </c>
      <c r="AD70" s="854">
        <v>520</v>
      </c>
      <c r="AE70" s="854">
        <v>480</v>
      </c>
      <c r="AF70" s="854">
        <v>510</v>
      </c>
      <c r="AG70" s="854">
        <v>480</v>
      </c>
      <c r="AH70" s="854">
        <v>560</v>
      </c>
      <c r="AI70" s="854" t="s">
        <v>498</v>
      </c>
      <c r="AJ70" s="854" t="s">
        <v>598</v>
      </c>
      <c r="AK70" s="826"/>
      <c r="AL70" s="826"/>
      <c r="AM70" s="826"/>
    </row>
    <row r="71" spans="1:39" s="821" customFormat="1" ht="25" thickBot="1">
      <c r="A71" s="826"/>
      <c r="B71" s="1154" t="s">
        <v>577</v>
      </c>
      <c r="C71" s="1147">
        <v>295</v>
      </c>
      <c r="D71" s="1147">
        <v>305</v>
      </c>
      <c r="E71" s="1147">
        <v>315</v>
      </c>
      <c r="F71" s="1147">
        <v>330</v>
      </c>
      <c r="G71" s="1147">
        <v>285</v>
      </c>
      <c r="H71" s="1147">
        <v>325</v>
      </c>
      <c r="I71" s="1147">
        <v>285</v>
      </c>
      <c r="J71" s="1147">
        <v>370</v>
      </c>
      <c r="K71" s="1147" t="s">
        <v>481</v>
      </c>
      <c r="L71" s="1147" t="s">
        <v>574</v>
      </c>
      <c r="M71" s="826"/>
      <c r="N71" s="826"/>
      <c r="O71" s="826"/>
      <c r="P71" s="826"/>
      <c r="Q71" s="826"/>
      <c r="R71" s="826"/>
      <c r="S71" s="826"/>
      <c r="T71" s="826"/>
      <c r="U71" s="826"/>
      <c r="Z71" s="744" t="s">
        <v>577</v>
      </c>
      <c r="AA71" s="854">
        <v>420</v>
      </c>
      <c r="AB71" s="854">
        <v>430</v>
      </c>
      <c r="AC71" s="854">
        <v>440</v>
      </c>
      <c r="AD71" s="854">
        <v>455</v>
      </c>
      <c r="AE71" s="854">
        <v>420</v>
      </c>
      <c r="AF71" s="854">
        <v>470</v>
      </c>
      <c r="AG71" s="854">
        <v>420</v>
      </c>
      <c r="AH71" s="854">
        <v>520</v>
      </c>
      <c r="AI71" s="854" t="s">
        <v>481</v>
      </c>
      <c r="AJ71" s="854" t="s">
        <v>599</v>
      </c>
      <c r="AK71" s="826"/>
      <c r="AL71" s="826"/>
      <c r="AM71" s="826"/>
    </row>
    <row r="72" spans="1:39" s="821" customFormat="1" ht="16" thickBot="1">
      <c r="A72" s="826"/>
      <c r="B72" s="1154" t="s">
        <v>472</v>
      </c>
      <c r="C72" s="1147">
        <v>100</v>
      </c>
      <c r="D72" s="1147">
        <v>100</v>
      </c>
      <c r="E72" s="1147">
        <v>100</v>
      </c>
      <c r="F72" s="1147">
        <v>100</v>
      </c>
      <c r="G72" s="1147">
        <v>80</v>
      </c>
      <c r="H72" s="1147">
        <v>120</v>
      </c>
      <c r="I72" s="1147">
        <v>80</v>
      </c>
      <c r="J72" s="1147">
        <v>120</v>
      </c>
      <c r="K72" s="1147" t="s">
        <v>279</v>
      </c>
      <c r="L72" s="1147">
        <v>4</v>
      </c>
      <c r="M72" s="826"/>
      <c r="N72" s="826"/>
      <c r="O72" s="826"/>
      <c r="P72" s="826"/>
      <c r="Q72" s="826"/>
      <c r="R72" s="826"/>
      <c r="S72" s="826"/>
      <c r="T72" s="826"/>
      <c r="U72" s="826"/>
      <c r="Z72" s="744" t="s">
        <v>472</v>
      </c>
      <c r="AA72" s="854">
        <v>10000</v>
      </c>
      <c r="AB72" s="854">
        <v>10000</v>
      </c>
      <c r="AC72" s="854">
        <v>10000</v>
      </c>
      <c r="AD72" s="854">
        <v>10000</v>
      </c>
      <c r="AE72" s="854">
        <v>8000</v>
      </c>
      <c r="AF72" s="854">
        <v>12000</v>
      </c>
      <c r="AG72" s="854">
        <v>8000</v>
      </c>
      <c r="AH72" s="854">
        <v>12000</v>
      </c>
      <c r="AI72" s="854" t="s">
        <v>279</v>
      </c>
      <c r="AJ72" s="854">
        <v>4.7</v>
      </c>
      <c r="AK72" s="826"/>
      <c r="AL72" s="826"/>
      <c r="AM72" s="826"/>
    </row>
    <row r="73" spans="1:39" s="821" customFormat="1" ht="16" thickBot="1">
      <c r="A73" s="826"/>
      <c r="B73" s="1154" t="s">
        <v>10</v>
      </c>
      <c r="C73" s="1147">
        <v>20</v>
      </c>
      <c r="D73" s="1147">
        <v>20</v>
      </c>
      <c r="E73" s="1147">
        <v>20</v>
      </c>
      <c r="F73" s="1147">
        <v>20</v>
      </c>
      <c r="G73" s="1147">
        <v>15</v>
      </c>
      <c r="H73" s="1147">
        <v>25</v>
      </c>
      <c r="I73" s="1147">
        <v>15</v>
      </c>
      <c r="J73" s="1147">
        <v>25</v>
      </c>
      <c r="K73" s="1147"/>
      <c r="L73" s="1147" t="s">
        <v>572</v>
      </c>
      <c r="M73" s="826"/>
      <c r="N73" s="826"/>
      <c r="O73" s="826"/>
      <c r="P73" s="826"/>
      <c r="Q73" s="826"/>
      <c r="R73" s="826"/>
      <c r="S73" s="826"/>
      <c r="T73" s="826"/>
      <c r="U73" s="826"/>
      <c r="Z73" s="744" t="s">
        <v>10</v>
      </c>
      <c r="AA73" s="854">
        <v>15</v>
      </c>
      <c r="AB73" s="854">
        <v>15</v>
      </c>
      <c r="AC73" s="854">
        <v>15</v>
      </c>
      <c r="AD73" s="854">
        <v>15</v>
      </c>
      <c r="AE73" s="854">
        <v>12</v>
      </c>
      <c r="AF73" s="854">
        <v>20</v>
      </c>
      <c r="AG73" s="854">
        <v>12</v>
      </c>
      <c r="AH73" s="854">
        <v>20</v>
      </c>
      <c r="AI73" s="854"/>
      <c r="AJ73" s="854">
        <v>7.12</v>
      </c>
      <c r="AK73" s="826"/>
      <c r="AL73" s="826"/>
      <c r="AM73" s="826"/>
    </row>
    <row r="74" spans="1:39" s="821" customFormat="1" ht="16" thickBot="1">
      <c r="A74" s="826"/>
      <c r="B74" s="1150" t="s">
        <v>488</v>
      </c>
      <c r="C74" s="1155"/>
      <c r="D74" s="1155"/>
      <c r="E74" s="1155"/>
      <c r="F74" s="1155"/>
      <c r="G74" s="1155"/>
      <c r="H74" s="1155"/>
      <c r="I74" s="1155"/>
      <c r="J74" s="1155"/>
      <c r="K74" s="1155"/>
      <c r="L74" s="1147"/>
      <c r="M74" s="826"/>
      <c r="N74" s="826"/>
      <c r="O74" s="826"/>
      <c r="P74" s="826"/>
      <c r="Q74" s="826"/>
      <c r="R74" s="826"/>
      <c r="S74" s="826"/>
      <c r="T74" s="826"/>
      <c r="U74" s="826"/>
      <c r="Z74" s="766" t="s">
        <v>488</v>
      </c>
      <c r="AA74" s="857"/>
      <c r="AB74" s="857"/>
      <c r="AC74" s="857"/>
      <c r="AD74" s="857"/>
      <c r="AE74" s="857"/>
      <c r="AF74" s="857"/>
      <c r="AG74" s="857"/>
      <c r="AH74" s="857"/>
      <c r="AI74" s="857"/>
      <c r="AJ74" s="854"/>
      <c r="AK74" s="826"/>
      <c r="AL74" s="826"/>
      <c r="AM74" s="826"/>
    </row>
    <row r="75" spans="1:39" s="821" customFormat="1" ht="16" thickBot="1">
      <c r="A75" s="826"/>
      <c r="B75" s="1154" t="s">
        <v>578</v>
      </c>
      <c r="C75" s="1156">
        <v>100</v>
      </c>
      <c r="D75" s="1156">
        <v>100</v>
      </c>
      <c r="E75" s="1156">
        <v>100</v>
      </c>
      <c r="F75" s="1156">
        <v>100</v>
      </c>
      <c r="G75" s="1156">
        <v>50</v>
      </c>
      <c r="H75" s="1156">
        <v>100</v>
      </c>
      <c r="I75" s="1156">
        <v>50</v>
      </c>
      <c r="J75" s="1156">
        <v>100</v>
      </c>
      <c r="K75" s="1156"/>
      <c r="L75" s="1147" t="s">
        <v>572</v>
      </c>
      <c r="M75" s="826"/>
      <c r="N75" s="826"/>
      <c r="O75" s="826"/>
      <c r="P75" s="826"/>
      <c r="Q75" s="826"/>
      <c r="R75" s="826"/>
      <c r="S75" s="826"/>
      <c r="T75" s="826"/>
      <c r="U75" s="826"/>
      <c r="Z75" s="744" t="s">
        <v>578</v>
      </c>
      <c r="AA75" s="746">
        <v>100</v>
      </c>
      <c r="AB75" s="746">
        <v>100</v>
      </c>
      <c r="AC75" s="746">
        <v>100</v>
      </c>
      <c r="AD75" s="746">
        <v>100</v>
      </c>
      <c r="AE75" s="746">
        <v>20</v>
      </c>
      <c r="AF75" s="746">
        <v>100</v>
      </c>
      <c r="AG75" s="746">
        <v>20</v>
      </c>
      <c r="AH75" s="746">
        <v>100</v>
      </c>
      <c r="AI75" s="746"/>
      <c r="AJ75" s="854">
        <v>7.11</v>
      </c>
      <c r="AK75" s="826"/>
      <c r="AL75" s="826"/>
      <c r="AM75" s="826"/>
    </row>
    <row r="76" spans="1:39" s="821" customFormat="1" ht="16" thickBot="1">
      <c r="A76" s="826"/>
      <c r="B76" s="1154" t="s">
        <v>492</v>
      </c>
      <c r="C76" s="1156">
        <v>0</v>
      </c>
      <c r="D76" s="1156">
        <v>0</v>
      </c>
      <c r="E76" s="1156">
        <v>0</v>
      </c>
      <c r="F76" s="1156">
        <v>0</v>
      </c>
      <c r="G76" s="1156">
        <v>0</v>
      </c>
      <c r="H76" s="1156">
        <v>0</v>
      </c>
      <c r="I76" s="1156">
        <v>0</v>
      </c>
      <c r="J76" s="1156">
        <v>0</v>
      </c>
      <c r="K76" s="1156"/>
      <c r="L76" s="1147" t="s">
        <v>572</v>
      </c>
      <c r="M76" s="826"/>
      <c r="N76" s="826"/>
      <c r="O76" s="826"/>
      <c r="P76" s="826"/>
      <c r="Q76" s="826"/>
      <c r="R76" s="826"/>
      <c r="S76" s="826"/>
      <c r="T76" s="826"/>
      <c r="U76" s="826"/>
      <c r="Z76" s="744" t="s">
        <v>492</v>
      </c>
      <c r="AA76" s="746">
        <v>0</v>
      </c>
      <c r="AB76" s="746">
        <v>0</v>
      </c>
      <c r="AC76" s="746">
        <v>0</v>
      </c>
      <c r="AD76" s="746">
        <v>0</v>
      </c>
      <c r="AE76" s="746">
        <v>0</v>
      </c>
      <c r="AF76" s="746">
        <v>0</v>
      </c>
      <c r="AG76" s="746">
        <v>0</v>
      </c>
      <c r="AH76" s="746">
        <v>0</v>
      </c>
      <c r="AI76" s="746"/>
      <c r="AJ76" s="854">
        <v>7.11</v>
      </c>
      <c r="AK76" s="826"/>
      <c r="AL76" s="826"/>
      <c r="AM76" s="826"/>
    </row>
    <row r="77" spans="1:39" s="821" customFormat="1" ht="16" thickBot="1">
      <c r="A77" s="826"/>
      <c r="B77" s="1154" t="s">
        <v>493</v>
      </c>
      <c r="C77" s="1156">
        <v>0</v>
      </c>
      <c r="D77" s="1156">
        <v>0</v>
      </c>
      <c r="E77" s="1156">
        <v>0</v>
      </c>
      <c r="F77" s="1156">
        <v>0</v>
      </c>
      <c r="G77" s="1156">
        <v>0</v>
      </c>
      <c r="H77" s="1156">
        <v>0</v>
      </c>
      <c r="I77" s="1156">
        <v>0</v>
      </c>
      <c r="J77" s="1156">
        <v>0</v>
      </c>
      <c r="K77" s="1156"/>
      <c r="L77" s="1147" t="s">
        <v>572</v>
      </c>
      <c r="M77" s="826"/>
      <c r="N77" s="826"/>
      <c r="O77" s="826"/>
      <c r="P77" s="826"/>
      <c r="Q77" s="826"/>
      <c r="R77" s="826"/>
      <c r="S77" s="826"/>
      <c r="T77" s="826"/>
      <c r="U77" s="826"/>
      <c r="Z77" s="744" t="s">
        <v>493</v>
      </c>
      <c r="AA77" s="746">
        <v>0</v>
      </c>
      <c r="AB77" s="746">
        <v>0</v>
      </c>
      <c r="AC77" s="746">
        <v>0</v>
      </c>
      <c r="AD77" s="746">
        <v>0</v>
      </c>
      <c r="AE77" s="746">
        <v>0</v>
      </c>
      <c r="AF77" s="746">
        <v>0</v>
      </c>
      <c r="AG77" s="746">
        <v>0</v>
      </c>
      <c r="AH77" s="746">
        <v>0</v>
      </c>
      <c r="AI77" s="746"/>
      <c r="AJ77" s="854">
        <v>7.11</v>
      </c>
      <c r="AK77" s="826"/>
      <c r="AL77" s="826"/>
      <c r="AM77" s="826"/>
    </row>
    <row r="78" spans="1:39" s="821" customFormat="1" ht="16" thickBot="1">
      <c r="A78" s="826"/>
      <c r="B78" s="1150" t="s">
        <v>11</v>
      </c>
      <c r="C78" s="1157"/>
      <c r="D78" s="1157"/>
      <c r="E78" s="1157"/>
      <c r="F78" s="1157"/>
      <c r="G78" s="1157"/>
      <c r="H78" s="1157"/>
      <c r="I78" s="1157"/>
      <c r="J78" s="1157"/>
      <c r="K78" s="1157"/>
      <c r="L78" s="1158"/>
      <c r="M78" s="826"/>
      <c r="N78" s="826"/>
      <c r="O78" s="826"/>
      <c r="P78" s="826"/>
      <c r="Q78" s="826"/>
      <c r="R78" s="826"/>
      <c r="S78" s="826"/>
      <c r="T78" s="826"/>
      <c r="U78" s="826"/>
      <c r="Z78" s="766" t="s">
        <v>11</v>
      </c>
      <c r="AA78" s="767"/>
      <c r="AB78" s="767"/>
      <c r="AC78" s="767"/>
      <c r="AD78" s="767"/>
      <c r="AE78" s="767"/>
      <c r="AF78" s="767"/>
      <c r="AG78" s="767"/>
      <c r="AH78" s="767"/>
      <c r="AI78" s="767"/>
      <c r="AJ78" s="768"/>
      <c r="AK78" s="826"/>
      <c r="AL78" s="826"/>
      <c r="AM78" s="826"/>
    </row>
    <row r="79" spans="1:39" s="821" customFormat="1" ht="16" thickBot="1">
      <c r="A79" s="826"/>
      <c r="B79" s="1154" t="s">
        <v>474</v>
      </c>
      <c r="C79" s="1156" t="s">
        <v>487</v>
      </c>
      <c r="D79" s="1156" t="s">
        <v>487</v>
      </c>
      <c r="E79" s="1156" t="s">
        <v>487</v>
      </c>
      <c r="F79" s="1156" t="s">
        <v>487</v>
      </c>
      <c r="G79" s="1156" t="s">
        <v>487</v>
      </c>
      <c r="H79" s="1156" t="s">
        <v>487</v>
      </c>
      <c r="I79" s="1156" t="s">
        <v>487</v>
      </c>
      <c r="J79" s="1156" t="s">
        <v>487</v>
      </c>
      <c r="K79" s="1147"/>
      <c r="L79" s="1147"/>
      <c r="M79" s="826"/>
      <c r="N79" s="826"/>
      <c r="O79" s="826"/>
      <c r="P79" s="826"/>
      <c r="Q79" s="826"/>
      <c r="R79" s="826"/>
      <c r="S79" s="826"/>
      <c r="T79" s="826"/>
      <c r="U79" s="826"/>
      <c r="Z79" s="744" t="s">
        <v>474</v>
      </c>
      <c r="AA79" s="746" t="s">
        <v>487</v>
      </c>
      <c r="AB79" s="746" t="s">
        <v>487</v>
      </c>
      <c r="AC79" s="746" t="s">
        <v>487</v>
      </c>
      <c r="AD79" s="746" t="s">
        <v>487</v>
      </c>
      <c r="AE79" s="746" t="s">
        <v>487</v>
      </c>
      <c r="AF79" s="746" t="s">
        <v>487</v>
      </c>
      <c r="AG79" s="746" t="s">
        <v>487</v>
      </c>
      <c r="AH79" s="746" t="s">
        <v>487</v>
      </c>
      <c r="AI79" s="854"/>
      <c r="AJ79" s="854"/>
      <c r="AK79" s="826"/>
      <c r="AL79" s="826"/>
      <c r="AM79" s="826"/>
    </row>
    <row r="80" spans="1:39" s="821" customFormat="1" ht="16" thickBot="1">
      <c r="A80" s="826"/>
      <c r="B80" s="1154" t="s">
        <v>475</v>
      </c>
      <c r="C80" s="1156" t="s">
        <v>487</v>
      </c>
      <c r="D80" s="1156" t="s">
        <v>487</v>
      </c>
      <c r="E80" s="1156" t="s">
        <v>487</v>
      </c>
      <c r="F80" s="1156" t="s">
        <v>487</v>
      </c>
      <c r="G80" s="1156" t="s">
        <v>487</v>
      </c>
      <c r="H80" s="1156" t="s">
        <v>487</v>
      </c>
      <c r="I80" s="1156" t="s">
        <v>487</v>
      </c>
      <c r="J80" s="1156" t="s">
        <v>487</v>
      </c>
      <c r="K80" s="1147"/>
      <c r="L80" s="1147"/>
      <c r="M80" s="826"/>
      <c r="N80" s="826"/>
      <c r="O80" s="826"/>
      <c r="P80" s="826"/>
      <c r="Q80" s="826"/>
      <c r="R80" s="826"/>
      <c r="S80" s="826"/>
      <c r="T80" s="826"/>
      <c r="U80" s="826"/>
      <c r="Z80" s="744" t="s">
        <v>475</v>
      </c>
      <c r="AA80" s="746" t="s">
        <v>487</v>
      </c>
      <c r="AB80" s="746" t="s">
        <v>487</v>
      </c>
      <c r="AC80" s="746" t="s">
        <v>487</v>
      </c>
      <c r="AD80" s="746" t="s">
        <v>487</v>
      </c>
      <c r="AE80" s="746" t="s">
        <v>487</v>
      </c>
      <c r="AF80" s="746" t="s">
        <v>487</v>
      </c>
      <c r="AG80" s="746" t="s">
        <v>487</v>
      </c>
      <c r="AH80" s="746" t="s">
        <v>487</v>
      </c>
      <c r="AI80" s="854"/>
      <c r="AJ80" s="854"/>
      <c r="AK80" s="826"/>
      <c r="AL80" s="826"/>
      <c r="AM80" s="826"/>
    </row>
    <row r="81" spans="1:39" s="821" customFormat="1" ht="16" thickBot="1">
      <c r="A81" s="826"/>
      <c r="B81" s="1154" t="s">
        <v>476</v>
      </c>
      <c r="C81" s="1156" t="s">
        <v>487</v>
      </c>
      <c r="D81" s="1156" t="s">
        <v>487</v>
      </c>
      <c r="E81" s="1156" t="s">
        <v>487</v>
      </c>
      <c r="F81" s="1156" t="s">
        <v>487</v>
      </c>
      <c r="G81" s="1156" t="s">
        <v>487</v>
      </c>
      <c r="H81" s="1156" t="s">
        <v>487</v>
      </c>
      <c r="I81" s="1156" t="s">
        <v>487</v>
      </c>
      <c r="J81" s="1156" t="s">
        <v>487</v>
      </c>
      <c r="K81" s="1147"/>
      <c r="L81" s="1147"/>
      <c r="M81" s="826"/>
      <c r="N81" s="826"/>
      <c r="O81" s="826"/>
      <c r="P81" s="826"/>
      <c r="Q81" s="826"/>
      <c r="R81" s="826"/>
      <c r="S81" s="826"/>
      <c r="T81" s="826"/>
      <c r="U81" s="826"/>
      <c r="Z81" s="744" t="s">
        <v>476</v>
      </c>
      <c r="AA81" s="746" t="s">
        <v>487</v>
      </c>
      <c r="AB81" s="746" t="s">
        <v>487</v>
      </c>
      <c r="AC81" s="746" t="s">
        <v>487</v>
      </c>
      <c r="AD81" s="746" t="s">
        <v>487</v>
      </c>
      <c r="AE81" s="746" t="s">
        <v>487</v>
      </c>
      <c r="AF81" s="746" t="s">
        <v>487</v>
      </c>
      <c r="AG81" s="746" t="s">
        <v>487</v>
      </c>
      <c r="AH81" s="746" t="s">
        <v>487</v>
      </c>
      <c r="AI81" s="854"/>
      <c r="AJ81" s="854"/>
      <c r="AK81" s="826"/>
      <c r="AL81" s="826"/>
      <c r="AM81" s="826"/>
    </row>
    <row r="82" spans="1:39" s="821" customFormat="1" ht="16" thickBot="1">
      <c r="A82" s="826"/>
      <c r="B82" s="1154" t="s">
        <v>477</v>
      </c>
      <c r="C82" s="1156" t="s">
        <v>487</v>
      </c>
      <c r="D82" s="1156" t="s">
        <v>487</v>
      </c>
      <c r="E82" s="1156" t="s">
        <v>487</v>
      </c>
      <c r="F82" s="1156" t="s">
        <v>487</v>
      </c>
      <c r="G82" s="1156" t="s">
        <v>487</v>
      </c>
      <c r="H82" s="1156" t="s">
        <v>487</v>
      </c>
      <c r="I82" s="1156" t="s">
        <v>487</v>
      </c>
      <c r="J82" s="1156" t="s">
        <v>487</v>
      </c>
      <c r="K82" s="1147"/>
      <c r="L82" s="1147"/>
      <c r="M82" s="826"/>
      <c r="N82" s="826"/>
      <c r="O82" s="826"/>
      <c r="P82" s="826"/>
      <c r="Q82" s="826"/>
      <c r="R82" s="826"/>
      <c r="S82" s="826"/>
      <c r="T82" s="826"/>
      <c r="U82" s="826"/>
      <c r="Z82" s="744" t="s">
        <v>477</v>
      </c>
      <c r="AA82" s="746" t="s">
        <v>487</v>
      </c>
      <c r="AB82" s="746" t="s">
        <v>487</v>
      </c>
      <c r="AC82" s="746" t="s">
        <v>487</v>
      </c>
      <c r="AD82" s="746" t="s">
        <v>487</v>
      </c>
      <c r="AE82" s="746" t="s">
        <v>487</v>
      </c>
      <c r="AF82" s="746" t="s">
        <v>487</v>
      </c>
      <c r="AG82" s="746" t="s">
        <v>487</v>
      </c>
      <c r="AH82" s="746" t="s">
        <v>487</v>
      </c>
      <c r="AI82" s="854"/>
      <c r="AJ82" s="854"/>
      <c r="AK82" s="826"/>
      <c r="AL82" s="826"/>
      <c r="AM82" s="826"/>
    </row>
    <row r="83" spans="1:39" s="821" customFormat="1" ht="16" thickBot="1">
      <c r="A83" s="826"/>
      <c r="B83" s="1154" t="s">
        <v>18</v>
      </c>
      <c r="C83" s="1156" t="s">
        <v>487</v>
      </c>
      <c r="D83" s="1156" t="s">
        <v>487</v>
      </c>
      <c r="E83" s="1156" t="s">
        <v>487</v>
      </c>
      <c r="F83" s="1156" t="s">
        <v>487</v>
      </c>
      <c r="G83" s="1156" t="s">
        <v>487</v>
      </c>
      <c r="H83" s="1156" t="s">
        <v>487</v>
      </c>
      <c r="I83" s="1156" t="s">
        <v>487</v>
      </c>
      <c r="J83" s="1156" t="s">
        <v>487</v>
      </c>
      <c r="K83" s="1147"/>
      <c r="L83" s="1147"/>
      <c r="M83" s="826"/>
      <c r="N83" s="826"/>
      <c r="O83" s="826"/>
      <c r="P83" s="826"/>
      <c r="Q83" s="826"/>
      <c r="R83" s="826"/>
      <c r="S83" s="826"/>
      <c r="T83" s="826"/>
      <c r="U83" s="826"/>
      <c r="Z83" s="744" t="s">
        <v>18</v>
      </c>
      <c r="AA83" s="746" t="s">
        <v>487</v>
      </c>
      <c r="AB83" s="746" t="s">
        <v>487</v>
      </c>
      <c r="AC83" s="746" t="s">
        <v>487</v>
      </c>
      <c r="AD83" s="746" t="s">
        <v>487</v>
      </c>
      <c r="AE83" s="746" t="s">
        <v>487</v>
      </c>
      <c r="AF83" s="746" t="s">
        <v>487</v>
      </c>
      <c r="AG83" s="746" t="s">
        <v>487</v>
      </c>
      <c r="AH83" s="746" t="s">
        <v>487</v>
      </c>
      <c r="AI83" s="854"/>
      <c r="AJ83" s="854"/>
      <c r="AK83" s="826"/>
      <c r="AL83" s="826"/>
      <c r="AM83" s="826"/>
    </row>
    <row r="84" spans="1:39" s="821" customFormat="1" ht="16" thickBot="1">
      <c r="A84" s="826"/>
      <c r="B84" s="1150" t="s">
        <v>20</v>
      </c>
      <c r="C84" s="1157"/>
      <c r="D84" s="1157"/>
      <c r="E84" s="1157"/>
      <c r="F84" s="1157"/>
      <c r="G84" s="1157"/>
      <c r="H84" s="1157"/>
      <c r="I84" s="1157"/>
      <c r="J84" s="1157"/>
      <c r="K84" s="1157"/>
      <c r="L84" s="1158"/>
      <c r="M84" s="826"/>
      <c r="N84" s="826"/>
      <c r="O84" s="826"/>
      <c r="P84" s="826"/>
      <c r="Q84" s="826"/>
      <c r="R84" s="826"/>
      <c r="S84" s="826"/>
      <c r="T84" s="826"/>
      <c r="U84" s="826"/>
      <c r="Z84" s="766" t="s">
        <v>20</v>
      </c>
      <c r="AA84" s="767"/>
      <c r="AB84" s="767"/>
      <c r="AC84" s="767"/>
      <c r="AD84" s="767"/>
      <c r="AE84" s="767"/>
      <c r="AF84" s="767"/>
      <c r="AG84" s="767"/>
      <c r="AH84" s="767"/>
      <c r="AI84" s="767"/>
      <c r="AJ84" s="768"/>
      <c r="AK84" s="826"/>
      <c r="AL84" s="826"/>
      <c r="AM84" s="826"/>
    </row>
    <row r="85" spans="1:39" s="821" customFormat="1">
      <c r="A85" s="826"/>
      <c r="B85" s="1159" t="s">
        <v>22</v>
      </c>
      <c r="C85" s="1160">
        <v>12</v>
      </c>
      <c r="D85" s="1173">
        <v>11</v>
      </c>
      <c r="E85" s="1173">
        <v>10</v>
      </c>
      <c r="F85" s="1173">
        <v>9</v>
      </c>
      <c r="G85" s="1160">
        <v>9</v>
      </c>
      <c r="H85" s="1160">
        <v>13</v>
      </c>
      <c r="I85" s="1160">
        <v>8</v>
      </c>
      <c r="J85" s="1160">
        <v>14</v>
      </c>
      <c r="K85" s="1160" t="s">
        <v>19</v>
      </c>
      <c r="L85" s="1160" t="s">
        <v>805</v>
      </c>
      <c r="M85" s="826"/>
      <c r="N85" s="826"/>
      <c r="O85" s="826"/>
      <c r="P85" s="826"/>
      <c r="Q85" s="826"/>
      <c r="R85" s="826"/>
      <c r="S85" s="826"/>
      <c r="T85" s="826"/>
      <c r="U85" s="826"/>
      <c r="Z85" s="573" t="s">
        <v>22</v>
      </c>
      <c r="AA85" s="769">
        <v>95</v>
      </c>
      <c r="AB85" s="594">
        <v>89</v>
      </c>
      <c r="AC85" s="594">
        <v>80</v>
      </c>
      <c r="AD85" s="594">
        <v>72</v>
      </c>
      <c r="AE85" s="769">
        <v>80</v>
      </c>
      <c r="AF85" s="769">
        <v>100</v>
      </c>
      <c r="AG85" s="769">
        <v>60</v>
      </c>
      <c r="AH85" s="769">
        <v>100</v>
      </c>
      <c r="AI85" s="769"/>
      <c r="AJ85" s="769" t="s">
        <v>600</v>
      </c>
      <c r="AK85" s="826"/>
      <c r="AL85" s="826"/>
      <c r="AM85" s="826"/>
    </row>
    <row r="86" spans="1:39" s="821" customFormat="1">
      <c r="A86" s="826"/>
      <c r="B86" s="1159" t="s">
        <v>24</v>
      </c>
      <c r="C86" s="1160">
        <v>55</v>
      </c>
      <c r="D86" s="1160">
        <v>55</v>
      </c>
      <c r="E86" s="1160">
        <v>55</v>
      </c>
      <c r="F86" s="1160">
        <v>55</v>
      </c>
      <c r="G86" s="1160">
        <v>45</v>
      </c>
      <c r="H86" s="1160">
        <v>65</v>
      </c>
      <c r="I86" s="1160">
        <v>45</v>
      </c>
      <c r="J86" s="1160">
        <v>75</v>
      </c>
      <c r="K86" s="1160" t="s">
        <v>42</v>
      </c>
      <c r="L86" s="1160" t="s">
        <v>572</v>
      </c>
      <c r="M86" s="826"/>
      <c r="N86" s="826"/>
      <c r="O86" s="826"/>
      <c r="P86" s="826"/>
      <c r="Q86" s="826"/>
      <c r="R86" s="826"/>
      <c r="S86" s="826"/>
      <c r="T86" s="826"/>
      <c r="U86" s="826"/>
      <c r="Z86" s="573" t="s">
        <v>24</v>
      </c>
      <c r="AA86" s="769">
        <v>50</v>
      </c>
      <c r="AB86" s="574">
        <v>50</v>
      </c>
      <c r="AC86" s="574">
        <v>50</v>
      </c>
      <c r="AD86" s="574">
        <v>50</v>
      </c>
      <c r="AE86" s="769">
        <v>40</v>
      </c>
      <c r="AF86" s="769">
        <v>80</v>
      </c>
      <c r="AG86" s="769">
        <v>40</v>
      </c>
      <c r="AH86" s="769">
        <v>80</v>
      </c>
      <c r="AI86" s="769" t="s">
        <v>42</v>
      </c>
      <c r="AJ86" s="769">
        <v>12.13</v>
      </c>
      <c r="AK86" s="826"/>
      <c r="AL86" s="826"/>
      <c r="AM86" s="826"/>
    </row>
    <row r="87" spans="1:39" s="821" customFormat="1" ht="16" thickBot="1">
      <c r="A87" s="826"/>
      <c r="B87" s="1154" t="s">
        <v>26</v>
      </c>
      <c r="C87" s="1147">
        <v>45</v>
      </c>
      <c r="D87" s="1147">
        <v>45</v>
      </c>
      <c r="E87" s="1147">
        <v>45</v>
      </c>
      <c r="F87" s="1147">
        <v>45</v>
      </c>
      <c r="G87" s="1147">
        <v>35</v>
      </c>
      <c r="H87" s="1147">
        <v>55</v>
      </c>
      <c r="I87" s="1147">
        <v>25</v>
      </c>
      <c r="J87" s="1147">
        <v>55</v>
      </c>
      <c r="K87" s="1147"/>
      <c r="L87" s="1147" t="s">
        <v>572</v>
      </c>
      <c r="M87" s="826"/>
      <c r="N87" s="826"/>
      <c r="O87" s="826"/>
      <c r="P87" s="826"/>
      <c r="Q87" s="826"/>
      <c r="R87" s="826"/>
      <c r="S87" s="826"/>
      <c r="T87" s="826"/>
      <c r="U87" s="826"/>
      <c r="Z87" s="744" t="s">
        <v>26</v>
      </c>
      <c r="AA87" s="854">
        <v>50</v>
      </c>
      <c r="AB87" s="568">
        <v>50</v>
      </c>
      <c r="AC87" s="568">
        <v>50</v>
      </c>
      <c r="AD87" s="568">
        <v>50</v>
      </c>
      <c r="AE87" s="854">
        <v>20</v>
      </c>
      <c r="AF87" s="854">
        <v>60</v>
      </c>
      <c r="AG87" s="854">
        <v>20</v>
      </c>
      <c r="AH87" s="854">
        <v>60</v>
      </c>
      <c r="AI87" s="854"/>
      <c r="AJ87" s="854">
        <v>12.13</v>
      </c>
      <c r="AK87" s="826"/>
      <c r="AL87" s="826"/>
      <c r="AM87" s="826"/>
    </row>
    <row r="88" spans="1:39" s="821" customFormat="1" ht="25" thickBot="1">
      <c r="A88" s="826"/>
      <c r="B88" s="1154" t="s">
        <v>28</v>
      </c>
      <c r="C88" s="1147"/>
      <c r="D88" s="1147"/>
      <c r="E88" s="1147"/>
      <c r="F88" s="1147"/>
      <c r="G88" s="1147"/>
      <c r="H88" s="1147"/>
      <c r="I88" s="1147"/>
      <c r="J88" s="1147"/>
      <c r="K88" s="1147"/>
      <c r="L88" s="1147"/>
      <c r="M88" s="826"/>
      <c r="N88" s="826"/>
      <c r="O88" s="826"/>
      <c r="P88" s="826"/>
      <c r="Q88" s="826"/>
      <c r="R88" s="826"/>
      <c r="S88" s="826"/>
      <c r="T88" s="826"/>
      <c r="U88" s="826"/>
      <c r="Z88" s="744" t="s">
        <v>28</v>
      </c>
      <c r="AA88" s="854"/>
      <c r="AB88" s="568"/>
      <c r="AC88" s="568"/>
      <c r="AD88" s="568"/>
      <c r="AE88" s="854"/>
      <c r="AF88" s="854"/>
      <c r="AG88" s="854"/>
      <c r="AH88" s="854"/>
      <c r="AI88" s="854"/>
      <c r="AJ88" s="854"/>
      <c r="AK88" s="826"/>
      <c r="AL88" s="826"/>
      <c r="AM88" s="826"/>
    </row>
    <row r="89" spans="1:39" s="821" customFormat="1">
      <c r="A89" s="826"/>
      <c r="B89" s="1162" t="s">
        <v>44</v>
      </c>
      <c r="C89" s="1163">
        <v>291</v>
      </c>
      <c r="D89" s="1164">
        <v>278.03216422149995</v>
      </c>
      <c r="E89" s="1165">
        <v>255.11663107276718</v>
      </c>
      <c r="F89" s="1164">
        <v>238.73507335803222</v>
      </c>
      <c r="G89" s="1166">
        <v>256</v>
      </c>
      <c r="H89" s="1164">
        <v>328</v>
      </c>
      <c r="I89" s="1164">
        <v>188</v>
      </c>
      <c r="J89" s="1164">
        <v>295</v>
      </c>
      <c r="K89" s="1167"/>
      <c r="L89" s="1167"/>
      <c r="M89" s="826"/>
      <c r="N89" s="826"/>
      <c r="O89" s="826"/>
      <c r="P89" s="826"/>
      <c r="Q89" s="826"/>
      <c r="R89" s="826"/>
      <c r="S89" s="826"/>
      <c r="T89" s="826"/>
      <c r="U89" s="826"/>
      <c r="Z89" s="708" t="s">
        <v>44</v>
      </c>
      <c r="AA89" s="599">
        <f>SUM(AA90:AA91)</f>
        <v>1640</v>
      </c>
      <c r="AB89" s="600">
        <f t="shared" ref="AB89:AG89" si="1">SUM(AB90:AB91)</f>
        <v>1650</v>
      </c>
      <c r="AC89" s="600">
        <f t="shared" si="1"/>
        <v>1866</v>
      </c>
      <c r="AD89" s="600">
        <f t="shared" si="1"/>
        <v>2411</v>
      </c>
      <c r="AE89" s="600">
        <f t="shared" si="1"/>
        <v>1070</v>
      </c>
      <c r="AF89" s="600">
        <f t="shared" si="1"/>
        <v>2850</v>
      </c>
      <c r="AG89" s="600">
        <f t="shared" si="1"/>
        <v>1820</v>
      </c>
      <c r="AH89" s="600">
        <f>SUM(AH90:AH91)</f>
        <v>3980</v>
      </c>
      <c r="AI89" s="855"/>
      <c r="AJ89" s="855"/>
      <c r="AK89" s="826"/>
      <c r="AL89" s="826"/>
      <c r="AM89" s="826"/>
    </row>
    <row r="90" spans="1:39" s="821" customFormat="1">
      <c r="A90" s="826"/>
      <c r="B90" s="1168" t="s">
        <v>479</v>
      </c>
      <c r="C90" s="1169">
        <v>6</v>
      </c>
      <c r="D90" s="1169">
        <v>7</v>
      </c>
      <c r="E90" s="1169">
        <v>10</v>
      </c>
      <c r="F90" s="1169">
        <v>17</v>
      </c>
      <c r="G90" s="1169">
        <v>6</v>
      </c>
      <c r="H90" s="1169">
        <v>8</v>
      </c>
      <c r="I90" s="1169">
        <v>13</v>
      </c>
      <c r="J90" s="1169">
        <v>20</v>
      </c>
      <c r="K90" s="1170" t="s">
        <v>279</v>
      </c>
      <c r="L90" s="1170"/>
      <c r="M90" s="826"/>
      <c r="N90" s="826"/>
      <c r="O90" s="826"/>
      <c r="P90" s="826"/>
      <c r="Q90" s="826"/>
      <c r="R90" s="826"/>
      <c r="S90" s="826"/>
      <c r="T90" s="826"/>
      <c r="U90" s="826"/>
      <c r="Z90" s="586" t="s">
        <v>479</v>
      </c>
      <c r="AA90" s="587">
        <v>640</v>
      </c>
      <c r="AB90" s="587">
        <v>710</v>
      </c>
      <c r="AC90" s="587">
        <v>1020</v>
      </c>
      <c r="AD90" s="587">
        <v>1650</v>
      </c>
      <c r="AE90" s="587">
        <v>570</v>
      </c>
      <c r="AF90" s="587">
        <v>850</v>
      </c>
      <c r="AG90" s="587">
        <v>1320</v>
      </c>
      <c r="AH90" s="587">
        <v>1980</v>
      </c>
      <c r="AI90" s="774" t="s">
        <v>279</v>
      </c>
      <c r="AJ90" s="774"/>
      <c r="AK90" s="826"/>
      <c r="AL90" s="826"/>
      <c r="AM90" s="826"/>
    </row>
    <row r="91" spans="1:39" s="821" customFormat="1" ht="16" thickBot="1">
      <c r="A91" s="826"/>
      <c r="B91" s="1171" t="s">
        <v>480</v>
      </c>
      <c r="C91" s="1155">
        <v>285</v>
      </c>
      <c r="D91" s="1174">
        <v>271.03216422149995</v>
      </c>
      <c r="E91" s="1174">
        <v>245.11663107276718</v>
      </c>
      <c r="F91" s="1174">
        <v>221.73507335803222</v>
      </c>
      <c r="G91" s="1147">
        <v>250</v>
      </c>
      <c r="H91" s="1147">
        <v>320</v>
      </c>
      <c r="I91" s="1147">
        <v>175</v>
      </c>
      <c r="J91" s="1147">
        <v>275</v>
      </c>
      <c r="K91" s="1147"/>
      <c r="L91" s="1147"/>
      <c r="M91" s="826"/>
      <c r="N91" s="826"/>
      <c r="O91" s="826"/>
      <c r="P91" s="826"/>
      <c r="Q91" s="826"/>
      <c r="R91" s="826"/>
      <c r="S91" s="826"/>
      <c r="T91" s="826"/>
      <c r="U91" s="826"/>
      <c r="Z91" s="589" t="s">
        <v>480</v>
      </c>
      <c r="AA91" s="854">
        <v>1000</v>
      </c>
      <c r="AB91" s="594">
        <v>940</v>
      </c>
      <c r="AC91" s="594">
        <v>846</v>
      </c>
      <c r="AD91" s="594">
        <v>761</v>
      </c>
      <c r="AE91" s="854">
        <v>500</v>
      </c>
      <c r="AF91" s="854">
        <v>2000</v>
      </c>
      <c r="AG91" s="854">
        <v>500</v>
      </c>
      <c r="AH91" s="854">
        <v>2000</v>
      </c>
      <c r="AI91" s="854"/>
      <c r="AJ91" s="854">
        <v>12</v>
      </c>
      <c r="AK91" s="826"/>
      <c r="AL91" s="826"/>
      <c r="AM91" s="826"/>
    </row>
    <row r="92" spans="1:39" s="821" customFormat="1" ht="16" thickBot="1">
      <c r="A92" s="826"/>
      <c r="B92" s="1154" t="s">
        <v>482</v>
      </c>
      <c r="C92" s="1172">
        <v>0</v>
      </c>
      <c r="D92" s="1172">
        <v>0</v>
      </c>
      <c r="E92" s="1172">
        <v>0</v>
      </c>
      <c r="F92" s="1172">
        <v>0</v>
      </c>
      <c r="G92" s="1172">
        <v>0</v>
      </c>
      <c r="H92" s="1172">
        <v>0</v>
      </c>
      <c r="I92" s="1172">
        <v>0</v>
      </c>
      <c r="J92" s="1172">
        <v>0</v>
      </c>
      <c r="K92" s="1147"/>
      <c r="L92" s="1147" t="s">
        <v>572</v>
      </c>
      <c r="M92" s="826"/>
      <c r="N92" s="826"/>
      <c r="O92" s="826"/>
      <c r="P92" s="826"/>
      <c r="Q92" s="826"/>
      <c r="R92" s="826"/>
      <c r="S92" s="826"/>
      <c r="T92" s="826"/>
      <c r="U92" s="826"/>
      <c r="Z92" s="744" t="s">
        <v>482</v>
      </c>
      <c r="AA92" s="598">
        <f>0.5</f>
        <v>0.5</v>
      </c>
      <c r="AB92" s="595">
        <f>0.47</f>
        <v>0.47</v>
      </c>
      <c r="AC92" s="596">
        <f>0.42</f>
        <v>0.42</v>
      </c>
      <c r="AD92" s="596">
        <f>0.38</f>
        <v>0.38</v>
      </c>
      <c r="AE92" s="597">
        <f>0.2</f>
        <v>0.2</v>
      </c>
      <c r="AF92" s="597">
        <f>1</f>
        <v>1</v>
      </c>
      <c r="AG92" s="597">
        <f>0.2</f>
        <v>0.2</v>
      </c>
      <c r="AH92" s="597">
        <f>1</f>
        <v>1</v>
      </c>
      <c r="AI92" s="854"/>
      <c r="AJ92" s="854">
        <v>12</v>
      </c>
      <c r="AK92" s="826"/>
      <c r="AL92" s="826"/>
      <c r="AM92" s="826"/>
    </row>
    <row r="93" spans="1:39" s="821" customFormat="1" ht="16" thickBot="1">
      <c r="A93" s="826"/>
      <c r="B93" s="54"/>
      <c r="C93" s="845"/>
      <c r="D93" s="845"/>
      <c r="E93" s="845"/>
      <c r="F93" s="845"/>
      <c r="G93" s="845"/>
      <c r="H93" s="845"/>
      <c r="I93" s="561"/>
      <c r="J93" s="561"/>
      <c r="K93" s="561"/>
      <c r="L93" s="851"/>
      <c r="M93" s="826"/>
      <c r="N93" s="826"/>
      <c r="O93" s="826"/>
      <c r="P93" s="826"/>
      <c r="Q93" s="826"/>
      <c r="R93" s="826"/>
      <c r="S93" s="826"/>
      <c r="T93" s="826"/>
      <c r="U93" s="826"/>
      <c r="Z93" s="54"/>
      <c r="AA93" s="862"/>
      <c r="AB93" s="862"/>
      <c r="AC93" s="862"/>
      <c r="AD93" s="862"/>
      <c r="AE93" s="862"/>
      <c r="AF93" s="862"/>
      <c r="AG93" s="561"/>
      <c r="AH93" s="561"/>
      <c r="AI93" s="561"/>
      <c r="AJ93" s="851"/>
      <c r="AK93" s="826"/>
      <c r="AL93" s="826"/>
      <c r="AM93" s="826"/>
    </row>
    <row r="94" spans="1:39" s="821" customFormat="1">
      <c r="A94" s="826"/>
      <c r="B94" s="852"/>
      <c r="C94" s="35"/>
      <c r="D94" s="35"/>
      <c r="E94" s="35"/>
      <c r="F94" s="35"/>
      <c r="G94" s="35"/>
      <c r="H94" s="35"/>
      <c r="I94" s="561"/>
      <c r="J94" s="561"/>
      <c r="K94" s="561"/>
      <c r="L94" s="851"/>
      <c r="M94" s="826"/>
      <c r="N94" s="826"/>
      <c r="O94" s="826"/>
      <c r="P94" s="826"/>
      <c r="Q94" s="826"/>
      <c r="R94" s="826"/>
      <c r="S94" s="826"/>
      <c r="T94" s="826"/>
      <c r="U94" s="826"/>
      <c r="Z94" s="852"/>
      <c r="AA94" s="35"/>
      <c r="AB94" s="35"/>
      <c r="AC94" s="35"/>
      <c r="AD94" s="35"/>
      <c r="AE94" s="35"/>
      <c r="AF94" s="35"/>
      <c r="AG94" s="561"/>
      <c r="AH94" s="561"/>
      <c r="AI94" s="561"/>
      <c r="AJ94" s="851"/>
      <c r="AK94" s="826"/>
      <c r="AL94" s="826"/>
      <c r="AM94" s="826"/>
    </row>
    <row r="95" spans="1:39" s="821" customFormat="1" ht="16" thickBot="1">
      <c r="A95" s="826"/>
      <c r="B95" s="429" t="s">
        <v>499</v>
      </c>
      <c r="C95" s="430"/>
      <c r="D95" s="430"/>
      <c r="E95" s="430"/>
      <c r="F95" s="430"/>
      <c r="G95" s="430"/>
      <c r="H95" s="430"/>
      <c r="I95" s="430"/>
      <c r="J95" s="430"/>
      <c r="K95" s="430"/>
      <c r="L95" s="432"/>
      <c r="M95" s="826"/>
      <c r="N95" s="826"/>
      <c r="O95" s="826"/>
      <c r="P95" s="826"/>
      <c r="Q95" s="826"/>
      <c r="R95" s="826"/>
      <c r="S95" s="826"/>
      <c r="T95" s="826"/>
      <c r="U95" s="826"/>
      <c r="Z95" s="429" t="s">
        <v>499</v>
      </c>
      <c r="AA95" s="430"/>
      <c r="AB95" s="430"/>
      <c r="AC95" s="430"/>
      <c r="AD95" s="430"/>
      <c r="AE95" s="430"/>
      <c r="AF95" s="430"/>
      <c r="AG95" s="430"/>
      <c r="AH95" s="430"/>
      <c r="AI95" s="430"/>
      <c r="AJ95" s="432"/>
      <c r="AK95" s="826"/>
      <c r="AL95" s="826"/>
      <c r="AM95" s="826"/>
    </row>
    <row r="96" spans="1:39" s="821" customFormat="1" ht="16" thickBot="1">
      <c r="A96" s="826"/>
      <c r="B96" s="844" t="s">
        <v>503</v>
      </c>
      <c r="C96" s="540">
        <f>C85/C$64*Euro</f>
        <v>22.35</v>
      </c>
      <c r="D96" s="540">
        <f>D85/D$64*Euro</f>
        <v>20.487500000000001</v>
      </c>
      <c r="E96" s="540">
        <f>E85/E$64*Euro</f>
        <v>18.625</v>
      </c>
      <c r="F96" s="540">
        <f>F85/F$64*Euro</f>
        <v>16.762499999999999</v>
      </c>
      <c r="G96" s="843"/>
      <c r="H96" s="843"/>
      <c r="I96" s="843"/>
      <c r="J96" s="843"/>
      <c r="K96" s="843"/>
      <c r="L96" s="843"/>
      <c r="M96" s="826"/>
      <c r="N96" s="826"/>
      <c r="O96" s="826"/>
      <c r="P96" s="826"/>
      <c r="Q96" s="826"/>
      <c r="R96" s="826"/>
      <c r="S96" s="826"/>
      <c r="T96" s="826"/>
      <c r="U96" s="826"/>
      <c r="Z96" s="861" t="s">
        <v>503</v>
      </c>
      <c r="AA96" s="540">
        <f>AA85/AA$64*Euro</f>
        <v>4.4234375000000004</v>
      </c>
      <c r="AB96" s="540">
        <f>AB85/AB$64*Euro</f>
        <v>4.1440625000000004</v>
      </c>
      <c r="AC96" s="540">
        <f>AC85/AC$64*Euro</f>
        <v>3.7250000000000001</v>
      </c>
      <c r="AD96" s="540">
        <f>AD85/AD$64*Euro</f>
        <v>3.3525</v>
      </c>
      <c r="AE96" s="860"/>
      <c r="AF96" s="860"/>
      <c r="AG96" s="860"/>
      <c r="AH96" s="860"/>
      <c r="AI96" s="860"/>
      <c r="AJ96" s="860"/>
      <c r="AK96" s="826"/>
      <c r="AL96" s="826"/>
      <c r="AM96" s="826"/>
    </row>
    <row r="97" spans="1:39" s="821" customFormat="1" ht="25" thickBot="1">
      <c r="A97" s="826"/>
      <c r="B97" s="844" t="s">
        <v>504</v>
      </c>
      <c r="C97" s="540">
        <f>C496/C$22*Euro</f>
        <v>0</v>
      </c>
      <c r="D97" s="540">
        <f>D496/D$22*Euro</f>
        <v>0</v>
      </c>
      <c r="E97" s="540">
        <f>E496/E$22*Euro</f>
        <v>0</v>
      </c>
      <c r="F97" s="540">
        <f>F496/F$22*Euro</f>
        <v>0</v>
      </c>
      <c r="G97" s="843"/>
      <c r="H97" s="843"/>
      <c r="I97" s="843"/>
      <c r="J97" s="843"/>
      <c r="K97" s="843"/>
      <c r="L97" s="843"/>
      <c r="M97" s="826"/>
      <c r="N97" s="826"/>
      <c r="O97" s="826"/>
      <c r="P97" s="826"/>
      <c r="Q97" s="826"/>
      <c r="R97" s="826"/>
      <c r="S97" s="826"/>
      <c r="T97" s="826"/>
      <c r="U97" s="826"/>
      <c r="Z97" s="861" t="s">
        <v>504</v>
      </c>
      <c r="AA97" s="540">
        <f>AA496/AA$22*Euro</f>
        <v>0</v>
      </c>
      <c r="AB97" s="540">
        <f>AB496/AB$22*Euro</f>
        <v>0</v>
      </c>
      <c r="AC97" s="540">
        <f>AC496/AC$22*Euro</f>
        <v>0</v>
      </c>
      <c r="AD97" s="540">
        <f>AD496/AD$22*Euro</f>
        <v>0</v>
      </c>
      <c r="AE97" s="860"/>
      <c r="AF97" s="860"/>
      <c r="AG97" s="860"/>
      <c r="AH97" s="860"/>
      <c r="AI97" s="860"/>
      <c r="AJ97" s="860"/>
      <c r="AK97" s="826"/>
      <c r="AL97" s="826"/>
      <c r="AM97" s="826"/>
    </row>
    <row r="98" spans="1:39" s="821" customFormat="1" ht="16" thickBot="1">
      <c r="A98" s="826"/>
      <c r="B98" s="844"/>
      <c r="C98" s="843"/>
      <c r="D98" s="843"/>
      <c r="E98" s="843"/>
      <c r="F98" s="843"/>
      <c r="G98" s="843"/>
      <c r="H98" s="843"/>
      <c r="I98" s="843"/>
      <c r="J98" s="843"/>
      <c r="K98" s="843"/>
      <c r="L98" s="843"/>
      <c r="M98" s="826"/>
      <c r="N98" s="826"/>
      <c r="O98" s="826"/>
      <c r="P98" s="826"/>
      <c r="Q98" s="826"/>
      <c r="R98" s="826"/>
      <c r="S98" s="826"/>
      <c r="T98" s="826"/>
      <c r="U98" s="826"/>
      <c r="Z98" s="861"/>
      <c r="AA98" s="860"/>
      <c r="AB98" s="860"/>
      <c r="AC98" s="860"/>
      <c r="AD98" s="860"/>
      <c r="AE98" s="860"/>
      <c r="AF98" s="860"/>
      <c r="AG98" s="860"/>
      <c r="AH98" s="860"/>
      <c r="AI98" s="860"/>
      <c r="AJ98" s="860"/>
      <c r="AK98" s="826"/>
      <c r="AL98" s="826"/>
      <c r="AM98" s="826"/>
    </row>
    <row r="99" spans="1:39" s="821" customFormat="1" ht="16" thickBot="1">
      <c r="A99" s="826"/>
      <c r="B99" s="841" t="s">
        <v>502</v>
      </c>
      <c r="C99" s="540">
        <f>C89/C64/1000*Euro</f>
        <v>0.54198749999999996</v>
      </c>
      <c r="D99" s="540">
        <f>D89/D64/1000*Euro</f>
        <v>0.51783490586254366</v>
      </c>
      <c r="E99" s="540">
        <f>E89/E64/1000*Euro</f>
        <v>0.47515472537302883</v>
      </c>
      <c r="F99" s="540">
        <f>F89/F64/1000*Euro</f>
        <v>0.44464407412933504</v>
      </c>
      <c r="G99" s="843"/>
      <c r="H99" s="843"/>
      <c r="I99" s="843"/>
      <c r="J99" s="843"/>
      <c r="K99" s="843"/>
      <c r="L99" s="843"/>
      <c r="M99" s="826"/>
      <c r="N99" s="826"/>
      <c r="O99" s="826"/>
      <c r="P99" s="826"/>
      <c r="Q99" s="826"/>
      <c r="R99" s="826"/>
      <c r="S99" s="826"/>
      <c r="T99" s="826"/>
      <c r="U99" s="826"/>
      <c r="Z99" s="858" t="s">
        <v>502</v>
      </c>
      <c r="AA99" s="540">
        <f>AA89/AA64/1000*Euro</f>
        <v>7.63625E-2</v>
      </c>
      <c r="AB99" s="540">
        <f>AB89/AB64/1000*Euro</f>
        <v>7.6828125000000011E-2</v>
      </c>
      <c r="AC99" s="540">
        <f>AC89/AC64/1000*Euro</f>
        <v>8.6885624999999994E-2</v>
      </c>
      <c r="AD99" s="540">
        <f>AD89/AD64/1000*Euro</f>
        <v>0.1122621875</v>
      </c>
      <c r="AE99" s="860"/>
      <c r="AF99" s="860"/>
      <c r="AG99" s="860"/>
      <c r="AH99" s="860"/>
      <c r="AI99" s="860"/>
      <c r="AJ99" s="860"/>
      <c r="AK99" s="826"/>
      <c r="AL99" s="826"/>
      <c r="AM99" s="826"/>
    </row>
    <row r="100" spans="1:39" s="821" customFormat="1" ht="16" thickBot="1">
      <c r="A100" s="826"/>
      <c r="B100" s="842" t="s">
        <v>505</v>
      </c>
      <c r="C100" s="775">
        <f>C92*3.6*Euro/1000</f>
        <v>0</v>
      </c>
      <c r="D100" s="775">
        <f>D92*3.6*Euro/1000</f>
        <v>0</v>
      </c>
      <c r="E100" s="775">
        <f>E92*3.6*Euro/1000</f>
        <v>0</v>
      </c>
      <c r="F100" s="775">
        <f>F92*3.6*Euro/1000</f>
        <v>0</v>
      </c>
      <c r="G100" s="843"/>
      <c r="H100" s="843"/>
      <c r="I100" s="843"/>
      <c r="J100" s="843"/>
      <c r="K100" s="843"/>
      <c r="L100" s="843"/>
      <c r="M100" s="826"/>
      <c r="N100" s="826"/>
      <c r="O100" s="826"/>
      <c r="P100" s="826"/>
      <c r="Q100" s="826"/>
      <c r="R100" s="826"/>
      <c r="S100" s="826"/>
      <c r="T100" s="826"/>
      <c r="U100" s="826"/>
      <c r="Z100" s="859" t="s">
        <v>505</v>
      </c>
      <c r="AA100" s="775">
        <f>AA92*3.6*Euro/1000</f>
        <v>1.341E-2</v>
      </c>
      <c r="AB100" s="775">
        <f>AB92*3.6*Euro/1000</f>
        <v>1.2605399999999999E-2</v>
      </c>
      <c r="AC100" s="775">
        <f>AC92*3.6*Euro/1000</f>
        <v>1.1264400000000001E-2</v>
      </c>
      <c r="AD100" s="775">
        <f>AD92*3.6*Euro/1000</f>
        <v>1.01916E-2</v>
      </c>
      <c r="AE100" s="860"/>
      <c r="AF100" s="860"/>
      <c r="AG100" s="860"/>
      <c r="AH100" s="860"/>
      <c r="AI100" s="860"/>
      <c r="AJ100" s="860"/>
      <c r="AK100" s="826"/>
      <c r="AL100" s="826"/>
      <c r="AM100" s="826"/>
    </row>
    <row r="101" spans="1:39" s="821" customFormat="1">
      <c r="A101" s="826"/>
      <c r="B101" s="848"/>
      <c r="C101" s="849"/>
      <c r="D101" s="849"/>
      <c r="E101" s="849"/>
      <c r="F101" s="849"/>
      <c r="G101" s="850"/>
      <c r="H101" s="850"/>
      <c r="I101" s="850"/>
      <c r="J101" s="850"/>
      <c r="K101" s="850"/>
      <c r="L101" s="850"/>
      <c r="M101" s="826"/>
      <c r="N101" s="826"/>
      <c r="O101" s="826"/>
      <c r="P101" s="826"/>
      <c r="Q101" s="826"/>
      <c r="R101" s="826"/>
      <c r="S101" s="826"/>
      <c r="T101" s="826"/>
      <c r="U101" s="826"/>
      <c r="Z101" s="848"/>
      <c r="AA101" s="850"/>
      <c r="AB101" s="850"/>
      <c r="AC101" s="850"/>
      <c r="AD101" s="850"/>
    </row>
    <row r="102" spans="1:39" s="821" customFormat="1">
      <c r="A102" s="826"/>
      <c r="B102" s="848"/>
      <c r="C102" s="849"/>
      <c r="D102" s="849"/>
      <c r="E102" s="849"/>
      <c r="F102" s="849"/>
      <c r="G102" s="850"/>
      <c r="H102" s="850"/>
      <c r="I102" s="850"/>
      <c r="J102" s="850"/>
      <c r="K102" s="850"/>
      <c r="L102" s="850"/>
      <c r="M102" s="826"/>
      <c r="N102" s="826"/>
      <c r="O102" s="826"/>
      <c r="P102" s="826"/>
      <c r="Q102" s="826"/>
      <c r="R102" s="826"/>
      <c r="S102" s="826"/>
      <c r="T102" s="826"/>
      <c r="U102" s="826"/>
      <c r="Z102" s="848"/>
      <c r="AA102" s="850"/>
      <c r="AB102" s="850"/>
      <c r="AC102" s="850"/>
      <c r="AD102" s="850"/>
    </row>
    <row r="103" spans="1:39" s="821" customFormat="1">
      <c r="A103" s="826"/>
      <c r="B103" s="848"/>
      <c r="C103" s="849"/>
      <c r="D103" s="849"/>
      <c r="E103" s="849"/>
      <c r="F103" s="849"/>
      <c r="G103" s="850"/>
      <c r="H103" s="850"/>
      <c r="I103" s="850"/>
      <c r="J103" s="850"/>
      <c r="K103" s="850"/>
      <c r="L103" s="850"/>
      <c r="M103" s="826"/>
      <c r="N103" s="826"/>
      <c r="O103" s="826"/>
      <c r="P103" s="826"/>
      <c r="Q103" s="826"/>
      <c r="R103" s="826"/>
      <c r="S103" s="826"/>
      <c r="T103" s="826"/>
      <c r="U103" s="826"/>
      <c r="Z103" s="848"/>
      <c r="AA103" s="850"/>
      <c r="AB103" s="850"/>
      <c r="AC103" s="850"/>
      <c r="AD103" s="850"/>
    </row>
    <row r="104" spans="1:39" s="821" customFormat="1">
      <c r="A104" s="826"/>
      <c r="B104" s="848"/>
      <c r="C104" s="849"/>
      <c r="D104" s="849"/>
      <c r="E104" s="849"/>
      <c r="F104" s="849"/>
      <c r="G104" s="850"/>
      <c r="H104" s="850"/>
      <c r="I104" s="850"/>
      <c r="J104" s="850"/>
      <c r="K104" s="850"/>
      <c r="L104" s="850"/>
      <c r="M104" s="826"/>
      <c r="N104" s="826"/>
      <c r="O104" s="826"/>
      <c r="P104" s="826"/>
      <c r="Q104" s="826"/>
      <c r="R104" s="826"/>
      <c r="S104" s="826"/>
      <c r="T104" s="826"/>
      <c r="U104" s="826"/>
      <c r="Z104" s="848"/>
      <c r="AA104" s="850"/>
      <c r="AB104" s="850"/>
      <c r="AC104" s="850"/>
      <c r="AD104" s="850"/>
    </row>
    <row r="105" spans="1:39" s="821" customFormat="1">
      <c r="A105" s="826"/>
      <c r="B105" s="848"/>
      <c r="C105" s="849"/>
      <c r="D105" s="849"/>
      <c r="E105" s="849"/>
      <c r="F105" s="849"/>
      <c r="G105" s="850"/>
      <c r="H105" s="850"/>
      <c r="I105" s="850"/>
      <c r="J105" s="850"/>
      <c r="K105" s="850"/>
      <c r="L105" s="850"/>
      <c r="M105" s="826"/>
      <c r="N105" s="826"/>
      <c r="O105" s="826"/>
      <c r="P105" s="826"/>
      <c r="Q105" s="826"/>
      <c r="R105" s="826"/>
      <c r="S105" s="826"/>
      <c r="T105" s="826"/>
      <c r="U105" s="826"/>
      <c r="Z105" s="848"/>
      <c r="AA105" s="850"/>
      <c r="AB105" s="850"/>
      <c r="AC105" s="850"/>
      <c r="AD105" s="850"/>
    </row>
    <row r="106" spans="1:39">
      <c r="A106" s="439"/>
      <c r="B106" s="555"/>
      <c r="C106" s="35"/>
      <c r="D106" s="35"/>
      <c r="E106" s="35"/>
      <c r="F106" s="35"/>
      <c r="G106" s="35"/>
      <c r="H106" s="35"/>
      <c r="I106" s="439"/>
      <c r="J106" s="439"/>
      <c r="K106" s="439"/>
      <c r="L106" s="439"/>
      <c r="M106" s="439"/>
      <c r="N106" s="439"/>
      <c r="O106" s="439"/>
      <c r="P106" s="439"/>
      <c r="Q106" s="439"/>
      <c r="R106" s="439"/>
      <c r="S106" s="439"/>
      <c r="T106" s="439"/>
      <c r="U106" s="439"/>
      <c r="V106" s="562"/>
      <c r="W106" s="562"/>
      <c r="X106" s="562"/>
      <c r="Y106" s="562"/>
      <c r="Z106" s="562"/>
      <c r="AA106" s="562"/>
      <c r="AB106" s="562"/>
      <c r="AC106" s="562"/>
      <c r="AD106" s="562"/>
      <c r="AE106" s="562"/>
      <c r="AF106" s="562"/>
      <c r="AG106" s="562"/>
      <c r="AH106" s="562"/>
      <c r="AI106" s="562"/>
      <c r="AJ106" s="562"/>
      <c r="AK106" s="562"/>
      <c r="AL106" s="562"/>
      <c r="AM106" s="562"/>
    </row>
    <row r="107" spans="1:39">
      <c r="A107" s="439"/>
      <c r="B107" s="555"/>
      <c r="C107" s="35"/>
      <c r="D107" s="35"/>
      <c r="E107" s="35"/>
      <c r="F107" s="35"/>
      <c r="G107" s="35"/>
      <c r="H107" s="35"/>
      <c r="I107" s="439"/>
      <c r="J107" s="439"/>
      <c r="K107" s="439"/>
      <c r="L107" s="439"/>
      <c r="M107" s="439"/>
      <c r="N107" s="439"/>
      <c r="O107" s="439"/>
      <c r="P107" s="439"/>
      <c r="Q107" s="439"/>
      <c r="R107" s="439"/>
      <c r="S107" s="439"/>
      <c r="T107" s="439"/>
      <c r="U107" s="439"/>
      <c r="V107" s="562"/>
      <c r="W107" s="562"/>
      <c r="X107" s="562"/>
      <c r="Y107" s="562"/>
      <c r="Z107" s="562"/>
      <c r="AA107" s="562"/>
      <c r="AB107" s="562"/>
      <c r="AC107" s="562"/>
      <c r="AD107" s="562"/>
      <c r="AE107" s="562"/>
      <c r="AF107" s="562"/>
      <c r="AG107" s="562"/>
      <c r="AH107" s="562"/>
      <c r="AI107" s="562"/>
      <c r="AJ107" s="562"/>
      <c r="AK107" s="562"/>
      <c r="AL107" s="562"/>
      <c r="AM107" s="562"/>
    </row>
    <row r="108" spans="1:39">
      <c r="A108" s="581" t="s">
        <v>580</v>
      </c>
      <c r="B108" s="562"/>
      <c r="C108" s="562"/>
      <c r="D108" s="562"/>
      <c r="E108" s="562"/>
      <c r="F108" s="562"/>
      <c r="G108" s="562"/>
      <c r="H108" s="562"/>
      <c r="I108" s="562"/>
      <c r="J108" s="562"/>
      <c r="K108" s="562"/>
      <c r="L108" s="562"/>
      <c r="M108" s="562"/>
      <c r="N108" s="439"/>
      <c r="O108" s="439"/>
      <c r="P108" s="439"/>
      <c r="Q108" s="439"/>
      <c r="R108" s="439"/>
      <c r="S108" s="439"/>
      <c r="T108" s="439"/>
      <c r="U108" s="439"/>
      <c r="V108" s="562"/>
      <c r="W108" s="562"/>
      <c r="X108" s="562"/>
      <c r="Y108" s="581" t="s">
        <v>580</v>
      </c>
      <c r="Z108" s="562"/>
      <c r="AA108" s="562"/>
      <c r="AB108" s="562"/>
      <c r="AC108" s="562"/>
      <c r="AD108" s="562"/>
      <c r="AE108" s="562"/>
      <c r="AF108" s="562"/>
      <c r="AG108" s="562"/>
      <c r="AH108" s="562"/>
      <c r="AI108" s="562"/>
      <c r="AJ108" s="562"/>
      <c r="AK108" s="562"/>
      <c r="AL108" s="562"/>
      <c r="AM108" s="562"/>
    </row>
    <row r="109" spans="1:39" ht="16">
      <c r="A109" s="577">
        <v>1</v>
      </c>
      <c r="B109" s="601" t="s">
        <v>581</v>
      </c>
      <c r="C109" s="562"/>
      <c r="D109" s="562"/>
      <c r="E109" s="562"/>
      <c r="F109" s="562"/>
      <c r="G109" s="562"/>
      <c r="H109" s="562"/>
      <c r="I109" s="562"/>
      <c r="J109" s="562"/>
      <c r="K109" s="562"/>
      <c r="L109" s="562"/>
      <c r="M109" s="562"/>
      <c r="N109" s="439"/>
      <c r="O109" s="439"/>
      <c r="P109" s="439"/>
      <c r="Q109" s="439"/>
      <c r="R109" s="439"/>
      <c r="S109" s="439"/>
      <c r="T109" s="439"/>
      <c r="U109" s="439"/>
      <c r="V109" s="562"/>
      <c r="W109" s="562"/>
      <c r="X109" s="562"/>
      <c r="Y109" s="577">
        <v>4</v>
      </c>
      <c r="Z109" s="601" t="s">
        <v>584</v>
      </c>
      <c r="AA109" s="562"/>
      <c r="AB109" s="562"/>
      <c r="AC109" s="562"/>
      <c r="AD109" s="562"/>
      <c r="AE109" s="562"/>
      <c r="AF109" s="562"/>
      <c r="AG109" s="562"/>
      <c r="AH109" s="562"/>
      <c r="AI109" s="562"/>
      <c r="AJ109" s="562"/>
      <c r="AK109" s="562"/>
      <c r="AL109" s="562"/>
      <c r="AM109" s="562"/>
    </row>
    <row r="110" spans="1:39" ht="16">
      <c r="A110" s="577">
        <v>2</v>
      </c>
      <c r="B110" s="601" t="s">
        <v>582</v>
      </c>
      <c r="C110" s="562"/>
      <c r="D110" s="562"/>
      <c r="E110" s="562"/>
      <c r="F110" s="562"/>
      <c r="G110" s="562"/>
      <c r="H110" s="562"/>
      <c r="I110" s="562"/>
      <c r="J110" s="562"/>
      <c r="K110" s="562"/>
      <c r="L110" s="562"/>
      <c r="M110" s="562"/>
      <c r="N110" s="439"/>
      <c r="O110" s="439"/>
      <c r="P110" s="439"/>
      <c r="Q110" s="439"/>
      <c r="R110" s="439"/>
      <c r="S110" s="439"/>
      <c r="T110" s="439"/>
      <c r="U110" s="439"/>
      <c r="V110" s="562"/>
      <c r="W110" s="562"/>
      <c r="X110" s="562"/>
      <c r="Y110" s="577">
        <v>5</v>
      </c>
      <c r="Z110" s="601" t="s">
        <v>585</v>
      </c>
      <c r="AA110" s="562"/>
      <c r="AB110" s="562"/>
      <c r="AC110" s="562"/>
      <c r="AD110" s="562"/>
      <c r="AE110" s="562"/>
      <c r="AF110" s="562"/>
      <c r="AG110" s="562"/>
      <c r="AH110" s="562"/>
      <c r="AI110" s="562"/>
      <c r="AJ110" s="562"/>
      <c r="AK110" s="562"/>
      <c r="AL110" s="562"/>
      <c r="AM110" s="562"/>
    </row>
    <row r="111" spans="1:39" ht="16">
      <c r="A111" s="577">
        <v>3</v>
      </c>
      <c r="B111" s="601" t="s">
        <v>583</v>
      </c>
      <c r="C111" s="562"/>
      <c r="D111" s="562"/>
      <c r="E111" s="562"/>
      <c r="F111" s="562"/>
      <c r="G111" s="562"/>
      <c r="H111" s="562"/>
      <c r="I111" s="562"/>
      <c r="J111" s="562"/>
      <c r="K111" s="562"/>
      <c r="L111" s="562"/>
      <c r="M111" s="562"/>
      <c r="N111" s="439"/>
      <c r="O111" s="439"/>
      <c r="P111" s="439"/>
      <c r="Q111" s="439"/>
      <c r="R111" s="439"/>
      <c r="S111" s="439"/>
      <c r="T111" s="439"/>
      <c r="U111" s="439"/>
      <c r="V111" s="562"/>
      <c r="W111" s="562"/>
      <c r="X111" s="562"/>
      <c r="Y111" s="577">
        <v>6</v>
      </c>
      <c r="Z111" s="601" t="s">
        <v>601</v>
      </c>
      <c r="AA111" s="562"/>
      <c r="AB111" s="562"/>
      <c r="AC111" s="562"/>
      <c r="AD111" s="562"/>
      <c r="AE111" s="562"/>
      <c r="AF111" s="562"/>
      <c r="AG111" s="562"/>
      <c r="AH111" s="562"/>
      <c r="AI111" s="562"/>
      <c r="AJ111" s="562"/>
      <c r="AK111" s="562"/>
      <c r="AL111" s="562"/>
      <c r="AM111" s="562"/>
    </row>
    <row r="112" spans="1:39" ht="16">
      <c r="A112" s="577">
        <v>4</v>
      </c>
      <c r="B112" s="601" t="s">
        <v>584</v>
      </c>
      <c r="C112" s="562"/>
      <c r="D112" s="562"/>
      <c r="E112" s="562"/>
      <c r="F112" s="562"/>
      <c r="G112" s="562"/>
      <c r="H112" s="562"/>
      <c r="I112" s="562"/>
      <c r="J112" s="562"/>
      <c r="K112" s="562"/>
      <c r="L112" s="562"/>
      <c r="M112" s="562"/>
      <c r="N112" s="439"/>
      <c r="O112" s="439"/>
      <c r="P112" s="439"/>
      <c r="Q112" s="439"/>
      <c r="R112" s="439"/>
      <c r="S112" s="439"/>
      <c r="T112" s="439"/>
      <c r="U112" s="439"/>
      <c r="V112" s="562"/>
      <c r="W112" s="562"/>
      <c r="X112" s="562"/>
      <c r="Y112" s="577">
        <v>7</v>
      </c>
      <c r="Z112" s="601" t="s">
        <v>586</v>
      </c>
      <c r="AA112" s="562"/>
      <c r="AB112" s="562"/>
      <c r="AC112" s="562"/>
      <c r="AD112" s="562"/>
      <c r="AE112" s="562"/>
      <c r="AF112" s="562"/>
      <c r="AG112" s="562"/>
      <c r="AH112" s="562"/>
      <c r="AI112" s="562"/>
      <c r="AJ112" s="562"/>
      <c r="AK112" s="562"/>
      <c r="AL112" s="562"/>
      <c r="AM112" s="562"/>
    </row>
    <row r="113" spans="1:39" ht="16">
      <c r="A113" s="577">
        <v>5</v>
      </c>
      <c r="B113" s="601" t="s">
        <v>585</v>
      </c>
      <c r="C113" s="562"/>
      <c r="D113" s="562"/>
      <c r="E113" s="562"/>
      <c r="F113" s="562"/>
      <c r="G113" s="562"/>
      <c r="H113" s="562"/>
      <c r="I113" s="562"/>
      <c r="J113" s="562"/>
      <c r="K113" s="562"/>
      <c r="L113" s="562"/>
      <c r="M113" s="562"/>
      <c r="N113" s="439"/>
      <c r="O113" s="439"/>
      <c r="P113" s="439"/>
      <c r="Q113" s="439"/>
      <c r="R113" s="439"/>
      <c r="S113" s="439"/>
      <c r="T113" s="439"/>
      <c r="U113" s="439"/>
      <c r="V113" s="562"/>
      <c r="W113" s="562"/>
      <c r="X113" s="562"/>
      <c r="Y113" s="577">
        <v>11</v>
      </c>
      <c r="Z113" s="601" t="s">
        <v>602</v>
      </c>
      <c r="AA113" s="562"/>
      <c r="AB113" s="562"/>
      <c r="AC113" s="562"/>
      <c r="AD113" s="562"/>
      <c r="AE113" s="562"/>
      <c r="AF113" s="562"/>
      <c r="AG113" s="562"/>
      <c r="AH113" s="562"/>
      <c r="AI113" s="562"/>
      <c r="AJ113" s="562"/>
      <c r="AK113" s="562"/>
      <c r="AL113" s="562"/>
      <c r="AM113" s="562"/>
    </row>
    <row r="114" spans="1:39" ht="16">
      <c r="A114" s="577">
        <v>7</v>
      </c>
      <c r="B114" s="601" t="s">
        <v>586</v>
      </c>
      <c r="C114" s="562"/>
      <c r="D114" s="562"/>
      <c r="E114" s="562"/>
      <c r="F114" s="562"/>
      <c r="G114" s="562"/>
      <c r="H114" s="562"/>
      <c r="I114" s="562"/>
      <c r="J114" s="562"/>
      <c r="K114" s="562"/>
      <c r="L114" s="562"/>
      <c r="M114" s="562"/>
      <c r="N114" s="439"/>
      <c r="O114" s="439"/>
      <c r="P114" s="439"/>
      <c r="Q114" s="439"/>
      <c r="R114" s="439"/>
      <c r="S114" s="439"/>
      <c r="T114" s="439"/>
      <c r="U114" s="439"/>
      <c r="V114" s="562"/>
      <c r="W114" s="562"/>
      <c r="X114" s="562"/>
      <c r="Y114" s="577">
        <v>12</v>
      </c>
      <c r="Z114" s="601" t="s">
        <v>603</v>
      </c>
      <c r="AA114" s="562"/>
      <c r="AB114" s="562"/>
      <c r="AC114" s="562"/>
      <c r="AD114" s="562"/>
      <c r="AE114" s="562"/>
      <c r="AF114" s="562"/>
      <c r="AG114" s="562"/>
      <c r="AH114" s="562"/>
      <c r="AI114" s="562"/>
      <c r="AJ114" s="562"/>
      <c r="AK114" s="562"/>
      <c r="AL114" s="562"/>
      <c r="AM114" s="562"/>
    </row>
    <row r="115" spans="1:39" ht="16">
      <c r="A115" s="577">
        <v>8</v>
      </c>
      <c r="B115" s="601" t="s">
        <v>587</v>
      </c>
      <c r="C115" s="562"/>
      <c r="D115" s="562"/>
      <c r="E115" s="562"/>
      <c r="F115" s="562"/>
      <c r="G115" s="562"/>
      <c r="H115" s="562"/>
      <c r="I115" s="562"/>
      <c r="J115" s="562"/>
      <c r="K115" s="562"/>
      <c r="L115" s="562"/>
      <c r="M115" s="562"/>
      <c r="N115" s="439"/>
      <c r="O115" s="439"/>
      <c r="P115" s="439"/>
      <c r="Q115" s="439"/>
      <c r="R115" s="439"/>
      <c r="S115" s="439"/>
      <c r="T115" s="439"/>
      <c r="U115" s="439"/>
      <c r="V115" s="562"/>
      <c r="W115" s="562"/>
      <c r="X115" s="562"/>
      <c r="Y115" s="577">
        <v>13</v>
      </c>
      <c r="Z115" s="601" t="s">
        <v>604</v>
      </c>
      <c r="AA115" s="562"/>
      <c r="AB115" s="562"/>
      <c r="AC115" s="562"/>
      <c r="AD115" s="562"/>
      <c r="AE115" s="562"/>
      <c r="AF115" s="562"/>
      <c r="AG115" s="562"/>
      <c r="AH115" s="562"/>
      <c r="AI115" s="562"/>
      <c r="AJ115" s="562"/>
      <c r="AK115" s="562"/>
      <c r="AL115" s="562"/>
      <c r="AM115" s="562"/>
    </row>
    <row r="116" spans="1:39" ht="16">
      <c r="A116" s="543">
        <v>14</v>
      </c>
      <c r="B116" s="544" t="s">
        <v>588</v>
      </c>
      <c r="C116" s="113"/>
      <c r="D116" s="113"/>
      <c r="E116" s="113"/>
      <c r="F116" s="113"/>
      <c r="G116" s="113"/>
      <c r="H116" s="113"/>
      <c r="I116" s="113"/>
      <c r="J116" s="113"/>
      <c r="K116" s="113"/>
      <c r="L116" s="113"/>
      <c r="M116" s="113"/>
      <c r="N116" s="545"/>
      <c r="O116" s="545"/>
      <c r="P116" s="439"/>
      <c r="Q116" s="439"/>
      <c r="R116" s="439"/>
      <c r="S116" s="439"/>
      <c r="T116" s="439"/>
      <c r="U116" s="439"/>
      <c r="V116" s="562"/>
      <c r="W116" s="562"/>
      <c r="X116" s="562"/>
      <c r="Y116" s="577">
        <v>15</v>
      </c>
      <c r="Z116" s="601" t="s">
        <v>605</v>
      </c>
      <c r="AA116" s="562"/>
      <c r="AB116" s="562"/>
      <c r="AC116" s="562"/>
      <c r="AD116" s="562"/>
      <c r="AE116" s="562"/>
      <c r="AF116" s="562"/>
      <c r="AG116" s="562"/>
      <c r="AH116" s="562"/>
      <c r="AI116" s="562"/>
      <c r="AJ116" s="562"/>
      <c r="AK116" s="562"/>
      <c r="AL116" s="562"/>
      <c r="AM116" s="562"/>
    </row>
    <row r="117" spans="1:39">
      <c r="A117" s="545"/>
      <c r="B117" s="227"/>
      <c r="C117" s="158"/>
      <c r="D117" s="158"/>
      <c r="E117" s="158"/>
      <c r="F117" s="158"/>
      <c r="G117" s="158"/>
      <c r="H117" s="158"/>
      <c r="I117" s="545"/>
      <c r="J117" s="545"/>
      <c r="K117" s="545"/>
      <c r="L117" s="545"/>
      <c r="M117" s="545"/>
      <c r="N117" s="545"/>
      <c r="O117" s="545"/>
      <c r="P117" s="439"/>
      <c r="Q117" s="439"/>
      <c r="R117" s="439"/>
      <c r="S117" s="439"/>
      <c r="T117" s="439"/>
      <c r="U117" s="439"/>
      <c r="V117" s="562"/>
      <c r="W117" s="562"/>
      <c r="X117" s="562"/>
      <c r="Y117" s="562"/>
      <c r="Z117" s="562"/>
      <c r="AA117" s="562"/>
      <c r="AB117" s="562"/>
      <c r="AC117" s="562"/>
      <c r="AD117" s="562"/>
      <c r="AE117" s="562"/>
      <c r="AF117" s="562"/>
      <c r="AG117" s="562"/>
      <c r="AH117" s="562"/>
      <c r="AI117" s="562"/>
      <c r="AJ117" s="562"/>
      <c r="AK117" s="562"/>
      <c r="AL117" s="562"/>
      <c r="AM117" s="562"/>
    </row>
    <row r="118" spans="1:39">
      <c r="A118" s="546" t="s">
        <v>589</v>
      </c>
      <c r="B118" s="113"/>
      <c r="C118" s="113"/>
      <c r="D118" s="113"/>
      <c r="E118" s="113"/>
      <c r="F118" s="113"/>
      <c r="G118" s="113"/>
      <c r="H118" s="113"/>
      <c r="I118" s="113"/>
      <c r="J118" s="113"/>
      <c r="K118" s="113"/>
      <c r="L118" s="113"/>
      <c r="M118" s="113"/>
      <c r="N118" s="545"/>
      <c r="O118" s="545"/>
      <c r="P118" s="439"/>
      <c r="Q118" s="439"/>
      <c r="R118" s="439"/>
      <c r="S118" s="439"/>
      <c r="T118" s="439"/>
      <c r="U118" s="439"/>
      <c r="V118" s="562"/>
      <c r="W118" s="562"/>
      <c r="X118" s="562"/>
      <c r="Y118" s="576" t="s">
        <v>589</v>
      </c>
      <c r="Z118" s="562"/>
      <c r="AA118" s="562"/>
      <c r="AB118" s="562"/>
      <c r="AC118" s="562"/>
      <c r="AD118" s="562"/>
      <c r="AE118" s="562"/>
      <c r="AF118" s="562"/>
      <c r="AG118" s="562"/>
      <c r="AH118" s="562"/>
      <c r="AI118" s="562"/>
      <c r="AJ118" s="562"/>
      <c r="AK118" s="562"/>
      <c r="AL118" s="562"/>
      <c r="AM118" s="562"/>
    </row>
    <row r="119" spans="1:39">
      <c r="A119" s="547" t="s">
        <v>42</v>
      </c>
      <c r="B119" s="113" t="s">
        <v>590</v>
      </c>
      <c r="C119" s="113"/>
      <c r="D119" s="113"/>
      <c r="E119" s="113"/>
      <c r="F119" s="113"/>
      <c r="G119" s="113"/>
      <c r="H119" s="113"/>
      <c r="I119" s="113"/>
      <c r="J119" s="113"/>
      <c r="K119" s="113"/>
      <c r="L119" s="113"/>
      <c r="M119" s="113"/>
      <c r="N119" s="545"/>
      <c r="O119" s="545"/>
      <c r="P119" s="439"/>
      <c r="Q119" s="439"/>
      <c r="R119" s="439"/>
      <c r="S119" s="439"/>
      <c r="T119" s="439"/>
      <c r="U119" s="439"/>
      <c r="V119" s="562"/>
      <c r="W119" s="562"/>
      <c r="X119" s="562"/>
      <c r="Y119" s="579" t="s">
        <v>42</v>
      </c>
      <c r="Z119" s="563" t="s">
        <v>590</v>
      </c>
      <c r="AA119" s="562"/>
      <c r="AB119" s="562"/>
      <c r="AC119" s="562"/>
      <c r="AD119" s="562"/>
      <c r="AE119" s="562"/>
      <c r="AF119" s="562"/>
      <c r="AG119" s="562"/>
      <c r="AH119" s="562"/>
      <c r="AI119" s="562"/>
      <c r="AJ119" s="562"/>
      <c r="AK119" s="562"/>
      <c r="AL119" s="562"/>
      <c r="AM119" s="562"/>
    </row>
    <row r="120" spans="1:39" ht="16">
      <c r="A120" s="547" t="s">
        <v>15</v>
      </c>
      <c r="B120" s="548" t="s">
        <v>591</v>
      </c>
      <c r="C120" s="113"/>
      <c r="D120" s="113"/>
      <c r="E120" s="113"/>
      <c r="F120" s="113"/>
      <c r="G120" s="113"/>
      <c r="H120" s="113"/>
      <c r="I120" s="113"/>
      <c r="J120" s="113"/>
      <c r="K120" s="113"/>
      <c r="L120" s="113"/>
      <c r="M120" s="113"/>
      <c r="N120" s="545"/>
      <c r="O120" s="545"/>
      <c r="P120" s="439"/>
      <c r="Q120" s="439"/>
      <c r="R120" s="439"/>
      <c r="S120" s="439"/>
      <c r="T120" s="439"/>
      <c r="U120" s="439"/>
      <c r="V120" s="562"/>
      <c r="W120" s="562"/>
      <c r="X120" s="562"/>
      <c r="Y120" s="579" t="s">
        <v>15</v>
      </c>
      <c r="Z120" s="578" t="s">
        <v>591</v>
      </c>
      <c r="AA120" s="562"/>
      <c r="AB120" s="562"/>
      <c r="AC120" s="562"/>
      <c r="AD120" s="562"/>
      <c r="AE120" s="562"/>
      <c r="AF120" s="562"/>
      <c r="AG120" s="562"/>
      <c r="AH120" s="562"/>
      <c r="AI120" s="562"/>
      <c r="AJ120" s="562"/>
      <c r="AK120" s="562"/>
      <c r="AL120" s="562"/>
      <c r="AM120" s="562"/>
    </row>
    <row r="121" spans="1:39" ht="16">
      <c r="A121" s="547" t="s">
        <v>19</v>
      </c>
      <c r="B121" s="548" t="s">
        <v>592</v>
      </c>
      <c r="C121" s="113"/>
      <c r="D121" s="113"/>
      <c r="E121" s="113"/>
      <c r="F121" s="113"/>
      <c r="G121" s="113"/>
      <c r="H121" s="113"/>
      <c r="I121" s="113"/>
      <c r="J121" s="113"/>
      <c r="K121" s="113"/>
      <c r="L121" s="113"/>
      <c r="M121" s="113"/>
      <c r="N121" s="545"/>
      <c r="O121" s="545"/>
      <c r="P121" s="439"/>
      <c r="Q121" s="439"/>
      <c r="R121" s="439"/>
      <c r="S121" s="439"/>
      <c r="T121" s="439"/>
      <c r="U121" s="439"/>
      <c r="V121" s="562"/>
      <c r="W121" s="562"/>
      <c r="X121" s="562"/>
      <c r="Y121" s="579" t="s">
        <v>23</v>
      </c>
      <c r="Z121" s="578" t="s">
        <v>593</v>
      </c>
      <c r="AA121" s="562"/>
      <c r="AB121" s="562"/>
      <c r="AC121" s="562"/>
      <c r="AD121" s="562"/>
      <c r="AE121" s="562"/>
      <c r="AF121" s="562"/>
      <c r="AG121" s="562"/>
      <c r="AH121" s="562"/>
      <c r="AI121" s="562"/>
      <c r="AJ121" s="562"/>
      <c r="AK121" s="562"/>
      <c r="AL121" s="562"/>
      <c r="AM121" s="562"/>
    </row>
    <row r="122" spans="1:39" ht="16">
      <c r="A122" s="547" t="s">
        <v>23</v>
      </c>
      <c r="B122" s="548" t="s">
        <v>593</v>
      </c>
      <c r="C122" s="158"/>
      <c r="D122" s="158"/>
      <c r="E122" s="158"/>
      <c r="F122" s="158"/>
      <c r="G122" s="158"/>
      <c r="H122" s="158"/>
      <c r="I122" s="545"/>
      <c r="J122" s="545"/>
      <c r="K122" s="545"/>
      <c r="L122" s="545"/>
      <c r="M122" s="545"/>
      <c r="N122" s="545"/>
      <c r="O122" s="545"/>
      <c r="P122" s="439"/>
      <c r="Q122" s="439"/>
      <c r="R122" s="439"/>
      <c r="S122" s="439"/>
      <c r="T122" s="439"/>
      <c r="U122" s="439"/>
      <c r="V122" s="562"/>
      <c r="W122" s="562"/>
      <c r="X122" s="562"/>
      <c r="Y122" s="579" t="s">
        <v>40</v>
      </c>
      <c r="Z122" s="578" t="s">
        <v>594</v>
      </c>
      <c r="AA122" s="562"/>
      <c r="AB122" s="562"/>
      <c r="AC122" s="562"/>
      <c r="AD122" s="562"/>
      <c r="AE122" s="562"/>
      <c r="AF122" s="562"/>
      <c r="AG122" s="562"/>
      <c r="AH122" s="562"/>
      <c r="AI122" s="562"/>
      <c r="AJ122" s="562"/>
      <c r="AK122" s="562"/>
      <c r="AL122" s="562"/>
      <c r="AM122" s="562"/>
    </row>
    <row r="123" spans="1:39" ht="16">
      <c r="A123" s="547" t="s">
        <v>40</v>
      </c>
      <c r="B123" s="548" t="s">
        <v>594</v>
      </c>
      <c r="C123" s="158"/>
      <c r="D123" s="158"/>
      <c r="E123" s="158"/>
      <c r="F123" s="158"/>
      <c r="G123" s="158"/>
      <c r="H123" s="158"/>
      <c r="I123" s="545"/>
      <c r="J123" s="545"/>
      <c r="K123" s="545"/>
      <c r="L123" s="545"/>
      <c r="M123" s="545"/>
      <c r="N123" s="545"/>
      <c r="O123" s="545"/>
      <c r="P123" s="439"/>
      <c r="Q123" s="439"/>
      <c r="R123" s="439"/>
      <c r="S123" s="439"/>
      <c r="T123" s="439"/>
      <c r="U123" s="439"/>
      <c r="V123" s="562"/>
      <c r="W123" s="562"/>
      <c r="X123" s="562"/>
      <c r="Y123" s="579" t="s">
        <v>41</v>
      </c>
      <c r="Z123" s="578" t="s">
        <v>595</v>
      </c>
      <c r="AA123" s="562"/>
      <c r="AB123" s="562"/>
      <c r="AC123" s="562"/>
      <c r="AD123" s="562"/>
      <c r="AE123" s="562"/>
      <c r="AF123" s="562"/>
      <c r="AG123" s="562"/>
      <c r="AH123" s="562"/>
      <c r="AI123" s="562"/>
      <c r="AJ123" s="562"/>
      <c r="AK123" s="562"/>
      <c r="AL123" s="562"/>
      <c r="AM123" s="562"/>
    </row>
    <row r="124" spans="1:39" ht="16">
      <c r="A124" s="547" t="s">
        <v>41</v>
      </c>
      <c r="B124" s="548" t="s">
        <v>595</v>
      </c>
      <c r="C124" s="549"/>
      <c r="D124" s="550"/>
      <c r="E124" s="550"/>
      <c r="F124" s="550"/>
      <c r="G124" s="551"/>
      <c r="H124" s="552"/>
      <c r="I124" s="545"/>
      <c r="J124" s="545"/>
      <c r="K124" s="545"/>
      <c r="L124" s="545"/>
      <c r="M124" s="545"/>
      <c r="N124" s="545"/>
      <c r="O124" s="545"/>
      <c r="P124" s="439"/>
      <c r="Q124" s="439"/>
      <c r="R124" s="439"/>
      <c r="S124" s="439"/>
      <c r="T124" s="439"/>
      <c r="U124" s="439"/>
      <c r="V124" s="562"/>
      <c r="W124" s="562"/>
      <c r="X124" s="562"/>
      <c r="Y124" s="579" t="s">
        <v>279</v>
      </c>
      <c r="Z124" s="578" t="s">
        <v>596</v>
      </c>
      <c r="AA124" s="562"/>
      <c r="AB124" s="562"/>
      <c r="AC124" s="562"/>
      <c r="AD124" s="562"/>
      <c r="AE124" s="562"/>
      <c r="AF124" s="562"/>
      <c r="AG124" s="562"/>
      <c r="AH124" s="562"/>
      <c r="AI124" s="562"/>
      <c r="AJ124" s="562"/>
      <c r="AK124" s="562"/>
      <c r="AL124" s="562"/>
      <c r="AM124" s="562"/>
    </row>
    <row r="125" spans="1:39" ht="16">
      <c r="A125" s="547" t="s">
        <v>279</v>
      </c>
      <c r="B125" s="548" t="s">
        <v>596</v>
      </c>
      <c r="C125" s="550"/>
      <c r="D125" s="553"/>
      <c r="E125" s="550"/>
      <c r="F125" s="550"/>
      <c r="G125" s="554"/>
      <c r="H125" s="552"/>
      <c r="I125" s="545"/>
      <c r="J125" s="545"/>
      <c r="K125" s="545"/>
      <c r="L125" s="545"/>
      <c r="M125" s="545"/>
      <c r="N125" s="545"/>
      <c r="O125" s="545"/>
      <c r="P125" s="439"/>
      <c r="Q125" s="439"/>
      <c r="R125" s="439"/>
      <c r="S125" s="439"/>
      <c r="T125" s="439"/>
      <c r="U125" s="439"/>
      <c r="V125" s="562"/>
      <c r="W125" s="562"/>
      <c r="X125" s="562"/>
      <c r="Y125" s="562"/>
      <c r="Z125" s="562"/>
      <c r="AA125" s="562"/>
      <c r="AB125" s="562"/>
      <c r="AC125" s="562"/>
      <c r="AD125" s="562"/>
      <c r="AE125" s="562"/>
      <c r="AF125" s="562"/>
      <c r="AG125" s="562"/>
      <c r="AH125" s="562"/>
      <c r="AI125" s="562"/>
      <c r="AJ125" s="562"/>
      <c r="AK125" s="562"/>
      <c r="AL125" s="562"/>
      <c r="AM125" s="562"/>
    </row>
    <row r="126" spans="1:39">
      <c r="A126" s="439"/>
      <c r="B126" s="439"/>
      <c r="C126" s="439"/>
      <c r="D126" s="439"/>
      <c r="E126" s="439"/>
      <c r="F126" s="439"/>
      <c r="G126" s="439"/>
      <c r="H126" s="439"/>
      <c r="I126" s="439"/>
      <c r="J126" s="439"/>
      <c r="K126" s="439"/>
      <c r="L126" s="439"/>
      <c r="M126" s="439"/>
      <c r="N126" s="439"/>
      <c r="O126" s="439"/>
      <c r="P126" s="439"/>
      <c r="Q126" s="439"/>
      <c r="R126" s="439"/>
      <c r="S126" s="439"/>
      <c r="T126" s="439"/>
      <c r="U126" s="439"/>
      <c r="V126" s="562"/>
      <c r="W126" s="562"/>
      <c r="X126" s="562"/>
      <c r="Y126" s="562"/>
      <c r="Z126" s="562"/>
      <c r="AA126" s="562"/>
      <c r="AB126" s="562"/>
      <c r="AC126" s="562"/>
      <c r="AD126" s="562"/>
      <c r="AE126" s="562"/>
      <c r="AF126" s="562"/>
      <c r="AG126" s="562"/>
      <c r="AH126" s="562"/>
      <c r="AI126" s="562"/>
      <c r="AJ126" s="562"/>
      <c r="AK126" s="562"/>
      <c r="AL126" s="562"/>
      <c r="AM126" s="562"/>
    </row>
    <row r="127" spans="1:39">
      <c r="A127" s="439"/>
      <c r="B127" s="439"/>
      <c r="C127" s="439"/>
      <c r="D127" s="439"/>
      <c r="E127" s="439"/>
      <c r="F127" s="439"/>
      <c r="G127" s="439"/>
      <c r="H127" s="439"/>
      <c r="I127" s="439"/>
      <c r="J127" s="439"/>
      <c r="K127" s="439"/>
      <c r="L127" s="439"/>
      <c r="M127" s="439"/>
      <c r="N127" s="439"/>
      <c r="O127" s="439"/>
      <c r="P127" s="439"/>
      <c r="Q127" s="439"/>
      <c r="R127" s="439"/>
      <c r="S127" s="439"/>
      <c r="T127" s="439"/>
      <c r="U127" s="439"/>
      <c r="V127" s="562"/>
      <c r="W127" s="562"/>
      <c r="X127" s="562"/>
      <c r="Y127" s="562"/>
      <c r="Z127" s="562"/>
      <c r="AA127" s="562"/>
      <c r="AB127" s="562"/>
      <c r="AC127" s="562"/>
      <c r="AD127" s="562"/>
      <c r="AE127" s="562"/>
      <c r="AF127" s="562"/>
      <c r="AG127" s="562"/>
      <c r="AH127" s="562"/>
      <c r="AI127" s="562"/>
      <c r="AJ127" s="562"/>
      <c r="AK127" s="562"/>
      <c r="AL127" s="562"/>
      <c r="AM127" s="562"/>
    </row>
    <row r="128" spans="1:39">
      <c r="A128" s="439"/>
      <c r="B128" s="439"/>
      <c r="C128" s="439"/>
      <c r="D128" s="439"/>
      <c r="E128" s="439"/>
      <c r="F128" s="439"/>
      <c r="G128" s="439"/>
      <c r="H128" s="439"/>
      <c r="I128" s="439"/>
      <c r="J128" s="439"/>
      <c r="K128" s="439"/>
      <c r="L128" s="439"/>
      <c r="M128" s="439"/>
      <c r="N128" s="439"/>
      <c r="O128" s="439"/>
      <c r="P128" s="439"/>
      <c r="Q128" s="439"/>
      <c r="R128" s="439"/>
      <c r="S128" s="439"/>
      <c r="T128" s="439"/>
      <c r="U128" s="439"/>
      <c r="V128" s="562"/>
      <c r="W128" s="562"/>
      <c r="X128" s="562"/>
      <c r="Y128" s="562"/>
      <c r="Z128" s="562"/>
      <c r="AA128" s="562"/>
      <c r="AB128" s="562"/>
      <c r="AC128" s="562"/>
      <c r="AD128" s="562"/>
      <c r="AE128" s="562"/>
      <c r="AF128" s="562"/>
      <c r="AG128" s="562"/>
      <c r="AH128" s="562"/>
      <c r="AI128" s="562"/>
      <c r="AJ128" s="562"/>
      <c r="AK128" s="562"/>
      <c r="AL128" s="562"/>
      <c r="AM128" s="562"/>
    </row>
    <row r="129" spans="1:39">
      <c r="A129" s="439"/>
      <c r="B129" s="439"/>
      <c r="C129" s="439"/>
      <c r="D129" s="439"/>
      <c r="E129" s="439"/>
      <c r="F129" s="439"/>
      <c r="G129" s="439"/>
      <c r="H129" s="439"/>
      <c r="I129" s="439"/>
      <c r="J129" s="439"/>
      <c r="K129" s="439"/>
      <c r="L129" s="439"/>
      <c r="M129" s="439"/>
      <c r="N129" s="439"/>
      <c r="O129" s="439"/>
      <c r="P129" s="439"/>
      <c r="Q129" s="439"/>
      <c r="R129" s="439"/>
      <c r="S129" s="439"/>
      <c r="T129" s="439"/>
      <c r="U129" s="439"/>
      <c r="V129" s="562"/>
      <c r="W129" s="562"/>
      <c r="X129" s="562"/>
      <c r="Y129" s="562"/>
      <c r="Z129" s="562"/>
      <c r="AA129" s="562"/>
      <c r="AB129" s="562"/>
      <c r="AC129" s="562"/>
      <c r="AD129" s="562"/>
      <c r="AE129" s="562"/>
      <c r="AF129" s="562"/>
      <c r="AG129" s="562"/>
      <c r="AH129" s="562"/>
      <c r="AI129" s="562"/>
      <c r="AJ129" s="562"/>
      <c r="AK129" s="562"/>
      <c r="AL129" s="562"/>
      <c r="AM129" s="562"/>
    </row>
    <row r="130" spans="1:39">
      <c r="A130" s="439"/>
      <c r="B130" s="439"/>
      <c r="C130" s="439"/>
      <c r="D130" s="439"/>
      <c r="E130" s="439"/>
      <c r="F130" s="439"/>
      <c r="G130" s="439"/>
      <c r="H130" s="439"/>
      <c r="I130" s="439"/>
      <c r="J130" s="439"/>
      <c r="K130" s="439"/>
      <c r="L130" s="439"/>
      <c r="M130" s="439"/>
      <c r="N130" s="439"/>
      <c r="O130" s="439"/>
      <c r="P130" s="439"/>
      <c r="Q130" s="439"/>
      <c r="R130" s="439"/>
      <c r="S130" s="439"/>
      <c r="T130" s="439"/>
      <c r="U130" s="439"/>
      <c r="V130" s="562"/>
      <c r="W130" s="562"/>
      <c r="X130" s="562"/>
      <c r="Y130" s="562"/>
      <c r="Z130" s="562"/>
      <c r="AA130" s="562"/>
      <c r="AB130" s="562"/>
      <c r="AC130" s="562"/>
      <c r="AD130" s="562"/>
      <c r="AE130" s="562"/>
      <c r="AF130" s="562"/>
      <c r="AG130" s="562"/>
      <c r="AH130" s="562"/>
      <c r="AI130" s="562"/>
      <c r="AJ130" s="562"/>
      <c r="AK130" s="562"/>
      <c r="AL130" s="562"/>
      <c r="AM130" s="562"/>
    </row>
    <row r="131" spans="1:39" ht="27" customHeight="1">
      <c r="A131" s="562"/>
      <c r="B131" s="562"/>
      <c r="C131" s="562"/>
      <c r="D131" s="562"/>
      <c r="E131" s="562"/>
      <c r="F131" s="562"/>
      <c r="G131" s="562"/>
      <c r="H131" s="562"/>
      <c r="I131" s="562"/>
      <c r="J131" s="562"/>
      <c r="K131" s="562"/>
      <c r="L131" s="562"/>
      <c r="M131" s="562"/>
      <c r="N131" s="562"/>
      <c r="O131" s="562"/>
      <c r="P131" s="562"/>
      <c r="Q131" s="562"/>
      <c r="R131" s="562"/>
      <c r="S131" s="562"/>
      <c r="T131" s="562"/>
      <c r="U131" s="562"/>
      <c r="V131" s="562"/>
      <c r="W131" s="562"/>
      <c r="X131" s="562"/>
      <c r="Y131" s="562"/>
      <c r="Z131" s="562"/>
      <c r="AA131" s="562"/>
      <c r="AB131" s="562"/>
      <c r="AC131" s="562"/>
      <c r="AD131" s="562"/>
      <c r="AE131" s="562"/>
      <c r="AF131" s="562"/>
      <c r="AG131" s="562"/>
      <c r="AH131" s="562"/>
      <c r="AI131" s="562"/>
      <c r="AJ131" s="562"/>
      <c r="AK131" s="562"/>
      <c r="AL131" s="562"/>
      <c r="AM131" s="562"/>
    </row>
    <row r="132" spans="1:39">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c r="AG132" s="562"/>
      <c r="AH132" s="562"/>
      <c r="AI132" s="562"/>
      <c r="AJ132" s="562"/>
      <c r="AK132" s="562"/>
      <c r="AL132" s="562"/>
      <c r="AM132" s="562"/>
    </row>
    <row r="133" spans="1:39">
      <c r="A133" s="562"/>
      <c r="B133" s="562"/>
      <c r="C133" s="562"/>
      <c r="D133" s="562"/>
      <c r="E133" s="562"/>
      <c r="F133" s="562"/>
      <c r="G133" s="562"/>
      <c r="H133" s="562"/>
      <c r="I133" s="562"/>
      <c r="J133" s="562"/>
      <c r="K133" s="562"/>
      <c r="L133" s="562"/>
      <c r="M133" s="562"/>
      <c r="N133" s="562"/>
      <c r="O133" s="562"/>
      <c r="P133" s="562"/>
      <c r="Q133" s="562"/>
      <c r="R133" s="562"/>
      <c r="S133" s="562"/>
      <c r="T133" s="562"/>
      <c r="U133" s="562"/>
      <c r="V133" s="562"/>
      <c r="W133" s="562"/>
      <c r="X133" s="562"/>
      <c r="Y133" s="562"/>
      <c r="Z133" s="562"/>
      <c r="AA133" s="562"/>
      <c r="AB133" s="562"/>
      <c r="AC133" s="562"/>
      <c r="AD133" s="562"/>
      <c r="AE133" s="562"/>
      <c r="AF133" s="562"/>
      <c r="AG133" s="562"/>
      <c r="AH133" s="562"/>
      <c r="AI133" s="562"/>
      <c r="AJ133" s="562"/>
      <c r="AK133" s="562"/>
      <c r="AL133" s="562"/>
      <c r="AM133" s="562"/>
    </row>
    <row r="134" spans="1:39">
      <c r="A134" s="562"/>
      <c r="B134" s="562"/>
      <c r="C134" s="562"/>
      <c r="D134" s="562"/>
      <c r="E134" s="562"/>
      <c r="F134" s="562"/>
      <c r="G134" s="562"/>
      <c r="H134" s="43"/>
      <c r="I134" s="562"/>
      <c r="J134" s="562"/>
      <c r="K134" s="562"/>
      <c r="L134" s="562"/>
      <c r="M134" s="562"/>
      <c r="N134" s="562"/>
      <c r="O134" s="562"/>
      <c r="P134" s="562"/>
      <c r="Q134" s="562"/>
      <c r="R134" s="562"/>
      <c r="S134" s="562"/>
      <c r="T134" s="562"/>
      <c r="U134" s="562"/>
      <c r="V134" s="562"/>
      <c r="W134" s="562"/>
      <c r="X134" s="562"/>
      <c r="Y134" s="562"/>
      <c r="Z134" s="562"/>
      <c r="AA134" s="562"/>
      <c r="AB134" s="562"/>
      <c r="AC134" s="562"/>
      <c r="AD134" s="562"/>
      <c r="AE134" s="562"/>
      <c r="AF134" s="562"/>
      <c r="AG134" s="562"/>
      <c r="AH134" s="562"/>
      <c r="AI134" s="562"/>
      <c r="AJ134" s="562"/>
      <c r="AK134" s="562"/>
      <c r="AL134" s="562"/>
      <c r="AM134" s="562"/>
    </row>
    <row r="135" spans="1:39">
      <c r="A135" s="562"/>
      <c r="B135" s="562"/>
      <c r="C135" s="562"/>
      <c r="D135" s="562"/>
      <c r="E135" s="562"/>
      <c r="F135" s="562"/>
      <c r="G135" s="562"/>
      <c r="H135" s="562"/>
      <c r="I135" s="562"/>
      <c r="J135" s="562"/>
      <c r="K135" s="562"/>
      <c r="L135" s="562"/>
      <c r="M135" s="562"/>
      <c r="N135" s="562"/>
      <c r="O135" s="562"/>
      <c r="P135" s="562"/>
      <c r="Q135" s="562"/>
      <c r="R135" s="562"/>
      <c r="S135" s="562"/>
      <c r="T135" s="562"/>
      <c r="U135" s="562"/>
      <c r="V135" s="562"/>
      <c r="W135" s="562"/>
      <c r="X135" s="562"/>
      <c r="Y135" s="562"/>
      <c r="Z135" s="562"/>
      <c r="AA135" s="562"/>
      <c r="AB135" s="562"/>
      <c r="AC135" s="562"/>
      <c r="AD135" s="562"/>
      <c r="AE135" s="562"/>
      <c r="AF135" s="562"/>
      <c r="AG135" s="562"/>
      <c r="AH135" s="562"/>
      <c r="AI135" s="562"/>
      <c r="AJ135" s="562"/>
      <c r="AK135" s="562"/>
      <c r="AL135" s="562"/>
      <c r="AM135" s="562"/>
    </row>
    <row r="136" spans="1:39">
      <c r="A136" s="562"/>
      <c r="B136" s="562"/>
      <c r="C136" s="562"/>
      <c r="D136" s="562"/>
      <c r="E136" s="562"/>
      <c r="F136" s="562"/>
      <c r="G136" s="562"/>
      <c r="H136" s="562"/>
      <c r="I136" s="562"/>
      <c r="J136" s="562"/>
      <c r="K136" s="562"/>
      <c r="L136" s="562"/>
      <c r="M136" s="562"/>
      <c r="N136" s="562"/>
      <c r="O136" s="562"/>
      <c r="P136" s="562"/>
      <c r="Q136" s="562"/>
      <c r="R136" s="562"/>
      <c r="S136" s="562"/>
      <c r="T136" s="562"/>
      <c r="U136" s="562"/>
      <c r="V136" s="562"/>
      <c r="W136" s="562"/>
      <c r="X136" s="562"/>
      <c r="Y136" s="562"/>
      <c r="Z136" s="562"/>
      <c r="AA136" s="562"/>
      <c r="AB136" s="562"/>
      <c r="AC136" s="562"/>
      <c r="AD136" s="562"/>
      <c r="AE136" s="562"/>
      <c r="AF136" s="562"/>
      <c r="AG136" s="562"/>
      <c r="AH136" s="562"/>
      <c r="AI136" s="562"/>
      <c r="AJ136" s="562"/>
      <c r="AK136" s="562"/>
      <c r="AL136" s="562"/>
      <c r="AM136" s="562"/>
    </row>
    <row r="137" spans="1:39">
      <c r="A137" s="562"/>
      <c r="B137" s="562"/>
      <c r="C137" s="562"/>
      <c r="D137" s="562"/>
      <c r="E137" s="562"/>
      <c r="F137" s="562"/>
      <c r="G137" s="562"/>
      <c r="H137" s="562"/>
      <c r="I137" s="562"/>
      <c r="J137" s="562"/>
      <c r="K137" s="562"/>
      <c r="L137" s="562"/>
      <c r="M137" s="562"/>
      <c r="N137" s="562"/>
      <c r="O137" s="562"/>
      <c r="P137" s="562"/>
      <c r="Q137" s="562"/>
      <c r="R137" s="562"/>
      <c r="S137" s="562"/>
      <c r="T137" s="562"/>
      <c r="U137" s="562"/>
      <c r="V137" s="562"/>
      <c r="W137" s="562"/>
      <c r="X137" s="562"/>
      <c r="Y137" s="562"/>
      <c r="Z137" s="562"/>
      <c r="AA137" s="562"/>
      <c r="AB137" s="562"/>
      <c r="AC137" s="562"/>
      <c r="AD137" s="562"/>
      <c r="AE137" s="562"/>
      <c r="AF137" s="562"/>
      <c r="AG137" s="562"/>
      <c r="AH137" s="562"/>
      <c r="AI137" s="562"/>
      <c r="AJ137" s="562"/>
      <c r="AK137" s="562"/>
      <c r="AL137" s="562"/>
      <c r="AM137" s="562"/>
    </row>
    <row r="138" spans="1:39">
      <c r="A138" s="562"/>
      <c r="B138" s="562"/>
      <c r="C138" s="562"/>
      <c r="D138" s="562"/>
      <c r="E138" s="562"/>
      <c r="F138" s="562"/>
      <c r="G138" s="562"/>
      <c r="H138" s="562"/>
      <c r="I138" s="562"/>
      <c r="J138" s="562"/>
      <c r="K138" s="562"/>
      <c r="L138" s="562"/>
      <c r="M138" s="562"/>
      <c r="N138" s="562"/>
      <c r="O138" s="562"/>
      <c r="P138" s="562"/>
      <c r="Q138" s="562"/>
      <c r="R138" s="562"/>
      <c r="S138" s="562"/>
      <c r="T138" s="562"/>
      <c r="U138" s="562"/>
      <c r="V138" s="562"/>
      <c r="W138" s="562"/>
      <c r="X138" s="562"/>
      <c r="Y138" s="562"/>
      <c r="Z138" s="562"/>
      <c r="AA138" s="562"/>
      <c r="AB138" s="562"/>
      <c r="AC138" s="562"/>
      <c r="AD138" s="562"/>
      <c r="AE138" s="562"/>
      <c r="AF138" s="562"/>
      <c r="AG138" s="562"/>
      <c r="AH138" s="562"/>
      <c r="AI138" s="562"/>
      <c r="AJ138" s="562"/>
      <c r="AK138" s="562"/>
      <c r="AL138" s="562"/>
      <c r="AM138" s="562"/>
    </row>
    <row r="139" spans="1:39">
      <c r="A139" s="562"/>
      <c r="B139" s="562"/>
      <c r="C139" s="562"/>
      <c r="D139" s="562"/>
      <c r="E139" s="562"/>
      <c r="F139" s="562"/>
      <c r="G139" s="562"/>
      <c r="H139" s="562"/>
      <c r="I139" s="562"/>
      <c r="J139" s="562"/>
      <c r="K139" s="562"/>
      <c r="L139" s="562"/>
      <c r="M139" s="562"/>
      <c r="N139" s="562"/>
      <c r="O139" s="562"/>
      <c r="P139" s="562"/>
      <c r="Q139" s="562"/>
      <c r="R139" s="562"/>
      <c r="S139" s="562"/>
      <c r="T139" s="562"/>
      <c r="U139" s="562"/>
      <c r="V139" s="562"/>
      <c r="W139" s="562"/>
      <c r="X139" s="562"/>
      <c r="Y139" s="562"/>
      <c r="Z139" s="562"/>
      <c r="AA139" s="562"/>
      <c r="AB139" s="562"/>
      <c r="AC139" s="562"/>
      <c r="AD139" s="562"/>
      <c r="AE139" s="562"/>
      <c r="AF139" s="562"/>
      <c r="AG139" s="562"/>
      <c r="AH139" s="562"/>
      <c r="AI139" s="562"/>
      <c r="AJ139" s="562"/>
      <c r="AK139" s="562"/>
      <c r="AL139" s="562"/>
      <c r="AM139" s="562"/>
    </row>
    <row r="140" spans="1:39">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row>
    <row r="141" spans="1:39">
      <c r="A141" s="562"/>
      <c r="B141" s="562"/>
      <c r="C141" s="562"/>
      <c r="D141" s="562"/>
      <c r="E141" s="562"/>
      <c r="F141" s="562"/>
      <c r="G141" s="562"/>
      <c r="H141" s="562"/>
      <c r="I141" s="562"/>
      <c r="J141" s="562"/>
      <c r="K141" s="562"/>
      <c r="L141" s="562"/>
      <c r="M141" s="562"/>
      <c r="N141" s="562"/>
      <c r="O141" s="562"/>
      <c r="P141" s="562"/>
      <c r="Q141" s="562"/>
      <c r="R141" s="562"/>
      <c r="S141" s="562"/>
      <c r="T141" s="562"/>
      <c r="U141" s="562"/>
      <c r="V141" s="562"/>
      <c r="W141" s="562"/>
      <c r="X141" s="562"/>
      <c r="Y141" s="562"/>
      <c r="Z141" s="562"/>
      <c r="AA141" s="562"/>
      <c r="AB141" s="562"/>
      <c r="AC141" s="562"/>
      <c r="AD141" s="562"/>
      <c r="AE141" s="562"/>
      <c r="AF141" s="562"/>
      <c r="AG141" s="562"/>
      <c r="AH141" s="562"/>
      <c r="AI141" s="562"/>
      <c r="AJ141" s="562"/>
      <c r="AK141" s="562"/>
      <c r="AL141" s="562"/>
      <c r="AM141" s="562"/>
    </row>
    <row r="142" spans="1:39">
      <c r="A142" s="562"/>
      <c r="B142" s="562"/>
      <c r="C142" s="562"/>
      <c r="D142" s="562"/>
      <c r="E142" s="562"/>
      <c r="F142" s="562"/>
      <c r="G142" s="562"/>
      <c r="H142" s="562"/>
      <c r="I142" s="562"/>
      <c r="J142" s="562"/>
      <c r="K142" s="562"/>
      <c r="L142" s="562"/>
      <c r="M142" s="562"/>
      <c r="N142" s="562"/>
      <c r="O142" s="562"/>
      <c r="P142" s="562"/>
      <c r="Q142" s="562"/>
      <c r="R142" s="562"/>
      <c r="S142" s="562"/>
      <c r="T142" s="562"/>
      <c r="U142" s="562"/>
      <c r="V142" s="562"/>
      <c r="W142" s="562"/>
      <c r="X142" s="562"/>
      <c r="Y142" s="562"/>
      <c r="Z142" s="562"/>
      <c r="AA142" s="562"/>
      <c r="AB142" s="562"/>
      <c r="AC142" s="562"/>
      <c r="AD142" s="562"/>
      <c r="AE142" s="562"/>
      <c r="AF142" s="562"/>
      <c r="AG142" s="562"/>
      <c r="AH142" s="562"/>
      <c r="AI142" s="562"/>
      <c r="AJ142" s="562"/>
      <c r="AK142" s="562"/>
      <c r="AL142" s="562"/>
      <c r="AM142" s="562"/>
    </row>
    <row r="143" spans="1:39">
      <c r="A143" s="562"/>
      <c r="B143" s="562"/>
      <c r="C143" s="562"/>
      <c r="D143" s="562"/>
      <c r="E143" s="562"/>
      <c r="F143" s="562"/>
      <c r="G143" s="562"/>
      <c r="H143" s="562"/>
      <c r="I143" s="562"/>
      <c r="J143" s="562"/>
      <c r="K143" s="562"/>
      <c r="L143" s="562"/>
      <c r="M143" s="562"/>
      <c r="N143" s="562"/>
      <c r="O143" s="562"/>
      <c r="P143" s="562"/>
      <c r="Q143" s="562"/>
      <c r="R143" s="562"/>
      <c r="S143" s="562"/>
      <c r="T143" s="562"/>
      <c r="U143" s="562"/>
      <c r="V143" s="562"/>
      <c r="W143" s="562"/>
      <c r="X143" s="562"/>
      <c r="Y143" s="562"/>
      <c r="Z143" s="562"/>
      <c r="AA143" s="562"/>
      <c r="AB143" s="562"/>
      <c r="AC143" s="562"/>
      <c r="AD143" s="562"/>
      <c r="AE143" s="562"/>
      <c r="AF143" s="562"/>
      <c r="AG143" s="562"/>
      <c r="AH143" s="562"/>
      <c r="AI143" s="562"/>
      <c r="AJ143" s="562"/>
      <c r="AK143" s="562"/>
      <c r="AL143" s="562"/>
      <c r="AM143" s="562"/>
    </row>
    <row r="144" spans="1:39">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c r="AB144" s="562"/>
      <c r="AC144" s="562"/>
      <c r="AD144" s="562"/>
      <c r="AE144" s="562"/>
      <c r="AF144" s="562"/>
      <c r="AG144" s="562"/>
      <c r="AH144" s="562"/>
      <c r="AI144" s="562"/>
      <c r="AJ144" s="562"/>
      <c r="AK144" s="562"/>
      <c r="AL144" s="562"/>
      <c r="AM144" s="562"/>
    </row>
    <row r="145" spans="1:39">
      <c r="A145" s="562"/>
      <c r="B145" s="562"/>
      <c r="C145" s="562"/>
      <c r="D145" s="562"/>
      <c r="E145" s="562"/>
      <c r="F145" s="562"/>
      <c r="G145" s="562"/>
      <c r="H145" s="562"/>
      <c r="I145" s="562"/>
      <c r="J145" s="562"/>
      <c r="K145" s="562"/>
      <c r="L145" s="562"/>
      <c r="M145" s="562"/>
      <c r="N145" s="562"/>
      <c r="O145" s="562"/>
      <c r="P145" s="562"/>
      <c r="Q145" s="562"/>
      <c r="R145" s="562"/>
      <c r="S145" s="562"/>
      <c r="T145" s="562"/>
      <c r="U145" s="562"/>
      <c r="V145" s="562"/>
      <c r="W145" s="562"/>
      <c r="X145" s="562"/>
      <c r="Y145" s="562"/>
      <c r="Z145" s="562"/>
      <c r="AA145" s="562"/>
      <c r="AB145" s="562"/>
      <c r="AC145" s="562"/>
      <c r="AD145" s="562"/>
      <c r="AE145" s="562"/>
      <c r="AF145" s="562"/>
      <c r="AG145" s="562"/>
      <c r="AH145" s="562"/>
      <c r="AI145" s="562"/>
      <c r="AJ145" s="562"/>
      <c r="AK145" s="562"/>
      <c r="AL145" s="562"/>
      <c r="AM145" s="562"/>
    </row>
    <row r="146" spans="1:39">
      <c r="A146" s="562"/>
      <c r="B146" s="562"/>
      <c r="C146" s="562"/>
      <c r="D146" s="562"/>
      <c r="E146" s="562"/>
      <c r="F146" s="562"/>
      <c r="G146" s="562"/>
      <c r="H146" s="562"/>
      <c r="I146" s="562"/>
      <c r="J146" s="562"/>
      <c r="K146" s="562"/>
      <c r="L146" s="562"/>
      <c r="M146" s="562"/>
      <c r="N146" s="562"/>
      <c r="O146" s="562"/>
      <c r="P146" s="562"/>
      <c r="Q146" s="562"/>
      <c r="R146" s="562"/>
      <c r="S146" s="562"/>
      <c r="T146" s="562"/>
      <c r="U146" s="562"/>
      <c r="V146" s="562"/>
      <c r="W146" s="562"/>
      <c r="X146" s="562"/>
      <c r="Y146" s="562"/>
      <c r="Z146" s="562"/>
      <c r="AA146" s="562"/>
      <c r="AB146" s="562"/>
      <c r="AC146" s="562"/>
      <c r="AD146" s="562"/>
      <c r="AE146" s="562"/>
      <c r="AF146" s="562"/>
      <c r="AG146" s="562"/>
      <c r="AH146" s="562"/>
      <c r="AI146" s="562"/>
      <c r="AJ146" s="562"/>
      <c r="AK146" s="562"/>
      <c r="AL146" s="562"/>
      <c r="AM146" s="562"/>
    </row>
    <row r="147" spans="1:39">
      <c r="A147" s="562"/>
      <c r="B147" s="562"/>
      <c r="C147" s="562"/>
      <c r="D147" s="562"/>
      <c r="E147" s="562"/>
      <c r="F147" s="562"/>
      <c r="G147" s="562"/>
      <c r="H147" s="562"/>
      <c r="I147" s="562"/>
      <c r="J147" s="562"/>
      <c r="K147" s="562"/>
      <c r="L147" s="562"/>
      <c r="M147" s="562"/>
      <c r="N147" s="562"/>
      <c r="O147" s="562"/>
      <c r="P147" s="562"/>
      <c r="Q147" s="562"/>
      <c r="R147" s="562"/>
      <c r="S147" s="562"/>
      <c r="T147" s="562"/>
      <c r="U147" s="562"/>
      <c r="V147" s="562"/>
      <c r="W147" s="562"/>
      <c r="X147" s="562"/>
      <c r="Y147" s="562"/>
      <c r="Z147" s="562"/>
      <c r="AA147" s="562"/>
      <c r="AB147" s="562"/>
      <c r="AC147" s="562"/>
      <c r="AD147" s="562"/>
      <c r="AE147" s="562"/>
      <c r="AF147" s="562"/>
      <c r="AG147" s="562"/>
      <c r="AH147" s="562"/>
      <c r="AI147" s="562"/>
      <c r="AJ147" s="562"/>
      <c r="AK147" s="562"/>
      <c r="AL147" s="562"/>
      <c r="AM147" s="562"/>
    </row>
    <row r="148" spans="1:39">
      <c r="A148" s="562"/>
      <c r="B148" s="562"/>
      <c r="C148" s="562"/>
      <c r="D148" s="562"/>
      <c r="E148" s="562"/>
      <c r="F148" s="562"/>
      <c r="G148" s="562"/>
      <c r="H148" s="562"/>
      <c r="I148" s="562"/>
      <c r="J148" s="562"/>
      <c r="K148" s="562"/>
      <c r="L148" s="562"/>
      <c r="M148" s="562"/>
      <c r="N148" s="562"/>
      <c r="O148" s="562"/>
      <c r="P148" s="562"/>
      <c r="Q148" s="562"/>
      <c r="R148" s="562"/>
      <c r="S148" s="562"/>
      <c r="T148" s="562"/>
      <c r="U148" s="562"/>
      <c r="V148" s="562"/>
      <c r="W148" s="562"/>
      <c r="X148" s="562"/>
      <c r="Y148" s="562"/>
      <c r="Z148" s="562"/>
      <c r="AA148" s="562"/>
      <c r="AB148" s="562"/>
      <c r="AC148" s="562"/>
      <c r="AD148" s="562"/>
      <c r="AE148" s="562"/>
      <c r="AF148" s="562"/>
      <c r="AG148" s="562"/>
      <c r="AH148" s="562"/>
      <c r="AI148" s="562"/>
      <c r="AJ148" s="562"/>
      <c r="AK148" s="562"/>
      <c r="AL148" s="562"/>
      <c r="AM148" s="562"/>
    </row>
    <row r="149" spans="1:39">
      <c r="A149" s="562"/>
      <c r="B149" s="562"/>
      <c r="C149" s="562"/>
      <c r="D149" s="562"/>
      <c r="E149" s="562"/>
      <c r="F149" s="562"/>
      <c r="G149" s="562"/>
      <c r="H149" s="562"/>
      <c r="I149" s="562"/>
      <c r="J149" s="562"/>
      <c r="K149" s="562"/>
      <c r="L149" s="562"/>
      <c r="M149" s="562"/>
      <c r="N149" s="562"/>
      <c r="O149" s="562"/>
      <c r="P149" s="562"/>
      <c r="Q149" s="562"/>
      <c r="R149" s="562"/>
      <c r="S149" s="562"/>
      <c r="T149" s="562"/>
      <c r="U149" s="562"/>
      <c r="V149" s="562"/>
      <c r="W149" s="562"/>
      <c r="X149" s="562"/>
      <c r="Y149" s="562"/>
      <c r="Z149" s="562"/>
      <c r="AA149" s="562"/>
      <c r="AB149" s="562"/>
      <c r="AC149" s="562"/>
      <c r="AD149" s="562"/>
      <c r="AE149" s="562"/>
      <c r="AF149" s="562"/>
      <c r="AG149" s="562"/>
      <c r="AH149" s="562"/>
      <c r="AI149" s="562"/>
      <c r="AJ149" s="562"/>
      <c r="AK149" s="562"/>
      <c r="AL149" s="562"/>
      <c r="AM149" s="562"/>
    </row>
    <row r="150" spans="1:39">
      <c r="A150" s="562"/>
      <c r="B150" s="562"/>
      <c r="C150" s="562"/>
      <c r="D150" s="562"/>
      <c r="E150" s="562"/>
      <c r="F150" s="562"/>
      <c r="G150" s="562"/>
      <c r="H150" s="562"/>
      <c r="I150" s="562"/>
      <c r="J150" s="562"/>
      <c r="K150" s="562"/>
      <c r="L150" s="562"/>
      <c r="M150" s="562"/>
      <c r="N150" s="562"/>
      <c r="O150" s="562"/>
      <c r="P150" s="562"/>
      <c r="Q150" s="562"/>
      <c r="R150" s="562"/>
      <c r="S150" s="562"/>
      <c r="T150" s="562"/>
      <c r="U150" s="562"/>
      <c r="V150" s="562"/>
      <c r="W150" s="562"/>
      <c r="X150" s="562"/>
      <c r="Y150" s="562"/>
      <c r="Z150" s="562"/>
      <c r="AA150" s="562"/>
      <c r="AB150" s="562"/>
      <c r="AC150" s="562"/>
      <c r="AD150" s="562"/>
      <c r="AE150" s="562"/>
      <c r="AF150" s="562"/>
      <c r="AG150" s="562"/>
      <c r="AH150" s="562"/>
      <c r="AI150" s="562"/>
      <c r="AJ150" s="562"/>
      <c r="AK150" s="562"/>
      <c r="AL150" s="562"/>
      <c r="AM150" s="562"/>
    </row>
    <row r="151" spans="1:39">
      <c r="A151" s="562"/>
      <c r="B151" s="562"/>
      <c r="C151" s="562"/>
      <c r="D151" s="562"/>
      <c r="E151" s="562"/>
      <c r="F151" s="562"/>
      <c r="G151" s="562"/>
      <c r="H151" s="562"/>
      <c r="I151" s="562"/>
      <c r="J151" s="562"/>
      <c r="K151" s="562"/>
      <c r="L151" s="562"/>
      <c r="M151" s="562"/>
      <c r="N151" s="562"/>
      <c r="O151" s="562"/>
      <c r="P151" s="562"/>
      <c r="Q151" s="562"/>
      <c r="R151" s="562"/>
      <c r="S151" s="562"/>
      <c r="T151" s="562"/>
      <c r="U151" s="562"/>
      <c r="V151" s="562"/>
      <c r="W151" s="562"/>
      <c r="X151" s="562"/>
      <c r="Y151" s="562"/>
      <c r="Z151" s="562"/>
      <c r="AA151" s="562"/>
      <c r="AB151" s="562"/>
      <c r="AC151" s="562"/>
      <c r="AD151" s="562"/>
      <c r="AE151" s="562"/>
      <c r="AF151" s="562"/>
      <c r="AG151" s="562"/>
      <c r="AH151" s="562"/>
      <c r="AI151" s="562"/>
      <c r="AJ151" s="562"/>
      <c r="AK151" s="562"/>
      <c r="AL151" s="562"/>
      <c r="AM151" s="562"/>
    </row>
    <row r="152" spans="1:39">
      <c r="A152" s="562"/>
      <c r="B152" s="562"/>
      <c r="C152" s="562"/>
      <c r="D152" s="562"/>
      <c r="E152" s="562"/>
      <c r="F152" s="562"/>
      <c r="G152" s="562"/>
      <c r="H152" s="562"/>
      <c r="I152" s="562"/>
      <c r="J152" s="562"/>
      <c r="K152" s="562"/>
      <c r="L152" s="562"/>
      <c r="M152" s="562"/>
      <c r="N152" s="562"/>
      <c r="O152" s="562"/>
      <c r="P152" s="562"/>
      <c r="Q152" s="562"/>
      <c r="R152" s="562"/>
      <c r="S152" s="562"/>
      <c r="T152" s="562"/>
      <c r="U152" s="562"/>
      <c r="V152" s="562"/>
      <c r="W152" s="562"/>
      <c r="X152" s="562"/>
      <c r="Y152" s="562"/>
      <c r="Z152" s="562"/>
      <c r="AA152" s="562"/>
      <c r="AB152" s="562"/>
      <c r="AC152" s="562"/>
      <c r="AD152" s="562"/>
      <c r="AE152" s="562"/>
      <c r="AF152" s="562"/>
      <c r="AG152" s="562"/>
      <c r="AH152" s="562"/>
      <c r="AI152" s="562"/>
      <c r="AJ152" s="562"/>
      <c r="AK152" s="562"/>
      <c r="AL152" s="562"/>
      <c r="AM152" s="562"/>
    </row>
    <row r="153" spans="1:39">
      <c r="A153" s="562"/>
      <c r="B153" s="562"/>
      <c r="C153" s="562"/>
      <c r="D153" s="562"/>
      <c r="E153" s="562"/>
      <c r="F153" s="562"/>
      <c r="G153" s="562"/>
      <c r="H153" s="562"/>
      <c r="I153" s="562"/>
      <c r="J153" s="562"/>
      <c r="K153" s="562"/>
      <c r="L153" s="562"/>
      <c r="M153" s="562"/>
      <c r="N153" s="562"/>
      <c r="O153" s="562"/>
      <c r="P153" s="562"/>
      <c r="Q153" s="562"/>
      <c r="R153" s="562"/>
      <c r="S153" s="562"/>
      <c r="T153" s="562"/>
      <c r="U153" s="562"/>
      <c r="V153" s="562"/>
      <c r="W153" s="562"/>
      <c r="X153" s="562"/>
      <c r="Y153" s="562"/>
      <c r="Z153" s="562"/>
      <c r="AA153" s="562"/>
      <c r="AB153" s="562"/>
      <c r="AC153" s="562"/>
      <c r="AD153" s="562"/>
      <c r="AE153" s="562"/>
      <c r="AF153" s="562"/>
      <c r="AG153" s="562"/>
      <c r="AH153" s="562"/>
      <c r="AI153" s="562"/>
      <c r="AJ153" s="562"/>
      <c r="AK153" s="562"/>
      <c r="AL153" s="562"/>
      <c r="AM153" s="562"/>
    </row>
    <row r="154" spans="1:39">
      <c r="A154" s="562"/>
      <c r="B154" s="562"/>
      <c r="C154" s="562"/>
      <c r="D154" s="562"/>
      <c r="E154" s="562"/>
      <c r="F154" s="562"/>
      <c r="G154" s="562"/>
      <c r="H154" s="562"/>
      <c r="I154" s="562"/>
      <c r="J154" s="562"/>
      <c r="K154" s="562"/>
      <c r="L154" s="562"/>
      <c r="M154" s="562"/>
      <c r="N154" s="562"/>
      <c r="O154" s="562"/>
      <c r="P154" s="562"/>
      <c r="Q154" s="562"/>
      <c r="R154" s="562"/>
      <c r="S154" s="562"/>
      <c r="T154" s="562"/>
      <c r="U154" s="562"/>
      <c r="V154" s="562"/>
      <c r="W154" s="562"/>
      <c r="X154" s="562"/>
      <c r="Y154" s="562"/>
      <c r="Z154" s="562"/>
      <c r="AA154" s="562"/>
      <c r="AB154" s="562"/>
      <c r="AC154" s="562"/>
      <c r="AD154" s="562"/>
      <c r="AE154" s="562"/>
      <c r="AF154" s="562"/>
      <c r="AG154" s="562"/>
      <c r="AH154" s="562"/>
      <c r="AI154" s="562"/>
      <c r="AJ154" s="562"/>
      <c r="AK154" s="562"/>
      <c r="AL154" s="562"/>
      <c r="AM154" s="562"/>
    </row>
    <row r="155" spans="1:39">
      <c r="A155" s="562"/>
      <c r="B155" s="562"/>
      <c r="C155" s="562"/>
      <c r="D155" s="562"/>
      <c r="E155" s="562"/>
      <c r="F155" s="562"/>
      <c r="G155" s="562"/>
      <c r="H155" s="562"/>
      <c r="I155" s="562"/>
      <c r="J155" s="562"/>
      <c r="K155" s="562"/>
      <c r="L155" s="562"/>
      <c r="M155" s="562"/>
      <c r="N155" s="562"/>
      <c r="O155" s="562"/>
      <c r="P155" s="562"/>
      <c r="Q155" s="562"/>
      <c r="R155" s="562"/>
      <c r="S155" s="562"/>
      <c r="T155" s="562"/>
      <c r="U155" s="562"/>
      <c r="V155" s="562"/>
      <c r="W155" s="562"/>
      <c r="X155" s="562"/>
      <c r="Y155" s="562"/>
      <c r="Z155" s="562"/>
      <c r="AA155" s="562"/>
      <c r="AB155" s="562"/>
      <c r="AC155" s="562"/>
      <c r="AD155" s="562"/>
      <c r="AE155" s="562"/>
      <c r="AF155" s="562"/>
      <c r="AG155" s="562"/>
      <c r="AH155" s="562"/>
      <c r="AI155" s="562"/>
      <c r="AJ155" s="562"/>
      <c r="AK155" s="562"/>
      <c r="AL155" s="562"/>
      <c r="AM155" s="562"/>
    </row>
    <row r="156" spans="1:39">
      <c r="A156" s="562"/>
      <c r="B156" s="562"/>
      <c r="C156" s="562"/>
      <c r="D156" s="562"/>
      <c r="E156" s="562"/>
      <c r="F156" s="562"/>
      <c r="G156" s="562"/>
      <c r="H156" s="562"/>
      <c r="I156" s="562"/>
      <c r="J156" s="562"/>
      <c r="K156" s="562"/>
      <c r="L156" s="562"/>
      <c r="M156" s="562"/>
      <c r="N156" s="562"/>
      <c r="O156" s="562"/>
      <c r="P156" s="562"/>
      <c r="Q156" s="562"/>
      <c r="R156" s="562"/>
      <c r="S156" s="562"/>
      <c r="T156" s="562"/>
      <c r="U156" s="562"/>
      <c r="V156" s="562"/>
      <c r="W156" s="562"/>
      <c r="X156" s="562"/>
      <c r="Y156" s="562"/>
      <c r="Z156" s="562"/>
      <c r="AA156" s="562"/>
      <c r="AB156" s="562"/>
      <c r="AC156" s="562"/>
      <c r="AD156" s="562"/>
      <c r="AE156" s="562"/>
      <c r="AF156" s="562"/>
      <c r="AG156" s="562"/>
      <c r="AH156" s="562"/>
      <c r="AI156" s="562"/>
      <c r="AJ156" s="562"/>
      <c r="AK156" s="562"/>
      <c r="AL156" s="562"/>
      <c r="AM156" s="562"/>
    </row>
    <row r="157" spans="1:39">
      <c r="A157" s="562"/>
      <c r="B157" s="562"/>
      <c r="C157" s="562"/>
      <c r="D157" s="562"/>
      <c r="E157" s="562"/>
      <c r="F157" s="562"/>
      <c r="G157" s="562"/>
      <c r="H157" s="562"/>
      <c r="I157" s="562"/>
      <c r="J157" s="562"/>
      <c r="K157" s="562"/>
      <c r="L157" s="562"/>
      <c r="M157" s="562"/>
      <c r="N157" s="562"/>
      <c r="O157" s="562"/>
      <c r="P157" s="562"/>
      <c r="Q157" s="562"/>
      <c r="R157" s="562"/>
      <c r="S157" s="562"/>
      <c r="T157" s="562"/>
      <c r="U157" s="562"/>
      <c r="V157" s="562"/>
      <c r="W157" s="562"/>
      <c r="X157" s="562"/>
      <c r="Y157" s="562"/>
      <c r="Z157" s="562"/>
      <c r="AA157" s="562"/>
      <c r="AB157" s="562"/>
      <c r="AC157" s="562"/>
      <c r="AD157" s="562"/>
      <c r="AE157" s="562"/>
      <c r="AF157" s="562"/>
      <c r="AG157" s="562"/>
      <c r="AH157" s="562"/>
      <c r="AI157" s="562"/>
      <c r="AJ157" s="562"/>
      <c r="AK157" s="562"/>
      <c r="AL157" s="562"/>
      <c r="AM157" s="562"/>
    </row>
    <row r="158" spans="1:39" ht="27" customHeight="1">
      <c r="A158" s="562"/>
      <c r="B158" s="562"/>
      <c r="C158" s="562"/>
      <c r="D158" s="562"/>
      <c r="E158" s="562"/>
      <c r="F158" s="562"/>
      <c r="G158" s="562"/>
      <c r="H158" s="562"/>
      <c r="I158" s="562"/>
      <c r="J158" s="562"/>
      <c r="K158" s="562"/>
      <c r="L158" s="562"/>
      <c r="M158" s="562"/>
      <c r="N158" s="562"/>
      <c r="O158" s="562"/>
      <c r="P158" s="562"/>
      <c r="Q158" s="562"/>
      <c r="R158" s="562"/>
      <c r="S158" s="562"/>
      <c r="T158" s="562"/>
      <c r="U158" s="562"/>
      <c r="V158" s="562"/>
      <c r="W158" s="562"/>
      <c r="X158" s="562"/>
      <c r="Y158" s="562"/>
      <c r="Z158" s="562"/>
      <c r="AA158" s="562"/>
      <c r="AB158" s="562"/>
      <c r="AC158" s="562"/>
      <c r="AD158" s="562"/>
      <c r="AE158" s="562"/>
      <c r="AF158" s="562"/>
      <c r="AG158" s="562"/>
      <c r="AH158" s="562"/>
      <c r="AI158" s="562"/>
      <c r="AJ158" s="562"/>
      <c r="AK158" s="562"/>
      <c r="AL158" s="562"/>
      <c r="AM158" s="562"/>
    </row>
    <row r="159" spans="1:39">
      <c r="A159" s="562"/>
      <c r="B159" s="562"/>
      <c r="C159" s="562"/>
      <c r="D159" s="562"/>
      <c r="E159" s="562"/>
      <c r="F159" s="562"/>
      <c r="G159" s="562"/>
      <c r="H159" s="562"/>
      <c r="I159" s="562"/>
      <c r="J159" s="562"/>
      <c r="K159" s="562"/>
      <c r="L159" s="562"/>
      <c r="M159" s="562"/>
      <c r="N159" s="562"/>
      <c r="O159" s="562"/>
      <c r="P159" s="562"/>
      <c r="Q159" s="562"/>
      <c r="R159" s="562"/>
      <c r="S159" s="562"/>
      <c r="T159" s="562"/>
      <c r="U159" s="562"/>
      <c r="V159" s="562"/>
      <c r="W159" s="562"/>
      <c r="X159" s="562"/>
      <c r="Y159" s="562"/>
      <c r="Z159" s="562"/>
      <c r="AA159" s="562"/>
      <c r="AB159" s="562"/>
      <c r="AC159" s="562"/>
      <c r="AD159" s="562"/>
      <c r="AE159" s="562"/>
      <c r="AF159" s="562"/>
      <c r="AG159" s="562"/>
      <c r="AH159" s="562"/>
      <c r="AI159" s="562"/>
      <c r="AJ159" s="562"/>
      <c r="AK159" s="562"/>
      <c r="AL159" s="562"/>
      <c r="AM159" s="562"/>
    </row>
    <row r="160" spans="1:39">
      <c r="A160" s="562"/>
      <c r="B160" s="562"/>
      <c r="C160" s="562"/>
      <c r="D160" s="562"/>
      <c r="E160" s="562"/>
      <c r="F160" s="562"/>
      <c r="G160" s="562"/>
      <c r="H160" s="562"/>
      <c r="I160" s="562"/>
      <c r="J160" s="562"/>
      <c r="K160" s="562"/>
      <c r="L160" s="562"/>
      <c r="M160" s="562"/>
      <c r="N160" s="562"/>
      <c r="O160" s="562"/>
      <c r="P160" s="562"/>
      <c r="Q160" s="562"/>
      <c r="R160" s="562"/>
      <c r="S160" s="562"/>
      <c r="T160" s="562"/>
      <c r="U160" s="562"/>
      <c r="V160" s="562"/>
      <c r="W160" s="562"/>
      <c r="X160" s="562"/>
      <c r="Y160" s="562"/>
      <c r="Z160" s="562"/>
      <c r="AA160" s="562"/>
      <c r="AB160" s="562"/>
      <c r="AC160" s="562"/>
      <c r="AD160" s="562"/>
      <c r="AE160" s="562"/>
      <c r="AF160" s="562"/>
      <c r="AG160" s="562"/>
      <c r="AH160" s="562"/>
      <c r="AI160" s="562"/>
      <c r="AJ160" s="562"/>
      <c r="AK160" s="562"/>
      <c r="AL160" s="562"/>
      <c r="AM160" s="562"/>
    </row>
    <row r="161" spans="1:39">
      <c r="A161" s="562"/>
      <c r="B161" s="562"/>
      <c r="C161" s="562"/>
      <c r="D161" s="562"/>
      <c r="E161" s="562"/>
      <c r="F161" s="562"/>
      <c r="G161" s="562"/>
      <c r="H161" s="562"/>
      <c r="I161" s="562"/>
      <c r="J161" s="562"/>
      <c r="K161" s="562"/>
      <c r="L161" s="562"/>
      <c r="M161" s="562"/>
      <c r="N161" s="562"/>
      <c r="O161" s="562"/>
      <c r="P161" s="562"/>
      <c r="Q161" s="562"/>
      <c r="R161" s="562"/>
      <c r="S161" s="562"/>
      <c r="T161" s="562"/>
      <c r="U161" s="562"/>
      <c r="V161" s="562"/>
      <c r="W161" s="562"/>
      <c r="X161" s="562"/>
      <c r="Y161" s="562"/>
      <c r="Z161" s="562"/>
      <c r="AA161" s="562"/>
      <c r="AB161" s="562"/>
      <c r="AC161" s="562"/>
      <c r="AD161" s="562"/>
      <c r="AE161" s="562"/>
      <c r="AF161" s="562"/>
      <c r="AG161" s="562"/>
      <c r="AH161" s="562"/>
      <c r="AI161" s="562"/>
      <c r="AJ161" s="562"/>
      <c r="AK161" s="562"/>
      <c r="AL161" s="562"/>
      <c r="AM161" s="562"/>
    </row>
    <row r="162" spans="1:39">
      <c r="A162" s="562"/>
      <c r="B162" s="562"/>
      <c r="C162" s="562"/>
      <c r="D162" s="562"/>
      <c r="E162" s="562"/>
      <c r="F162" s="562"/>
      <c r="G162" s="562"/>
      <c r="H162" s="562"/>
      <c r="I162" s="562"/>
      <c r="J162" s="562"/>
      <c r="K162" s="562"/>
      <c r="L162" s="562"/>
      <c r="M162" s="562"/>
      <c r="N162" s="562"/>
      <c r="O162" s="562"/>
      <c r="P162" s="562"/>
      <c r="Q162" s="562"/>
      <c r="R162" s="562"/>
      <c r="S162" s="562"/>
      <c r="T162" s="562"/>
      <c r="U162" s="562"/>
      <c r="V162" s="562"/>
      <c r="W162" s="562"/>
      <c r="X162" s="562"/>
      <c r="Y162" s="562"/>
      <c r="Z162" s="562"/>
      <c r="AA162" s="562"/>
      <c r="AB162" s="562"/>
      <c r="AC162" s="562"/>
      <c r="AD162" s="562"/>
      <c r="AE162" s="562"/>
      <c r="AF162" s="562"/>
      <c r="AG162" s="562"/>
      <c r="AH162" s="562"/>
      <c r="AI162" s="562"/>
      <c r="AJ162" s="562"/>
      <c r="AK162" s="562"/>
      <c r="AL162" s="562"/>
      <c r="AM162" s="562"/>
    </row>
    <row r="163" spans="1:39">
      <c r="A163" s="562"/>
      <c r="B163" s="562"/>
      <c r="C163" s="562"/>
      <c r="D163" s="562"/>
      <c r="E163" s="562"/>
      <c r="F163" s="562"/>
      <c r="G163" s="562"/>
      <c r="H163" s="562"/>
      <c r="I163" s="562"/>
      <c r="J163" s="562"/>
      <c r="K163" s="562"/>
      <c r="L163" s="562"/>
      <c r="M163" s="562"/>
      <c r="N163" s="562"/>
      <c r="O163" s="562"/>
      <c r="P163" s="562"/>
      <c r="Q163" s="562"/>
      <c r="R163" s="562"/>
      <c r="S163" s="562"/>
      <c r="T163" s="562"/>
      <c r="U163" s="562"/>
      <c r="V163" s="562"/>
      <c r="W163" s="562"/>
      <c r="X163" s="562"/>
      <c r="Y163" s="562"/>
      <c r="Z163" s="562"/>
      <c r="AA163" s="562"/>
      <c r="AB163" s="562"/>
      <c r="AC163" s="562"/>
      <c r="AD163" s="562"/>
      <c r="AE163" s="562"/>
      <c r="AF163" s="562"/>
      <c r="AG163" s="562"/>
      <c r="AH163" s="562"/>
      <c r="AI163" s="562"/>
      <c r="AJ163" s="562"/>
      <c r="AK163" s="562"/>
      <c r="AL163" s="562"/>
      <c r="AM163" s="562"/>
    </row>
    <row r="164" spans="1:39">
      <c r="A164" s="562"/>
      <c r="B164" s="562"/>
      <c r="C164" s="562"/>
      <c r="D164" s="562"/>
      <c r="E164" s="562"/>
      <c r="F164" s="562"/>
      <c r="G164" s="562"/>
      <c r="H164" s="562"/>
      <c r="I164" s="562"/>
      <c r="J164" s="562"/>
      <c r="K164" s="562"/>
      <c r="L164" s="562"/>
      <c r="M164" s="562"/>
      <c r="N164" s="562"/>
      <c r="O164" s="562"/>
      <c r="P164" s="562"/>
      <c r="Q164" s="562"/>
      <c r="R164" s="562"/>
      <c r="S164" s="562"/>
      <c r="T164" s="562"/>
      <c r="U164" s="562"/>
      <c r="V164" s="562"/>
      <c r="W164" s="562"/>
      <c r="X164" s="562"/>
      <c r="Y164" s="562"/>
      <c r="Z164" s="562"/>
      <c r="AA164" s="562"/>
      <c r="AB164" s="562"/>
      <c r="AC164" s="562"/>
      <c r="AD164" s="562"/>
      <c r="AE164" s="562"/>
      <c r="AF164" s="562"/>
      <c r="AG164" s="562"/>
      <c r="AH164" s="562"/>
      <c r="AI164" s="562"/>
      <c r="AJ164" s="562"/>
      <c r="AK164" s="562"/>
      <c r="AL164" s="562"/>
      <c r="AM164" s="562"/>
    </row>
    <row r="165" spans="1:39">
      <c r="A165" s="562"/>
      <c r="B165" s="562"/>
      <c r="C165" s="562"/>
      <c r="D165" s="562"/>
      <c r="E165" s="562"/>
      <c r="F165" s="562"/>
      <c r="G165" s="562"/>
      <c r="H165" s="562"/>
      <c r="I165" s="562"/>
      <c r="J165" s="562"/>
      <c r="K165" s="562"/>
      <c r="L165" s="562"/>
      <c r="M165" s="562"/>
      <c r="N165" s="562"/>
      <c r="O165" s="562"/>
      <c r="P165" s="562"/>
      <c r="Q165" s="562"/>
      <c r="R165" s="562"/>
      <c r="S165" s="562"/>
      <c r="T165" s="562"/>
      <c r="U165" s="562"/>
      <c r="V165" s="562"/>
      <c r="W165" s="562"/>
      <c r="X165" s="562"/>
      <c r="Y165" s="562"/>
      <c r="Z165" s="562"/>
      <c r="AA165" s="562"/>
      <c r="AB165" s="562"/>
      <c r="AC165" s="562"/>
      <c r="AD165" s="562"/>
      <c r="AE165" s="562"/>
      <c r="AF165" s="562"/>
      <c r="AG165" s="562"/>
      <c r="AH165" s="562"/>
      <c r="AI165" s="562"/>
      <c r="AJ165" s="562"/>
      <c r="AK165" s="562"/>
      <c r="AL165" s="562"/>
      <c r="AM165" s="562"/>
    </row>
    <row r="166" spans="1:39">
      <c r="A166" s="562"/>
      <c r="B166" s="562"/>
      <c r="C166" s="562"/>
      <c r="D166" s="562"/>
      <c r="E166" s="562"/>
      <c r="F166" s="562"/>
      <c r="G166" s="562"/>
      <c r="H166" s="562"/>
      <c r="I166" s="562"/>
      <c r="J166" s="562"/>
      <c r="K166" s="562"/>
      <c r="L166" s="562"/>
      <c r="M166" s="562"/>
      <c r="N166" s="562"/>
      <c r="O166" s="562"/>
      <c r="P166" s="562"/>
      <c r="Q166" s="562"/>
      <c r="R166" s="562"/>
      <c r="S166" s="562"/>
      <c r="T166" s="562"/>
      <c r="U166" s="562"/>
      <c r="V166" s="562"/>
      <c r="W166" s="562"/>
      <c r="X166" s="562"/>
      <c r="Y166" s="562"/>
      <c r="Z166" s="562"/>
      <c r="AA166" s="562"/>
      <c r="AB166" s="562"/>
      <c r="AC166" s="562"/>
      <c r="AD166" s="562"/>
      <c r="AE166" s="562"/>
      <c r="AF166" s="562"/>
      <c r="AG166" s="562"/>
      <c r="AH166" s="562"/>
      <c r="AI166" s="562"/>
      <c r="AJ166" s="562"/>
      <c r="AK166" s="562"/>
      <c r="AL166" s="562"/>
      <c r="AM166" s="562"/>
    </row>
    <row r="167" spans="1:39">
      <c r="A167" s="562"/>
      <c r="B167" s="562"/>
      <c r="C167" s="562"/>
      <c r="D167" s="562"/>
      <c r="E167" s="562"/>
      <c r="F167" s="562"/>
      <c r="G167" s="562"/>
      <c r="H167" s="562"/>
      <c r="I167" s="562"/>
      <c r="J167" s="562"/>
      <c r="K167" s="562"/>
      <c r="L167" s="562"/>
      <c r="M167" s="562"/>
      <c r="N167" s="562"/>
      <c r="O167" s="562"/>
      <c r="P167" s="562"/>
      <c r="Q167" s="562"/>
      <c r="R167" s="562"/>
      <c r="S167" s="562"/>
      <c r="T167" s="562"/>
      <c r="U167" s="562"/>
      <c r="V167" s="562"/>
      <c r="W167" s="562"/>
      <c r="X167" s="562"/>
      <c r="Y167" s="562"/>
      <c r="Z167" s="562"/>
      <c r="AA167" s="562"/>
      <c r="AB167" s="562"/>
      <c r="AC167" s="562"/>
      <c r="AD167" s="562"/>
      <c r="AE167" s="562"/>
      <c r="AF167" s="562"/>
      <c r="AG167" s="562"/>
      <c r="AH167" s="562"/>
      <c r="AI167" s="562"/>
      <c r="AJ167" s="562"/>
      <c r="AK167" s="562"/>
      <c r="AL167" s="562"/>
      <c r="AM167" s="562"/>
    </row>
    <row r="168" spans="1:39">
      <c r="A168" s="562"/>
      <c r="B168" s="562"/>
      <c r="C168" s="562"/>
      <c r="D168" s="562"/>
      <c r="E168" s="562"/>
      <c r="F168" s="562"/>
      <c r="G168" s="562"/>
      <c r="H168" s="562"/>
      <c r="I168" s="562"/>
      <c r="J168" s="562"/>
      <c r="K168" s="562"/>
      <c r="L168" s="562"/>
      <c r="M168" s="562"/>
      <c r="N168" s="562"/>
      <c r="O168" s="562"/>
      <c r="P168" s="562"/>
      <c r="Q168" s="562"/>
      <c r="R168" s="562"/>
      <c r="S168" s="562"/>
      <c r="T168" s="562"/>
      <c r="U168" s="562"/>
      <c r="V168" s="562"/>
      <c r="W168" s="562"/>
      <c r="X168" s="562"/>
      <c r="Y168" s="562"/>
      <c r="Z168" s="562"/>
      <c r="AA168" s="562"/>
      <c r="AB168" s="562"/>
      <c r="AC168" s="562"/>
      <c r="AD168" s="562"/>
      <c r="AE168" s="562"/>
      <c r="AF168" s="562"/>
      <c r="AG168" s="562"/>
      <c r="AH168" s="562"/>
      <c r="AI168" s="562"/>
      <c r="AJ168" s="562"/>
      <c r="AK168" s="562"/>
      <c r="AL168" s="562"/>
      <c r="AM168" s="562"/>
    </row>
    <row r="169" spans="1:39">
      <c r="A169" s="562"/>
      <c r="B169" s="562"/>
      <c r="C169" s="562"/>
      <c r="D169" s="562"/>
      <c r="E169" s="562"/>
      <c r="F169" s="562"/>
      <c r="G169" s="562"/>
      <c r="H169" s="562"/>
      <c r="I169" s="562"/>
      <c r="J169" s="562"/>
      <c r="K169" s="562"/>
      <c r="L169" s="562"/>
      <c r="M169" s="562"/>
      <c r="N169" s="562"/>
      <c r="O169" s="562"/>
      <c r="P169" s="562"/>
      <c r="Q169" s="562"/>
      <c r="R169" s="562"/>
      <c r="S169" s="562"/>
      <c r="T169" s="562"/>
      <c r="U169" s="562"/>
      <c r="V169" s="562"/>
      <c r="W169" s="562"/>
      <c r="X169" s="562"/>
      <c r="Y169" s="562"/>
      <c r="Z169" s="562"/>
      <c r="AA169" s="562"/>
      <c r="AB169" s="562"/>
      <c r="AC169" s="562"/>
      <c r="AD169" s="562"/>
      <c r="AE169" s="562"/>
      <c r="AF169" s="562"/>
      <c r="AG169" s="562"/>
      <c r="AH169" s="562"/>
      <c r="AI169" s="562"/>
      <c r="AJ169" s="562"/>
      <c r="AK169" s="562"/>
      <c r="AL169" s="562"/>
      <c r="AM169" s="562"/>
    </row>
    <row r="170" spans="1:39">
      <c r="A170" s="562"/>
      <c r="B170" s="562"/>
      <c r="C170" s="562"/>
      <c r="D170" s="562"/>
      <c r="E170" s="562"/>
      <c r="F170" s="562"/>
      <c r="G170" s="562"/>
      <c r="H170" s="562"/>
      <c r="I170" s="562"/>
      <c r="J170" s="562"/>
      <c r="K170" s="562"/>
      <c r="L170" s="562"/>
      <c r="M170" s="562"/>
      <c r="N170" s="562"/>
      <c r="O170" s="562"/>
      <c r="P170" s="562"/>
      <c r="Q170" s="562"/>
      <c r="R170" s="562"/>
      <c r="S170" s="562"/>
      <c r="T170" s="562"/>
      <c r="U170" s="562"/>
      <c r="V170" s="562"/>
      <c r="W170" s="562"/>
      <c r="X170" s="562"/>
      <c r="Y170" s="562"/>
      <c r="Z170" s="562"/>
      <c r="AA170" s="562"/>
      <c r="AB170" s="562"/>
      <c r="AC170" s="562"/>
      <c r="AD170" s="562"/>
      <c r="AE170" s="562"/>
      <c r="AF170" s="562"/>
      <c r="AG170" s="562"/>
      <c r="AH170" s="562"/>
      <c r="AI170" s="562"/>
      <c r="AJ170" s="562"/>
      <c r="AK170" s="562"/>
      <c r="AL170" s="562"/>
      <c r="AM170" s="562"/>
    </row>
    <row r="171" spans="1:39">
      <c r="A171" s="562"/>
      <c r="B171" s="562"/>
      <c r="C171" s="562"/>
      <c r="D171" s="562"/>
      <c r="E171" s="562"/>
      <c r="F171" s="562"/>
      <c r="G171" s="562"/>
      <c r="H171" s="562"/>
      <c r="I171" s="562"/>
      <c r="J171" s="562"/>
      <c r="K171" s="562"/>
      <c r="L171" s="562"/>
      <c r="M171" s="562"/>
      <c r="N171" s="562"/>
      <c r="O171" s="562"/>
      <c r="P171" s="562"/>
      <c r="Q171" s="562"/>
      <c r="R171" s="562"/>
      <c r="S171" s="562"/>
      <c r="T171" s="562"/>
      <c r="U171" s="562"/>
      <c r="V171" s="562"/>
      <c r="W171" s="562"/>
      <c r="X171" s="562"/>
      <c r="Y171" s="562"/>
      <c r="Z171" s="562"/>
      <c r="AA171" s="562"/>
      <c r="AB171" s="562"/>
      <c r="AC171" s="562"/>
      <c r="AD171" s="562"/>
      <c r="AE171" s="562"/>
      <c r="AF171" s="562"/>
      <c r="AG171" s="562"/>
      <c r="AH171" s="562"/>
      <c r="AI171" s="562"/>
      <c r="AJ171" s="562"/>
      <c r="AK171" s="562"/>
      <c r="AL171" s="562"/>
      <c r="AM171" s="562"/>
    </row>
    <row r="172" spans="1:39">
      <c r="A172" s="562"/>
      <c r="B172" s="562"/>
      <c r="C172" s="562"/>
      <c r="D172" s="562"/>
      <c r="E172" s="562"/>
      <c r="F172" s="562"/>
      <c r="G172" s="562"/>
      <c r="H172" s="562"/>
      <c r="I172" s="562"/>
      <c r="J172" s="562"/>
      <c r="K172" s="562"/>
      <c r="L172" s="562"/>
      <c r="M172" s="562"/>
      <c r="N172" s="562"/>
      <c r="O172" s="562"/>
      <c r="P172" s="562"/>
      <c r="Q172" s="562"/>
      <c r="R172" s="562"/>
      <c r="S172" s="562"/>
      <c r="T172" s="562"/>
      <c r="U172" s="562"/>
      <c r="V172" s="562"/>
      <c r="W172" s="562"/>
      <c r="X172" s="562"/>
      <c r="Y172" s="562"/>
      <c r="Z172" s="562"/>
      <c r="AA172" s="562"/>
      <c r="AB172" s="562"/>
      <c r="AC172" s="562"/>
      <c r="AD172" s="562"/>
      <c r="AE172" s="562"/>
      <c r="AF172" s="562"/>
      <c r="AG172" s="562"/>
      <c r="AH172" s="562"/>
      <c r="AI172" s="562"/>
      <c r="AJ172" s="562"/>
      <c r="AK172" s="562"/>
      <c r="AL172" s="562"/>
      <c r="AM172" s="562"/>
    </row>
    <row r="173" spans="1:39">
      <c r="A173" s="562"/>
      <c r="B173" s="562"/>
      <c r="C173" s="562"/>
      <c r="D173" s="562"/>
      <c r="E173" s="562"/>
      <c r="F173" s="562"/>
      <c r="G173" s="562"/>
      <c r="H173" s="562"/>
      <c r="I173" s="562"/>
      <c r="J173" s="562"/>
      <c r="K173" s="562"/>
      <c r="L173" s="562"/>
      <c r="M173" s="562"/>
      <c r="N173" s="562"/>
      <c r="O173" s="562"/>
      <c r="P173" s="562"/>
      <c r="Q173" s="562"/>
      <c r="R173" s="562"/>
      <c r="S173" s="562"/>
      <c r="T173" s="562"/>
      <c r="U173" s="562"/>
      <c r="V173" s="562"/>
      <c r="W173" s="562"/>
      <c r="X173" s="562"/>
      <c r="Y173" s="562"/>
      <c r="Z173" s="562"/>
      <c r="AA173" s="562"/>
      <c r="AB173" s="562"/>
      <c r="AC173" s="562"/>
      <c r="AD173" s="562"/>
      <c r="AE173" s="562"/>
      <c r="AF173" s="562"/>
      <c r="AG173" s="562"/>
      <c r="AH173" s="562"/>
      <c r="AI173" s="562"/>
      <c r="AJ173" s="562"/>
      <c r="AK173" s="562"/>
      <c r="AL173" s="562"/>
      <c r="AM173" s="562"/>
    </row>
    <row r="174" spans="1:39">
      <c r="A174" s="562"/>
      <c r="B174" s="562"/>
      <c r="C174" s="562"/>
      <c r="D174" s="562"/>
      <c r="E174" s="562"/>
      <c r="F174" s="562"/>
      <c r="G174" s="562"/>
      <c r="H174" s="562"/>
      <c r="I174" s="562"/>
      <c r="J174" s="562"/>
      <c r="K174" s="562"/>
      <c r="L174" s="562"/>
      <c r="M174" s="562"/>
      <c r="N174" s="562"/>
      <c r="O174" s="562"/>
      <c r="P174" s="562"/>
      <c r="Q174" s="562"/>
      <c r="R174" s="562"/>
      <c r="S174" s="562"/>
      <c r="T174" s="562"/>
      <c r="U174" s="562"/>
      <c r="V174" s="562"/>
      <c r="W174" s="562"/>
      <c r="X174" s="562"/>
      <c r="Y174" s="562"/>
      <c r="Z174" s="562"/>
      <c r="AA174" s="562"/>
      <c r="AB174" s="562"/>
      <c r="AC174" s="562"/>
      <c r="AD174" s="562"/>
      <c r="AE174" s="562"/>
      <c r="AF174" s="562"/>
      <c r="AG174" s="562"/>
      <c r="AH174" s="562"/>
      <c r="AI174" s="562"/>
      <c r="AJ174" s="562"/>
      <c r="AK174" s="562"/>
      <c r="AL174" s="562"/>
      <c r="AM174" s="562"/>
    </row>
    <row r="175" spans="1:39">
      <c r="A175" s="562"/>
      <c r="B175" s="562"/>
      <c r="C175" s="562"/>
      <c r="D175" s="562"/>
      <c r="E175" s="562"/>
      <c r="F175" s="562"/>
      <c r="G175" s="562"/>
      <c r="H175" s="562"/>
      <c r="I175" s="562"/>
      <c r="J175" s="562"/>
      <c r="K175" s="562"/>
      <c r="L175" s="562"/>
      <c r="M175" s="562"/>
      <c r="N175" s="562"/>
      <c r="O175" s="562"/>
      <c r="P175" s="562"/>
      <c r="Q175" s="562"/>
      <c r="R175" s="562"/>
      <c r="S175" s="562"/>
      <c r="T175" s="562"/>
      <c r="U175" s="562"/>
      <c r="V175" s="562"/>
      <c r="W175" s="562"/>
      <c r="X175" s="562"/>
      <c r="Y175" s="562"/>
      <c r="Z175" s="562"/>
      <c r="AA175" s="562"/>
      <c r="AB175" s="562"/>
      <c r="AC175" s="562"/>
      <c r="AD175" s="562"/>
      <c r="AE175" s="562"/>
      <c r="AF175" s="562"/>
      <c r="AG175" s="562"/>
      <c r="AH175" s="562"/>
      <c r="AI175" s="562"/>
      <c r="AJ175" s="562"/>
      <c r="AK175" s="562"/>
      <c r="AL175" s="562"/>
      <c r="AM175" s="562"/>
    </row>
    <row r="176" spans="1:39">
      <c r="A176" s="562"/>
      <c r="B176" s="562"/>
      <c r="C176" s="562"/>
      <c r="D176" s="562"/>
      <c r="E176" s="562"/>
      <c r="F176" s="562"/>
      <c r="G176" s="562"/>
      <c r="H176" s="562"/>
      <c r="I176" s="562"/>
      <c r="J176" s="562"/>
      <c r="K176" s="562"/>
      <c r="L176" s="562"/>
      <c r="M176" s="562"/>
      <c r="N176" s="562"/>
      <c r="O176" s="562"/>
      <c r="P176" s="562"/>
      <c r="Q176" s="562"/>
      <c r="R176" s="562"/>
      <c r="S176" s="562"/>
      <c r="T176" s="562"/>
      <c r="U176" s="562"/>
      <c r="V176" s="562"/>
      <c r="W176" s="562"/>
      <c r="X176" s="562"/>
      <c r="Y176" s="562"/>
      <c r="Z176" s="562"/>
      <c r="AA176" s="562"/>
      <c r="AB176" s="562"/>
      <c r="AC176" s="562"/>
      <c r="AD176" s="562"/>
      <c r="AE176" s="562"/>
      <c r="AF176" s="562"/>
      <c r="AG176" s="562"/>
      <c r="AH176" s="562"/>
      <c r="AI176" s="562"/>
      <c r="AJ176" s="562"/>
      <c r="AK176" s="562"/>
      <c r="AL176" s="562"/>
      <c r="AM176" s="562"/>
    </row>
    <row r="177" spans="1:39">
      <c r="A177" s="562"/>
      <c r="B177" s="562"/>
      <c r="C177" s="562"/>
      <c r="D177" s="562"/>
      <c r="E177" s="562"/>
      <c r="F177" s="562"/>
      <c r="G177" s="562"/>
      <c r="H177" s="562"/>
      <c r="I177" s="562"/>
      <c r="J177" s="562"/>
      <c r="K177" s="562"/>
      <c r="L177" s="562"/>
      <c r="M177" s="562"/>
      <c r="N177" s="562"/>
      <c r="O177" s="562"/>
      <c r="P177" s="562"/>
      <c r="Q177" s="562"/>
      <c r="R177" s="562"/>
      <c r="S177" s="562"/>
      <c r="T177" s="562"/>
      <c r="U177" s="562"/>
      <c r="V177" s="562"/>
      <c r="W177" s="562"/>
      <c r="X177" s="562"/>
      <c r="Y177" s="562"/>
      <c r="Z177" s="562"/>
      <c r="AA177" s="562"/>
      <c r="AB177" s="562"/>
      <c r="AC177" s="562"/>
      <c r="AD177" s="562"/>
      <c r="AE177" s="562"/>
      <c r="AF177" s="562"/>
      <c r="AG177" s="562"/>
      <c r="AH177" s="562"/>
      <c r="AI177" s="562"/>
      <c r="AJ177" s="562"/>
      <c r="AK177" s="562"/>
      <c r="AL177" s="562"/>
      <c r="AM177" s="562"/>
    </row>
    <row r="178" spans="1:39">
      <c r="A178" s="562"/>
      <c r="B178" s="562"/>
      <c r="C178" s="562"/>
      <c r="D178" s="562"/>
      <c r="E178" s="562"/>
      <c r="F178" s="562"/>
      <c r="G178" s="562"/>
      <c r="H178" s="562"/>
      <c r="I178" s="562"/>
      <c r="J178" s="562"/>
      <c r="K178" s="562"/>
      <c r="L178" s="562"/>
      <c r="M178" s="562"/>
      <c r="N178" s="562"/>
      <c r="O178" s="562"/>
      <c r="P178" s="562"/>
      <c r="Q178" s="562"/>
      <c r="R178" s="562"/>
      <c r="S178" s="562"/>
      <c r="T178" s="562"/>
      <c r="U178" s="562"/>
      <c r="V178" s="562"/>
      <c r="W178" s="562"/>
      <c r="X178" s="562"/>
      <c r="Y178" s="562"/>
      <c r="Z178" s="562"/>
      <c r="AA178" s="562"/>
      <c r="AB178" s="562"/>
      <c r="AC178" s="562"/>
      <c r="AD178" s="562"/>
      <c r="AE178" s="562"/>
      <c r="AF178" s="562"/>
      <c r="AG178" s="562"/>
      <c r="AH178" s="562"/>
      <c r="AI178" s="562"/>
      <c r="AJ178" s="562"/>
      <c r="AK178" s="562"/>
      <c r="AL178" s="562"/>
      <c r="AM178" s="562"/>
    </row>
    <row r="179" spans="1:39">
      <c r="A179" s="562"/>
      <c r="B179" s="562"/>
      <c r="C179" s="562"/>
      <c r="D179" s="562"/>
      <c r="E179" s="562"/>
      <c r="F179" s="562"/>
      <c r="G179" s="562"/>
      <c r="H179" s="562"/>
      <c r="I179" s="562"/>
      <c r="J179" s="562"/>
      <c r="K179" s="562"/>
      <c r="L179" s="562"/>
      <c r="M179" s="562"/>
      <c r="N179" s="562"/>
      <c r="O179" s="562"/>
      <c r="P179" s="562"/>
      <c r="Q179" s="562"/>
      <c r="R179" s="562"/>
      <c r="S179" s="562"/>
      <c r="T179" s="562"/>
      <c r="U179" s="562"/>
      <c r="V179" s="562"/>
      <c r="W179" s="562"/>
      <c r="X179" s="562"/>
      <c r="Y179" s="562"/>
      <c r="Z179" s="562"/>
      <c r="AA179" s="562"/>
      <c r="AB179" s="562"/>
      <c r="AC179" s="562"/>
      <c r="AD179" s="562"/>
      <c r="AE179" s="562"/>
      <c r="AF179" s="562"/>
      <c r="AG179" s="562"/>
      <c r="AH179" s="562"/>
      <c r="AI179" s="562"/>
      <c r="AJ179" s="562"/>
      <c r="AK179" s="562"/>
      <c r="AL179" s="562"/>
      <c r="AM179" s="562"/>
    </row>
    <row r="180" spans="1:39">
      <c r="A180" s="562"/>
      <c r="B180" s="562"/>
      <c r="C180" s="562"/>
      <c r="D180" s="562"/>
      <c r="E180" s="562"/>
      <c r="F180" s="562"/>
      <c r="G180" s="562"/>
      <c r="H180" s="562"/>
      <c r="I180" s="562"/>
      <c r="J180" s="562"/>
      <c r="K180" s="562"/>
      <c r="L180" s="562"/>
      <c r="M180" s="562"/>
      <c r="N180" s="562"/>
      <c r="O180" s="562"/>
      <c r="P180" s="562"/>
      <c r="Q180" s="562"/>
      <c r="R180" s="562"/>
      <c r="S180" s="562"/>
      <c r="T180" s="562"/>
      <c r="U180" s="562"/>
      <c r="V180" s="562"/>
      <c r="W180" s="562"/>
      <c r="X180" s="562"/>
      <c r="Y180" s="562"/>
      <c r="Z180" s="562"/>
      <c r="AA180" s="562"/>
      <c r="AB180" s="562"/>
      <c r="AC180" s="562"/>
      <c r="AD180" s="562"/>
      <c r="AE180" s="562"/>
      <c r="AF180" s="562"/>
      <c r="AG180" s="562"/>
      <c r="AH180" s="562"/>
      <c r="AI180" s="562"/>
      <c r="AJ180" s="562"/>
      <c r="AK180" s="562"/>
      <c r="AL180" s="562"/>
      <c r="AM180" s="562"/>
    </row>
    <row r="181" spans="1:39">
      <c r="A181" s="562"/>
      <c r="B181" s="562"/>
      <c r="C181" s="562"/>
      <c r="D181" s="562"/>
      <c r="E181" s="562"/>
      <c r="F181" s="562"/>
      <c r="G181" s="562"/>
      <c r="H181" s="562"/>
      <c r="I181" s="562"/>
      <c r="J181" s="562"/>
      <c r="K181" s="562"/>
      <c r="L181" s="562"/>
      <c r="M181" s="562"/>
      <c r="N181" s="562"/>
      <c r="O181" s="562"/>
      <c r="P181" s="562"/>
      <c r="Q181" s="562"/>
      <c r="R181" s="562"/>
      <c r="S181" s="562"/>
      <c r="T181" s="562"/>
      <c r="U181" s="562"/>
      <c r="V181" s="562"/>
      <c r="W181" s="562"/>
      <c r="X181" s="562"/>
      <c r="Y181" s="562"/>
      <c r="Z181" s="562"/>
      <c r="AA181" s="562"/>
      <c r="AB181" s="562"/>
      <c r="AC181" s="562"/>
      <c r="AD181" s="562"/>
      <c r="AE181" s="562"/>
      <c r="AF181" s="562"/>
      <c r="AG181" s="562"/>
      <c r="AH181" s="562"/>
      <c r="AI181" s="562"/>
      <c r="AJ181" s="562"/>
      <c r="AK181" s="562"/>
      <c r="AL181" s="562"/>
      <c r="AM181" s="562"/>
    </row>
    <row r="182" spans="1:39">
      <c r="A182" s="562"/>
      <c r="B182" s="562"/>
      <c r="C182" s="562"/>
      <c r="D182" s="562"/>
      <c r="E182" s="562"/>
      <c r="F182" s="562"/>
      <c r="G182" s="562"/>
      <c r="H182" s="562"/>
      <c r="I182" s="562"/>
      <c r="J182" s="562"/>
      <c r="K182" s="562"/>
      <c r="L182" s="562"/>
      <c r="M182" s="562"/>
      <c r="N182" s="562"/>
      <c r="O182" s="562"/>
      <c r="P182" s="562"/>
      <c r="Q182" s="562"/>
      <c r="R182" s="562"/>
      <c r="S182" s="562"/>
      <c r="T182" s="562"/>
      <c r="U182" s="562"/>
      <c r="V182" s="562"/>
      <c r="W182" s="562"/>
      <c r="X182" s="562"/>
      <c r="Y182" s="562"/>
      <c r="Z182" s="562"/>
      <c r="AA182" s="562"/>
      <c r="AB182" s="562"/>
      <c r="AC182" s="562"/>
      <c r="AD182" s="562"/>
      <c r="AE182" s="562"/>
      <c r="AF182" s="562"/>
      <c r="AG182" s="562"/>
      <c r="AH182" s="562"/>
      <c r="AI182" s="562"/>
      <c r="AJ182" s="562"/>
      <c r="AK182" s="562"/>
      <c r="AL182" s="562"/>
      <c r="AM182" s="562"/>
    </row>
    <row r="183" spans="1:39">
      <c r="A183" s="562"/>
      <c r="B183" s="562"/>
      <c r="C183" s="562"/>
      <c r="D183" s="562"/>
      <c r="E183" s="562"/>
      <c r="F183" s="562"/>
      <c r="G183" s="562"/>
      <c r="H183" s="562"/>
      <c r="I183" s="562"/>
      <c r="J183" s="562"/>
      <c r="K183" s="562"/>
      <c r="L183" s="562"/>
      <c r="M183" s="562"/>
      <c r="N183" s="562"/>
      <c r="O183" s="562"/>
      <c r="P183" s="562"/>
      <c r="Q183" s="562"/>
      <c r="R183" s="562"/>
      <c r="S183" s="562"/>
      <c r="T183" s="562"/>
      <c r="U183" s="562"/>
      <c r="V183" s="562"/>
      <c r="W183" s="562"/>
      <c r="X183" s="562"/>
      <c r="Y183" s="562"/>
      <c r="Z183" s="562"/>
      <c r="AA183" s="562"/>
      <c r="AB183" s="562"/>
      <c r="AC183" s="562"/>
      <c r="AD183" s="562"/>
      <c r="AE183" s="562"/>
      <c r="AF183" s="562"/>
      <c r="AG183" s="562"/>
      <c r="AH183" s="562"/>
      <c r="AI183" s="562"/>
      <c r="AJ183" s="562"/>
      <c r="AK183" s="562"/>
      <c r="AL183" s="562"/>
      <c r="AM183" s="562"/>
    </row>
    <row r="184" spans="1:39">
      <c r="A184" s="562"/>
      <c r="B184" s="562"/>
      <c r="C184" s="562"/>
      <c r="D184" s="562"/>
      <c r="E184" s="562"/>
      <c r="F184" s="562"/>
      <c r="G184" s="562"/>
      <c r="H184" s="562"/>
      <c r="I184" s="562"/>
      <c r="J184" s="562"/>
      <c r="K184" s="562"/>
      <c r="L184" s="562"/>
      <c r="M184" s="562"/>
      <c r="N184" s="562"/>
      <c r="O184" s="562"/>
      <c r="P184" s="562"/>
      <c r="Q184" s="562"/>
      <c r="R184" s="562"/>
      <c r="S184" s="562"/>
      <c r="T184" s="562"/>
      <c r="U184" s="562"/>
      <c r="V184" s="562"/>
      <c r="W184" s="562"/>
      <c r="X184" s="562"/>
      <c r="Y184" s="562"/>
      <c r="Z184" s="562"/>
      <c r="AA184" s="562"/>
      <c r="AB184" s="562"/>
      <c r="AC184" s="562"/>
      <c r="AD184" s="562"/>
      <c r="AE184" s="562"/>
      <c r="AF184" s="562"/>
      <c r="AG184" s="562"/>
      <c r="AH184" s="562"/>
      <c r="AI184" s="562"/>
      <c r="AJ184" s="562"/>
      <c r="AK184" s="562"/>
      <c r="AL184" s="562"/>
      <c r="AM184" s="562"/>
    </row>
    <row r="185" spans="1:39">
      <c r="A185" s="562"/>
      <c r="B185" s="562"/>
      <c r="C185" s="562"/>
      <c r="D185" s="562"/>
      <c r="E185" s="562"/>
      <c r="F185" s="562"/>
      <c r="G185" s="562"/>
      <c r="H185" s="562"/>
      <c r="I185" s="562"/>
      <c r="J185" s="562"/>
      <c r="K185" s="562"/>
      <c r="L185" s="562"/>
      <c r="M185" s="562"/>
      <c r="N185" s="562"/>
      <c r="O185" s="562"/>
      <c r="P185" s="562"/>
      <c r="Q185" s="562"/>
      <c r="R185" s="562"/>
      <c r="S185" s="562"/>
      <c r="T185" s="562"/>
      <c r="U185" s="562"/>
      <c r="V185" s="562"/>
      <c r="W185" s="562"/>
      <c r="X185" s="562"/>
      <c r="Y185" s="562"/>
      <c r="Z185" s="562"/>
      <c r="AA185" s="562"/>
      <c r="AB185" s="562"/>
      <c r="AC185" s="562"/>
      <c r="AD185" s="562"/>
      <c r="AE185" s="562"/>
      <c r="AF185" s="562"/>
      <c r="AG185" s="562"/>
      <c r="AH185" s="562"/>
      <c r="AI185" s="562"/>
      <c r="AJ185" s="562"/>
      <c r="AK185" s="562"/>
      <c r="AL185" s="562"/>
      <c r="AM185" s="562"/>
    </row>
    <row r="186" spans="1:39">
      <c r="A186" s="562"/>
      <c r="B186" s="562"/>
      <c r="C186" s="562"/>
      <c r="D186" s="562"/>
      <c r="E186" s="562"/>
      <c r="F186" s="562"/>
      <c r="G186" s="562"/>
      <c r="H186" s="562"/>
      <c r="I186" s="562"/>
      <c r="J186" s="562"/>
      <c r="K186" s="562"/>
      <c r="L186" s="562"/>
      <c r="M186" s="562"/>
      <c r="N186" s="562"/>
      <c r="O186" s="562"/>
      <c r="P186" s="562"/>
      <c r="Q186" s="562"/>
      <c r="R186" s="562"/>
      <c r="S186" s="562"/>
      <c r="T186" s="562"/>
      <c r="U186" s="562"/>
      <c r="V186" s="562"/>
      <c r="W186" s="562"/>
      <c r="X186" s="562"/>
      <c r="Y186" s="562"/>
      <c r="Z186" s="562"/>
      <c r="AA186" s="562"/>
      <c r="AB186" s="562"/>
      <c r="AC186" s="562"/>
      <c r="AD186" s="562"/>
      <c r="AE186" s="562"/>
      <c r="AF186" s="562"/>
      <c r="AG186" s="562"/>
      <c r="AH186" s="562"/>
      <c r="AI186" s="562"/>
      <c r="AJ186" s="562"/>
      <c r="AK186" s="562"/>
      <c r="AL186" s="562"/>
      <c r="AM186" s="562"/>
    </row>
    <row r="187" spans="1:39">
      <c r="A187" s="562"/>
      <c r="B187" s="562"/>
      <c r="C187" s="562"/>
      <c r="D187" s="562"/>
      <c r="E187" s="562"/>
      <c r="F187" s="562"/>
      <c r="G187" s="562"/>
      <c r="H187" s="562"/>
      <c r="I187" s="562"/>
      <c r="J187" s="562"/>
      <c r="K187" s="562"/>
      <c r="L187" s="562"/>
      <c r="M187" s="562"/>
      <c r="N187" s="562"/>
      <c r="O187" s="562"/>
      <c r="P187" s="562"/>
      <c r="Q187" s="562"/>
      <c r="R187" s="562"/>
      <c r="S187" s="562"/>
      <c r="T187" s="562"/>
      <c r="U187" s="562"/>
      <c r="V187" s="562"/>
      <c r="W187" s="562"/>
      <c r="X187" s="562"/>
      <c r="Y187" s="562"/>
      <c r="Z187" s="562"/>
      <c r="AA187" s="562"/>
      <c r="AB187" s="562"/>
      <c r="AC187" s="562"/>
      <c r="AD187" s="562"/>
      <c r="AE187" s="562"/>
      <c r="AF187" s="562"/>
      <c r="AG187" s="562"/>
      <c r="AH187" s="562"/>
      <c r="AI187" s="562"/>
      <c r="AJ187" s="562"/>
      <c r="AK187" s="562"/>
      <c r="AL187" s="562"/>
      <c r="AM187" s="562"/>
    </row>
    <row r="188" spans="1:39">
      <c r="A188" s="562"/>
      <c r="B188" s="562"/>
      <c r="C188" s="562"/>
      <c r="D188" s="562"/>
      <c r="E188" s="562"/>
      <c r="F188" s="562"/>
      <c r="G188" s="562"/>
      <c r="H188" s="562"/>
      <c r="I188" s="562"/>
      <c r="J188" s="562"/>
      <c r="K188" s="562"/>
      <c r="L188" s="562"/>
      <c r="M188" s="562"/>
      <c r="N188" s="562"/>
      <c r="O188" s="562"/>
      <c r="P188" s="562"/>
      <c r="Q188" s="562"/>
      <c r="R188" s="562"/>
      <c r="S188" s="562"/>
      <c r="T188" s="562"/>
      <c r="U188" s="562"/>
      <c r="V188" s="562"/>
      <c r="W188" s="562"/>
      <c r="X188" s="562"/>
      <c r="Y188" s="562"/>
      <c r="Z188" s="562"/>
      <c r="AA188" s="562"/>
      <c r="AB188" s="562"/>
      <c r="AC188" s="562"/>
      <c r="AD188" s="562"/>
      <c r="AE188" s="562"/>
      <c r="AF188" s="562"/>
      <c r="AG188" s="562"/>
      <c r="AH188" s="562"/>
      <c r="AI188" s="562"/>
      <c r="AJ188" s="562"/>
      <c r="AK188" s="562"/>
      <c r="AL188" s="562"/>
      <c r="AM188" s="562"/>
    </row>
    <row r="189" spans="1:39">
      <c r="A189" s="562"/>
      <c r="B189" s="562"/>
      <c r="C189" s="562"/>
      <c r="D189" s="562"/>
      <c r="E189" s="562"/>
      <c r="F189" s="562"/>
      <c r="G189" s="562"/>
      <c r="H189" s="562"/>
      <c r="I189" s="562"/>
      <c r="J189" s="562"/>
      <c r="K189" s="562"/>
      <c r="L189" s="562"/>
      <c r="M189" s="562"/>
      <c r="N189" s="562"/>
      <c r="O189" s="562"/>
      <c r="P189" s="562"/>
      <c r="Q189" s="562"/>
      <c r="R189" s="562"/>
      <c r="S189" s="562"/>
      <c r="T189" s="562"/>
      <c r="U189" s="562"/>
      <c r="V189" s="562"/>
      <c r="W189" s="562"/>
      <c r="X189" s="562"/>
      <c r="Y189" s="562"/>
      <c r="Z189" s="562"/>
      <c r="AA189" s="562"/>
      <c r="AB189" s="562"/>
      <c r="AC189" s="562"/>
      <c r="AD189" s="562"/>
      <c r="AE189" s="562"/>
      <c r="AF189" s="562"/>
      <c r="AG189" s="562"/>
      <c r="AH189" s="562"/>
      <c r="AI189" s="562"/>
      <c r="AJ189" s="562"/>
      <c r="AK189" s="562"/>
      <c r="AL189" s="562"/>
      <c r="AM189" s="562"/>
    </row>
    <row r="190" spans="1:39">
      <c r="A190" s="562"/>
      <c r="B190" s="562"/>
      <c r="C190" s="562"/>
      <c r="D190" s="562"/>
      <c r="E190" s="562"/>
      <c r="F190" s="562"/>
      <c r="G190" s="562"/>
      <c r="H190" s="562"/>
      <c r="I190" s="562"/>
      <c r="J190" s="562"/>
      <c r="K190" s="562"/>
      <c r="L190" s="562"/>
      <c r="M190" s="562"/>
      <c r="N190" s="562"/>
      <c r="O190" s="562"/>
      <c r="P190" s="562"/>
      <c r="Q190" s="562"/>
      <c r="R190" s="562"/>
      <c r="S190" s="562"/>
      <c r="T190" s="562"/>
      <c r="U190" s="562"/>
      <c r="V190" s="562"/>
      <c r="W190" s="562"/>
      <c r="X190" s="562"/>
      <c r="Y190" s="562"/>
      <c r="Z190" s="562"/>
      <c r="AA190" s="562"/>
      <c r="AB190" s="562"/>
      <c r="AC190" s="562"/>
      <c r="AD190" s="562"/>
      <c r="AE190" s="562"/>
      <c r="AF190" s="562"/>
      <c r="AG190" s="562"/>
      <c r="AH190" s="562"/>
      <c r="AI190" s="562"/>
      <c r="AJ190" s="562"/>
      <c r="AK190" s="562"/>
      <c r="AL190" s="562"/>
      <c r="AM190" s="562"/>
    </row>
    <row r="191" spans="1:39">
      <c r="A191" s="562"/>
      <c r="B191" s="562"/>
      <c r="C191" s="562"/>
      <c r="D191" s="562"/>
      <c r="E191" s="562"/>
      <c r="F191" s="562"/>
      <c r="G191" s="562"/>
      <c r="H191" s="562"/>
      <c r="I191" s="562"/>
      <c r="J191" s="562"/>
      <c r="K191" s="562"/>
      <c r="L191" s="562"/>
      <c r="M191" s="562"/>
      <c r="N191" s="562"/>
      <c r="O191" s="562"/>
      <c r="P191" s="562"/>
      <c r="Q191" s="562"/>
      <c r="R191" s="562"/>
      <c r="S191" s="562"/>
      <c r="T191" s="562"/>
      <c r="U191" s="562"/>
      <c r="V191" s="562"/>
      <c r="W191" s="562"/>
      <c r="X191" s="562"/>
      <c r="Y191" s="562"/>
      <c r="Z191" s="562"/>
      <c r="AA191" s="562"/>
      <c r="AB191" s="562"/>
      <c r="AC191" s="562"/>
      <c r="AD191" s="562"/>
      <c r="AE191" s="562"/>
      <c r="AF191" s="562"/>
      <c r="AG191" s="562"/>
      <c r="AH191" s="562"/>
      <c r="AI191" s="562"/>
      <c r="AJ191" s="562"/>
      <c r="AK191" s="562"/>
      <c r="AL191" s="562"/>
      <c r="AM191" s="562"/>
    </row>
    <row r="192" spans="1:39">
      <c r="A192" s="562"/>
      <c r="B192" s="562"/>
      <c r="C192" s="562"/>
      <c r="D192" s="562"/>
      <c r="E192" s="562"/>
      <c r="F192" s="562"/>
      <c r="G192" s="562"/>
      <c r="H192" s="562"/>
      <c r="I192" s="562"/>
      <c r="J192" s="562"/>
      <c r="K192" s="562"/>
      <c r="L192" s="562"/>
      <c r="M192" s="562"/>
      <c r="N192" s="562"/>
      <c r="O192" s="562"/>
      <c r="P192" s="562"/>
      <c r="Q192" s="562"/>
      <c r="R192" s="562"/>
      <c r="S192" s="562"/>
      <c r="T192" s="562"/>
      <c r="U192" s="562"/>
      <c r="V192" s="562"/>
      <c r="W192" s="562"/>
      <c r="X192" s="562"/>
      <c r="Y192" s="562"/>
      <c r="Z192" s="562"/>
      <c r="AA192" s="562"/>
      <c r="AB192" s="562"/>
      <c r="AC192" s="562"/>
      <c r="AD192" s="562"/>
      <c r="AE192" s="562"/>
      <c r="AF192" s="562"/>
      <c r="AG192" s="562"/>
      <c r="AH192" s="562"/>
      <c r="AI192" s="562"/>
      <c r="AJ192" s="562"/>
      <c r="AK192" s="562"/>
      <c r="AL192" s="562"/>
      <c r="AM192" s="562"/>
    </row>
    <row r="193" spans="1:39">
      <c r="A193" s="562"/>
      <c r="B193" s="562"/>
      <c r="C193" s="562"/>
      <c r="D193" s="562"/>
      <c r="E193" s="562"/>
      <c r="F193" s="562"/>
      <c r="G193" s="562"/>
      <c r="H193" s="562"/>
      <c r="I193" s="562"/>
      <c r="J193" s="562"/>
      <c r="K193" s="562"/>
      <c r="L193" s="562"/>
      <c r="M193" s="562"/>
      <c r="N193" s="562"/>
      <c r="O193" s="562"/>
      <c r="P193" s="562"/>
      <c r="Q193" s="562"/>
      <c r="R193" s="562"/>
      <c r="S193" s="562"/>
      <c r="T193" s="562"/>
      <c r="U193" s="562"/>
      <c r="V193" s="562"/>
      <c r="W193" s="562"/>
      <c r="X193" s="562"/>
      <c r="Y193" s="562"/>
      <c r="Z193" s="562"/>
      <c r="AA193" s="562"/>
      <c r="AB193" s="562"/>
      <c r="AC193" s="562"/>
      <c r="AD193" s="562"/>
      <c r="AE193" s="562"/>
      <c r="AF193" s="562"/>
      <c r="AG193" s="562"/>
      <c r="AH193" s="562"/>
      <c r="AI193" s="562"/>
      <c r="AJ193" s="562"/>
      <c r="AK193" s="562"/>
      <c r="AL193" s="562"/>
      <c r="AM193" s="562"/>
    </row>
  </sheetData>
  <mergeCells count="40">
    <mergeCell ref="AA19:AJ19"/>
    <mergeCell ref="AA20:AA21"/>
    <mergeCell ref="AB20:AB21"/>
    <mergeCell ref="AC20:AC21"/>
    <mergeCell ref="AA62:AA63"/>
    <mergeCell ref="AB62:AB63"/>
    <mergeCell ref="AC62:AC63"/>
    <mergeCell ref="AD62:AD63"/>
    <mergeCell ref="AE62:AF62"/>
    <mergeCell ref="AA61:AJ61"/>
    <mergeCell ref="AG62:AH62"/>
    <mergeCell ref="AI62:AI63"/>
    <mergeCell ref="AJ62:AJ63"/>
    <mergeCell ref="AJ20:AJ21"/>
    <mergeCell ref="C61:L61"/>
    <mergeCell ref="AI20:AI21"/>
    <mergeCell ref="C62:C63"/>
    <mergeCell ref="D62:D63"/>
    <mergeCell ref="L62:L63"/>
    <mergeCell ref="E62:E63"/>
    <mergeCell ref="F62:F63"/>
    <mergeCell ref="G62:H62"/>
    <mergeCell ref="I62:J62"/>
    <mergeCell ref="K62:K63"/>
    <mergeCell ref="B8:O8"/>
    <mergeCell ref="B13:O13"/>
    <mergeCell ref="AD20:AD21"/>
    <mergeCell ref="AE20:AF20"/>
    <mergeCell ref="AG20:AH20"/>
    <mergeCell ref="Z8:AM8"/>
    <mergeCell ref="Z13:AM13"/>
    <mergeCell ref="C19:L19"/>
    <mergeCell ref="C20:C21"/>
    <mergeCell ref="D20:D21"/>
    <mergeCell ref="L20:L21"/>
    <mergeCell ref="E20:E21"/>
    <mergeCell ref="F20:F21"/>
    <mergeCell ref="G20:H20"/>
    <mergeCell ref="I20:J20"/>
    <mergeCell ref="K20:K21"/>
  </mergeCells>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4"/>
  </sheetPr>
  <dimension ref="B3:H55"/>
  <sheetViews>
    <sheetView workbookViewId="0">
      <selection activeCell="K19" sqref="K19:K20"/>
    </sheetView>
  </sheetViews>
  <sheetFormatPr baseColWidth="10" defaultColWidth="8.83203125" defaultRowHeight="15"/>
  <cols>
    <col min="2" max="2" width="36.6640625" customWidth="1"/>
  </cols>
  <sheetData>
    <row r="3" spans="2:8">
      <c r="B3" s="8" t="s">
        <v>238</v>
      </c>
    </row>
    <row r="5" spans="2:8" ht="16" thickBot="1"/>
    <row r="6" spans="2:8">
      <c r="B6" s="1311" t="s">
        <v>0</v>
      </c>
      <c r="C6" s="1260" t="s">
        <v>53</v>
      </c>
      <c r="D6" s="1261"/>
      <c r="E6" s="1261"/>
      <c r="F6" s="1261"/>
      <c r="G6" s="1261"/>
      <c r="H6" s="1262"/>
    </row>
    <row r="7" spans="2:8" ht="16" thickBot="1">
      <c r="B7" s="1312"/>
      <c r="C7" s="1263" t="s">
        <v>1</v>
      </c>
      <c r="D7" s="1264"/>
      <c r="E7" s="1264"/>
      <c r="F7" s="1264"/>
      <c r="G7" s="1264"/>
      <c r="H7" s="1265"/>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0" t="s">
        <v>218</v>
      </c>
      <c r="D10" s="20" t="s">
        <v>217</v>
      </c>
      <c r="E10" s="20" t="s">
        <v>219</v>
      </c>
      <c r="F10" s="20" t="s">
        <v>219</v>
      </c>
      <c r="G10" s="2" t="s">
        <v>6</v>
      </c>
      <c r="H10" s="2" t="s">
        <v>46</v>
      </c>
    </row>
    <row r="11" spans="2:8" ht="28" thickBot="1">
      <c r="B11" s="1" t="s">
        <v>7</v>
      </c>
      <c r="C11" s="2">
        <v>100</v>
      </c>
      <c r="D11" s="2">
        <v>100</v>
      </c>
      <c r="E11" s="2">
        <v>100</v>
      </c>
      <c r="F11" s="2">
        <v>100</v>
      </c>
      <c r="G11" s="2"/>
      <c r="H11" s="2"/>
    </row>
    <row r="12" spans="2:8" ht="28" thickBot="1">
      <c r="B12" s="1" t="s">
        <v>8</v>
      </c>
      <c r="C12" s="2">
        <v>100</v>
      </c>
      <c r="D12" s="2">
        <v>100</v>
      </c>
      <c r="E12" s="2">
        <v>100</v>
      </c>
      <c r="F12" s="2">
        <v>100</v>
      </c>
      <c r="G12" s="2"/>
      <c r="H12" s="2"/>
    </row>
    <row r="13" spans="2:8" ht="16" thickBot="1">
      <c r="B13" s="1" t="s">
        <v>9</v>
      </c>
      <c r="C13" s="2">
        <v>75</v>
      </c>
      <c r="D13" s="2">
        <v>82</v>
      </c>
      <c r="E13" s="2">
        <v>86</v>
      </c>
      <c r="F13" s="2">
        <v>90</v>
      </c>
      <c r="G13" s="2"/>
      <c r="H13" s="2">
        <v>5</v>
      </c>
    </row>
    <row r="14" spans="2:8" ht="16" thickBot="1">
      <c r="B14" s="1" t="s">
        <v>10</v>
      </c>
      <c r="C14" s="2">
        <v>20</v>
      </c>
      <c r="D14" s="2">
        <v>20</v>
      </c>
      <c r="E14" s="2">
        <v>20</v>
      </c>
      <c r="F14" s="2">
        <v>20</v>
      </c>
      <c r="G14" s="2"/>
      <c r="H14" s="2">
        <v>6</v>
      </c>
    </row>
    <row r="15" spans="2:8" ht="16" thickBot="1">
      <c r="B15" s="3" t="s">
        <v>11</v>
      </c>
      <c r="C15" s="4"/>
      <c r="D15" s="4"/>
      <c r="E15" s="4"/>
      <c r="F15" s="4"/>
      <c r="G15" s="4"/>
      <c r="H15" s="5"/>
    </row>
    <row r="16" spans="2:8" ht="16" thickBot="1">
      <c r="B16" s="1" t="s">
        <v>12</v>
      </c>
      <c r="C16" s="24">
        <v>0</v>
      </c>
      <c r="D16" s="24">
        <v>0</v>
      </c>
      <c r="E16" s="24">
        <v>0</v>
      </c>
      <c r="F16" s="24">
        <v>0</v>
      </c>
      <c r="G16" s="2"/>
      <c r="H16" s="2"/>
    </row>
    <row r="17" spans="2:8" ht="16" thickBot="1">
      <c r="B17" s="1" t="s">
        <v>14</v>
      </c>
      <c r="C17" s="2">
        <v>80</v>
      </c>
      <c r="D17" s="2">
        <v>70</v>
      </c>
      <c r="E17" s="2">
        <v>60</v>
      </c>
      <c r="F17" s="2">
        <v>50</v>
      </c>
      <c r="G17" s="2"/>
      <c r="H17" s="2">
        <v>5</v>
      </c>
    </row>
    <row r="18" spans="2:8" ht="16" thickBot="1">
      <c r="B18" s="1" t="s">
        <v>16</v>
      </c>
      <c r="C18" s="2">
        <v>3</v>
      </c>
      <c r="D18" s="2">
        <v>2</v>
      </c>
      <c r="E18" s="2">
        <v>1</v>
      </c>
      <c r="F18" s="2">
        <v>0</v>
      </c>
      <c r="G18" s="2"/>
      <c r="H18" s="2" t="s">
        <v>48</v>
      </c>
    </row>
    <row r="19" spans="2:8" ht="16" thickBot="1">
      <c r="B19" s="1" t="s">
        <v>17</v>
      </c>
      <c r="C19" s="24">
        <v>0</v>
      </c>
      <c r="D19" s="24">
        <v>0</v>
      </c>
      <c r="E19" s="24">
        <v>0</v>
      </c>
      <c r="F19" s="24">
        <v>0</v>
      </c>
      <c r="G19" s="2"/>
      <c r="H19" s="2"/>
    </row>
    <row r="20" spans="2:8" ht="16" thickBot="1">
      <c r="B20" s="1" t="s">
        <v>18</v>
      </c>
      <c r="C20" s="2">
        <v>15</v>
      </c>
      <c r="D20" s="2">
        <v>12</v>
      </c>
      <c r="E20" s="2">
        <v>9</v>
      </c>
      <c r="F20" s="2">
        <v>6</v>
      </c>
      <c r="G20" s="2" t="s">
        <v>15</v>
      </c>
      <c r="H20" s="2">
        <v>5</v>
      </c>
    </row>
    <row r="21" spans="2:8" ht="16" thickBot="1">
      <c r="B21" s="3" t="s">
        <v>20</v>
      </c>
      <c r="C21" s="4"/>
      <c r="D21" s="4"/>
      <c r="E21" s="4"/>
      <c r="F21" s="4"/>
      <c r="G21" s="4"/>
      <c r="H21" s="5"/>
    </row>
    <row r="22" spans="2:8" ht="16" thickBot="1">
      <c r="B22" s="1" t="s">
        <v>21</v>
      </c>
      <c r="C22" s="2" t="s">
        <v>47</v>
      </c>
      <c r="D22" s="2" t="s">
        <v>47</v>
      </c>
      <c r="E22" s="2" t="s">
        <v>47</v>
      </c>
      <c r="F22" s="2" t="s">
        <v>47</v>
      </c>
      <c r="G22" s="2"/>
      <c r="H22" s="2"/>
    </row>
    <row r="23" spans="2:8">
      <c r="B23" s="6" t="s">
        <v>22</v>
      </c>
      <c r="C23" s="7">
        <v>4.5</v>
      </c>
      <c r="D23" s="7">
        <v>4.5</v>
      </c>
      <c r="E23" s="7">
        <v>4.5</v>
      </c>
      <c r="F23" s="7">
        <v>4.5</v>
      </c>
      <c r="G23" s="7"/>
      <c r="H23" s="7"/>
    </row>
    <row r="24" spans="2:8">
      <c r="B24" s="6" t="s">
        <v>49</v>
      </c>
      <c r="C24" s="7" t="s">
        <v>54</v>
      </c>
      <c r="D24" s="7">
        <v>3</v>
      </c>
      <c r="E24" s="7">
        <v>3</v>
      </c>
      <c r="F24" s="7">
        <v>3</v>
      </c>
      <c r="G24" s="7"/>
      <c r="H24" s="7"/>
    </row>
    <row r="25" spans="2:8" ht="16" thickBot="1">
      <c r="B25" s="1" t="s">
        <v>50</v>
      </c>
      <c r="C25" s="2" t="s">
        <v>55</v>
      </c>
      <c r="D25" s="2">
        <v>1.5</v>
      </c>
      <c r="E25" s="2">
        <v>1.5</v>
      </c>
      <c r="F25" s="2">
        <v>1.5</v>
      </c>
      <c r="G25" s="2"/>
      <c r="H25" s="2"/>
    </row>
    <row r="26" spans="2:8" ht="28" thickBot="1">
      <c r="B26" s="1" t="s">
        <v>28</v>
      </c>
      <c r="C26" s="2">
        <v>3.1</v>
      </c>
      <c r="D26" s="2">
        <v>3.1</v>
      </c>
      <c r="E26" s="2">
        <v>3.1</v>
      </c>
      <c r="F26" s="2">
        <v>3.1</v>
      </c>
      <c r="G26" s="2" t="s">
        <v>13</v>
      </c>
      <c r="H26" s="2"/>
    </row>
    <row r="27" spans="2:8" ht="16" thickBot="1">
      <c r="B27" s="1" t="s">
        <v>38</v>
      </c>
      <c r="C27" s="2">
        <v>2</v>
      </c>
      <c r="D27" s="2">
        <v>2</v>
      </c>
      <c r="E27" s="2">
        <v>2</v>
      </c>
      <c r="F27" s="2">
        <v>2</v>
      </c>
      <c r="G27" s="2" t="s">
        <v>19</v>
      </c>
      <c r="H27" s="2">
        <v>6</v>
      </c>
    </row>
    <row r="28" spans="2:8" ht="16" thickBot="1">
      <c r="B28" s="1" t="s">
        <v>29</v>
      </c>
      <c r="C28" s="2" t="s">
        <v>47</v>
      </c>
      <c r="D28" s="2" t="s">
        <v>47</v>
      </c>
      <c r="E28" s="2" t="s">
        <v>47</v>
      </c>
      <c r="F28" s="2" t="s">
        <v>47</v>
      </c>
      <c r="G28" s="2"/>
      <c r="H28" s="2"/>
    </row>
    <row r="32" spans="2:8" ht="16" thickBot="1"/>
    <row r="33" spans="2:8">
      <c r="B33" s="1311" t="s">
        <v>0</v>
      </c>
      <c r="C33" s="1260" t="s">
        <v>53</v>
      </c>
      <c r="D33" s="1261"/>
      <c r="E33" s="1261"/>
      <c r="F33" s="1261"/>
      <c r="G33" s="1261"/>
      <c r="H33" s="1262"/>
    </row>
    <row r="34" spans="2:8" ht="16" thickBot="1">
      <c r="B34" s="1312"/>
      <c r="C34" s="1263" t="s">
        <v>32</v>
      </c>
      <c r="D34" s="1264"/>
      <c r="E34" s="1264"/>
      <c r="F34" s="1264"/>
      <c r="G34" s="1264"/>
      <c r="H34" s="1265"/>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0" t="s">
        <v>218</v>
      </c>
      <c r="D37" s="20" t="s">
        <v>220</v>
      </c>
      <c r="E37" s="20" t="s">
        <v>221</v>
      </c>
      <c r="F37" s="20" t="s">
        <v>222</v>
      </c>
      <c r="G37" s="2" t="s">
        <v>6</v>
      </c>
      <c r="H37" s="2" t="s">
        <v>46</v>
      </c>
    </row>
    <row r="38" spans="2:8" ht="28" thickBot="1">
      <c r="B38" s="1" t="s">
        <v>7</v>
      </c>
      <c r="C38" s="2">
        <v>100</v>
      </c>
      <c r="D38" s="2">
        <v>100</v>
      </c>
      <c r="E38" s="2">
        <v>100</v>
      </c>
      <c r="F38" s="2">
        <v>100</v>
      </c>
      <c r="G38" s="2"/>
      <c r="H38" s="2"/>
    </row>
    <row r="39" spans="2:8" ht="28" thickBot="1">
      <c r="B39" s="1" t="s">
        <v>8</v>
      </c>
      <c r="C39" s="2">
        <v>100</v>
      </c>
      <c r="D39" s="2">
        <v>100</v>
      </c>
      <c r="E39" s="2">
        <v>100</v>
      </c>
      <c r="F39" s="2">
        <v>100</v>
      </c>
      <c r="G39" s="2"/>
      <c r="H39" s="2"/>
    </row>
    <row r="40" spans="2:8" ht="16" thickBot="1">
      <c r="B40" s="1" t="s">
        <v>9</v>
      </c>
      <c r="C40" s="2">
        <v>75</v>
      </c>
      <c r="D40" s="2">
        <v>82</v>
      </c>
      <c r="E40" s="2">
        <v>86</v>
      </c>
      <c r="F40" s="2">
        <v>90</v>
      </c>
      <c r="G40" s="2"/>
      <c r="H40" s="2">
        <v>5</v>
      </c>
    </row>
    <row r="41" spans="2:8" ht="16" thickBot="1">
      <c r="B41" s="1" t="s">
        <v>10</v>
      </c>
      <c r="C41" s="2">
        <v>20</v>
      </c>
      <c r="D41" s="2">
        <v>20</v>
      </c>
      <c r="E41" s="2">
        <v>20</v>
      </c>
      <c r="F41" s="2">
        <v>20</v>
      </c>
      <c r="G41" s="2"/>
      <c r="H41" s="2">
        <v>6</v>
      </c>
    </row>
    <row r="42" spans="2:8" ht="16" thickBot="1">
      <c r="B42" s="3" t="s">
        <v>11</v>
      </c>
      <c r="C42" s="4"/>
      <c r="D42" s="4"/>
      <c r="E42" s="4"/>
      <c r="F42" s="4"/>
      <c r="G42" s="4"/>
      <c r="H42" s="5"/>
    </row>
    <row r="43" spans="2:8" ht="16" thickBot="1">
      <c r="B43" s="1" t="s">
        <v>12</v>
      </c>
      <c r="C43" s="24">
        <v>0</v>
      </c>
      <c r="D43" s="24">
        <v>0</v>
      </c>
      <c r="E43" s="24">
        <v>0</v>
      </c>
      <c r="F43" s="24">
        <v>0</v>
      </c>
      <c r="G43" s="2"/>
      <c r="H43" s="2"/>
    </row>
    <row r="44" spans="2:8" ht="16" thickBot="1">
      <c r="B44" s="1" t="s">
        <v>14</v>
      </c>
      <c r="C44" s="2">
        <v>80</v>
      </c>
      <c r="D44" s="2">
        <v>70</v>
      </c>
      <c r="E44" s="2">
        <v>60</v>
      </c>
      <c r="F44" s="2">
        <v>50</v>
      </c>
      <c r="G44" s="2"/>
      <c r="H44" s="2">
        <v>5</v>
      </c>
    </row>
    <row r="45" spans="2:8" ht="16" thickBot="1">
      <c r="B45" s="1" t="s">
        <v>16</v>
      </c>
      <c r="C45" s="2">
        <v>3</v>
      </c>
      <c r="D45" s="2">
        <v>2</v>
      </c>
      <c r="E45" s="2">
        <v>1</v>
      </c>
      <c r="F45" s="2">
        <v>0</v>
      </c>
      <c r="G45" s="2"/>
      <c r="H45" s="2" t="s">
        <v>48</v>
      </c>
    </row>
    <row r="46" spans="2:8" ht="16" thickBot="1">
      <c r="B46" s="1" t="s">
        <v>17</v>
      </c>
      <c r="C46" s="24">
        <v>0</v>
      </c>
      <c r="D46" s="24">
        <v>0</v>
      </c>
      <c r="E46" s="24">
        <v>0</v>
      </c>
      <c r="F46" s="24">
        <v>0</v>
      </c>
      <c r="G46" s="2"/>
      <c r="H46" s="2"/>
    </row>
    <row r="47" spans="2:8" ht="16" thickBot="1">
      <c r="B47" s="1" t="s">
        <v>18</v>
      </c>
      <c r="C47" s="2">
        <v>15</v>
      </c>
      <c r="D47" s="2">
        <v>12</v>
      </c>
      <c r="E47" s="2">
        <v>9</v>
      </c>
      <c r="F47" s="2">
        <v>6</v>
      </c>
      <c r="G47" s="2" t="s">
        <v>15</v>
      </c>
      <c r="H47" s="2">
        <v>5</v>
      </c>
    </row>
    <row r="48" spans="2:8" ht="16" thickBot="1">
      <c r="B48" s="3" t="s">
        <v>20</v>
      </c>
      <c r="C48" s="4"/>
      <c r="D48" s="4"/>
      <c r="E48" s="4"/>
      <c r="F48" s="4"/>
      <c r="G48" s="4"/>
      <c r="H48" s="5"/>
    </row>
    <row r="49" spans="2:8" ht="16" thickBot="1">
      <c r="B49" s="1" t="s">
        <v>21</v>
      </c>
      <c r="C49" s="2" t="s">
        <v>47</v>
      </c>
      <c r="D49" s="2" t="s">
        <v>47</v>
      </c>
      <c r="E49" s="2" t="s">
        <v>47</v>
      </c>
      <c r="F49" s="2" t="s">
        <v>47</v>
      </c>
      <c r="G49" s="2"/>
      <c r="H49" s="2"/>
    </row>
    <row r="50" spans="2:8">
      <c r="B50" s="6" t="s">
        <v>22</v>
      </c>
      <c r="C50" s="7">
        <v>4.5</v>
      </c>
      <c r="D50" s="7">
        <v>4.5</v>
      </c>
      <c r="E50" s="7">
        <v>4.5</v>
      </c>
      <c r="F50" s="7">
        <v>4.5</v>
      </c>
      <c r="G50" s="7"/>
      <c r="H50" s="7"/>
    </row>
    <row r="51" spans="2:8">
      <c r="B51" s="6" t="s">
        <v>49</v>
      </c>
      <c r="C51" s="7" t="s">
        <v>54</v>
      </c>
      <c r="D51" s="7">
        <v>3</v>
      </c>
      <c r="E51" s="7">
        <v>3</v>
      </c>
      <c r="F51" s="7">
        <v>3</v>
      </c>
      <c r="G51" s="7"/>
      <c r="H51" s="7"/>
    </row>
    <row r="52" spans="2:8" ht="16" thickBot="1">
      <c r="B52" s="1" t="s">
        <v>50</v>
      </c>
      <c r="C52" s="2" t="s">
        <v>55</v>
      </c>
      <c r="D52" s="2">
        <v>1.5</v>
      </c>
      <c r="E52" s="2">
        <v>1.5</v>
      </c>
      <c r="F52" s="2">
        <v>1.5</v>
      </c>
      <c r="G52" s="2"/>
      <c r="H52" s="2"/>
    </row>
    <row r="53" spans="2:8" ht="28" thickBot="1">
      <c r="B53" s="1" t="s">
        <v>28</v>
      </c>
      <c r="C53" s="2">
        <v>2.8</v>
      </c>
      <c r="D53" s="2">
        <v>2.8</v>
      </c>
      <c r="E53" s="2">
        <v>2.8</v>
      </c>
      <c r="F53" s="2">
        <v>2.8</v>
      </c>
      <c r="G53" s="2" t="s">
        <v>13</v>
      </c>
      <c r="H53" s="2"/>
    </row>
    <row r="54" spans="2:8" ht="16" thickBot="1">
      <c r="B54" s="1" t="s">
        <v>38</v>
      </c>
      <c r="C54" s="2">
        <v>2</v>
      </c>
      <c r="D54" s="2">
        <v>2</v>
      </c>
      <c r="E54" s="2">
        <v>2</v>
      </c>
      <c r="F54" s="2">
        <v>2</v>
      </c>
      <c r="G54" s="2" t="s">
        <v>56</v>
      </c>
      <c r="H54" s="2"/>
    </row>
    <row r="55" spans="2:8" ht="16" thickBot="1">
      <c r="B55" s="1" t="s">
        <v>29</v>
      </c>
      <c r="C55" s="2" t="s">
        <v>47</v>
      </c>
      <c r="D55" s="2" t="s">
        <v>47</v>
      </c>
      <c r="E55" s="2" t="s">
        <v>47</v>
      </c>
      <c r="F55" s="2" t="s">
        <v>47</v>
      </c>
      <c r="G55" s="2"/>
      <c r="H55" s="2"/>
    </row>
  </sheetData>
  <mergeCells count="6">
    <mergeCell ref="B6:B7"/>
    <mergeCell ref="C6:H6"/>
    <mergeCell ref="C7:H7"/>
    <mergeCell ref="B33:B34"/>
    <mergeCell ref="C33:H33"/>
    <mergeCell ref="C34:H34"/>
  </mergeCells>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sheetPr>
  <dimension ref="B3:X72"/>
  <sheetViews>
    <sheetView workbookViewId="0">
      <selection activeCell="J11" activeCellId="3" sqref="J8 J9 J10 J11"/>
    </sheetView>
  </sheetViews>
  <sheetFormatPr baseColWidth="10" defaultColWidth="8.83203125" defaultRowHeight="15"/>
  <cols>
    <col min="2" max="2" width="36.6640625" customWidth="1"/>
    <col min="4" max="6" width="10" bestFit="1" customWidth="1"/>
  </cols>
  <sheetData>
    <row r="3" spans="2:24">
      <c r="B3" s="8" t="s">
        <v>239</v>
      </c>
      <c r="J3" s="821" t="s">
        <v>783</v>
      </c>
    </row>
    <row r="4" spans="2:24">
      <c r="B4" s="34" t="s">
        <v>273</v>
      </c>
      <c r="C4" s="764"/>
      <c r="D4" s="764"/>
      <c r="E4" s="764"/>
      <c r="F4" s="764"/>
      <c r="G4" s="764"/>
      <c r="H4" s="764"/>
      <c r="I4" s="764"/>
      <c r="J4" s="821">
        <v>0.2</v>
      </c>
      <c r="K4" s="764"/>
      <c r="L4" s="764"/>
      <c r="M4" s="764"/>
      <c r="N4" s="764"/>
      <c r="O4" s="764"/>
    </row>
    <row r="5" spans="2:24" s="764"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row>
    <row r="6" spans="2:24" s="764" customFormat="1" ht="16" thickBot="1">
      <c r="B6" s="31"/>
      <c r="C6" s="31"/>
      <c r="D6" s="32"/>
      <c r="E6" s="32"/>
      <c r="F6" s="33"/>
      <c r="G6" s="31"/>
      <c r="H6" s="31"/>
      <c r="I6" s="31"/>
      <c r="J6" s="31"/>
      <c r="K6" s="31"/>
      <c r="L6" s="31"/>
      <c r="M6" s="31"/>
      <c r="N6" s="31"/>
      <c r="O6" s="31"/>
    </row>
    <row r="7" spans="2:24" s="764" customFormat="1">
      <c r="B7" s="37"/>
      <c r="C7" s="37"/>
      <c r="D7" s="38"/>
      <c r="E7" s="38"/>
      <c r="F7" s="38" t="s">
        <v>353</v>
      </c>
      <c r="G7" s="38" t="s">
        <v>354</v>
      </c>
      <c r="H7" s="38" t="s">
        <v>355</v>
      </c>
      <c r="I7" s="37" t="s">
        <v>271</v>
      </c>
      <c r="J7" s="37" t="s">
        <v>271</v>
      </c>
      <c r="K7" s="37" t="s">
        <v>272</v>
      </c>
      <c r="L7" s="37" t="s">
        <v>272</v>
      </c>
      <c r="M7" s="37" t="s">
        <v>272</v>
      </c>
      <c r="N7" s="37" t="s">
        <v>272</v>
      </c>
      <c r="O7" s="37" t="s">
        <v>272</v>
      </c>
    </row>
    <row r="8" spans="2:24" s="764" customFormat="1">
      <c r="B8" s="39">
        <f>C14</f>
        <v>2015</v>
      </c>
      <c r="C8" s="39">
        <f>B8</f>
        <v>2015</v>
      </c>
      <c r="D8" s="39">
        <f>C22/100</f>
        <v>0.65</v>
      </c>
      <c r="E8" s="39">
        <f>C25</f>
        <v>20</v>
      </c>
      <c r="F8" s="226">
        <f>C49</f>
        <v>3.104166666666667</v>
      </c>
      <c r="G8" s="226">
        <f>C52</f>
        <v>0.18625000000000003</v>
      </c>
      <c r="H8" s="226">
        <f>C53</f>
        <v>0</v>
      </c>
      <c r="I8" s="39"/>
      <c r="J8" s="39">
        <f>($J$4*C19*0.7+C20*$J$4*0.3)/100</f>
        <v>5.5999999999999994E-2</v>
      </c>
      <c r="K8" s="39">
        <f>C33</f>
        <v>25</v>
      </c>
      <c r="L8" s="523">
        <f>C34</f>
        <v>90</v>
      </c>
      <c r="M8" s="523">
        <f>C35</f>
        <v>320</v>
      </c>
      <c r="N8" s="350">
        <f>C36</f>
        <v>4</v>
      </c>
      <c r="O8" s="523">
        <f>C37</f>
        <v>50</v>
      </c>
    </row>
    <row r="9" spans="2:24" s="764" customFormat="1">
      <c r="B9" s="39">
        <f>D14</f>
        <v>2020</v>
      </c>
      <c r="C9" s="39"/>
      <c r="D9" s="39">
        <f>D22/100</f>
        <v>0.7</v>
      </c>
      <c r="E9" s="39">
        <f>D25</f>
        <v>20</v>
      </c>
      <c r="F9" s="226">
        <f>D49</f>
        <v>3.7250000000000001</v>
      </c>
      <c r="G9" s="226">
        <f>D52</f>
        <v>0.21605000000000002</v>
      </c>
      <c r="H9" s="226">
        <f>D53</f>
        <v>0</v>
      </c>
      <c r="I9" s="39"/>
      <c r="J9" s="39">
        <f>($J$4*D19*0.7+D20*$J$4*0.3)/100</f>
        <v>5.5999999999999994E-2</v>
      </c>
      <c r="K9" s="39">
        <f>D33</f>
        <v>25</v>
      </c>
      <c r="L9" s="523">
        <f>D34</f>
        <v>90</v>
      </c>
      <c r="M9" s="523">
        <f>D35</f>
        <v>125</v>
      </c>
      <c r="N9" s="350">
        <f>D36</f>
        <v>4</v>
      </c>
      <c r="O9" s="523">
        <f>D37</f>
        <v>40</v>
      </c>
    </row>
    <row r="10" spans="2:24" s="764" customFormat="1">
      <c r="B10" s="39">
        <f>E14</f>
        <v>2030</v>
      </c>
      <c r="C10" s="39"/>
      <c r="D10" s="39">
        <f>E22/100</f>
        <v>0.75</v>
      </c>
      <c r="E10" s="39">
        <f>E25</f>
        <v>20</v>
      </c>
      <c r="F10" s="226">
        <f>E49</f>
        <v>6.5187499999999998</v>
      </c>
      <c r="G10" s="226">
        <f>E52</f>
        <v>0.37250000000000005</v>
      </c>
      <c r="H10" s="226">
        <f>E53</f>
        <v>0</v>
      </c>
      <c r="I10" s="39"/>
      <c r="J10" s="39">
        <f>($J$4*E19*0.7+E20*$J$4*0.3)/100</f>
        <v>5.5999999999999994E-2</v>
      </c>
      <c r="K10" s="39">
        <f>E33</f>
        <v>25</v>
      </c>
      <c r="L10" s="523">
        <f>E34</f>
        <v>90</v>
      </c>
      <c r="M10" s="523">
        <f>E35</f>
        <v>100</v>
      </c>
      <c r="N10" s="350">
        <f>E36</f>
        <v>4</v>
      </c>
      <c r="O10" s="523">
        <f>E37</f>
        <v>30</v>
      </c>
    </row>
    <row r="11" spans="2:24" s="764" customFormat="1">
      <c r="B11" s="39">
        <f>F14</f>
        <v>2050</v>
      </c>
      <c r="C11" s="39"/>
      <c r="D11" s="39">
        <f>F22/100</f>
        <v>0.75</v>
      </c>
      <c r="E11" s="39">
        <f>F25</f>
        <v>20</v>
      </c>
      <c r="F11" s="226">
        <f>F49</f>
        <v>5.7737500000000006</v>
      </c>
      <c r="G11" s="226">
        <f>F52</f>
        <v>0.353875</v>
      </c>
      <c r="H11" s="226">
        <f>F53</f>
        <v>0</v>
      </c>
      <c r="I11" s="39"/>
      <c r="J11" s="39">
        <f>($J$4*F19*0.7+F20*$J$4*0.3)/100</f>
        <v>5.5999999999999994E-2</v>
      </c>
      <c r="K11" s="39">
        <f>F33</f>
        <v>25</v>
      </c>
      <c r="L11" s="523">
        <f>F34</f>
        <v>90</v>
      </c>
      <c r="M11" s="523">
        <f>F35</f>
        <v>100</v>
      </c>
      <c r="N11" s="350">
        <f>F36</f>
        <v>4</v>
      </c>
      <c r="O11" s="523">
        <f>F37</f>
        <v>25</v>
      </c>
    </row>
    <row r="12" spans="2:24" ht="16" thickBot="1"/>
    <row r="13" spans="2:24" ht="15" customHeight="1" thickBot="1">
      <c r="B13" s="950" t="s">
        <v>0</v>
      </c>
      <c r="C13" s="1289" t="s">
        <v>848</v>
      </c>
      <c r="D13" s="1290"/>
      <c r="E13" s="1290"/>
      <c r="F13" s="1290"/>
      <c r="G13" s="1290"/>
      <c r="H13" s="1290"/>
      <c r="I13" s="1290"/>
      <c r="J13" s="1290"/>
      <c r="K13" s="1290"/>
      <c r="L13" s="1291"/>
      <c r="M13" s="764"/>
      <c r="N13" s="428" t="s">
        <v>0</v>
      </c>
      <c r="O13" s="1289" t="s">
        <v>731</v>
      </c>
      <c r="P13" s="1290"/>
      <c r="Q13" s="1290"/>
      <c r="R13" s="1290"/>
      <c r="S13" s="1290"/>
      <c r="T13" s="1290"/>
      <c r="U13" s="1290"/>
      <c r="V13" s="1290"/>
      <c r="W13" s="1290"/>
      <c r="X13" s="1291"/>
    </row>
    <row r="14" spans="2:24" ht="15.75" customHeight="1">
      <c r="B14" s="1280"/>
      <c r="C14" s="1282">
        <v>2015</v>
      </c>
      <c r="D14" s="1282">
        <v>2020</v>
      </c>
      <c r="E14" s="1282">
        <v>2030</v>
      </c>
      <c r="F14" s="1282">
        <v>2050</v>
      </c>
      <c r="G14" s="1285" t="s">
        <v>467</v>
      </c>
      <c r="H14" s="1286"/>
      <c r="I14" s="1285" t="s">
        <v>468</v>
      </c>
      <c r="J14" s="1286"/>
      <c r="K14" s="1282" t="s">
        <v>2</v>
      </c>
      <c r="L14" s="1282" t="s">
        <v>3</v>
      </c>
      <c r="M14" s="764"/>
      <c r="N14" s="1280"/>
      <c r="O14" s="1282">
        <v>2015</v>
      </c>
      <c r="P14" s="1282">
        <v>2020</v>
      </c>
      <c r="Q14" s="1282">
        <v>2030</v>
      </c>
      <c r="R14" s="1282">
        <v>2050</v>
      </c>
      <c r="S14" s="1285" t="s">
        <v>467</v>
      </c>
      <c r="T14" s="1286"/>
      <c r="U14" s="1285" t="s">
        <v>468</v>
      </c>
      <c r="V14" s="1286"/>
      <c r="W14" s="1282" t="s">
        <v>2</v>
      </c>
      <c r="X14" s="1282" t="s">
        <v>3</v>
      </c>
    </row>
    <row r="15" spans="2:24" ht="16" thickBot="1">
      <c r="B15" s="1281"/>
      <c r="C15" s="1283"/>
      <c r="D15" s="1283"/>
      <c r="E15" s="1283"/>
      <c r="F15" s="1283"/>
      <c r="G15" s="1287"/>
      <c r="H15" s="1288"/>
      <c r="I15" s="1287"/>
      <c r="J15" s="1288"/>
      <c r="K15" s="1283"/>
      <c r="L15" s="1283"/>
      <c r="M15" s="764"/>
      <c r="N15" s="1281"/>
      <c r="O15" s="1283"/>
      <c r="P15" s="1283"/>
      <c r="Q15" s="1283"/>
      <c r="R15" s="1283"/>
      <c r="S15" s="1287"/>
      <c r="T15" s="1288"/>
      <c r="U15" s="1287"/>
      <c r="V15" s="1288"/>
      <c r="W15" s="1283"/>
      <c r="X15" s="1283"/>
    </row>
    <row r="16" spans="2:24" ht="25" thickBot="1">
      <c r="B16" s="947" t="s">
        <v>4</v>
      </c>
      <c r="C16" s="948"/>
      <c r="D16" s="948"/>
      <c r="E16" s="948"/>
      <c r="F16" s="948"/>
      <c r="G16" s="952" t="s">
        <v>469</v>
      </c>
      <c r="H16" s="952" t="s">
        <v>470</v>
      </c>
      <c r="I16" s="952" t="s">
        <v>469</v>
      </c>
      <c r="J16" s="952" t="s">
        <v>470</v>
      </c>
      <c r="K16" s="948"/>
      <c r="L16" s="949"/>
      <c r="M16" s="764"/>
      <c r="N16" s="429" t="s">
        <v>4</v>
      </c>
      <c r="O16" s="430"/>
      <c r="P16" s="430"/>
      <c r="Q16" s="430"/>
      <c r="R16" s="430"/>
      <c r="S16" s="431" t="s">
        <v>469</v>
      </c>
      <c r="T16" s="431" t="s">
        <v>470</v>
      </c>
      <c r="U16" s="431" t="s">
        <v>469</v>
      </c>
      <c r="V16" s="431" t="s">
        <v>470</v>
      </c>
      <c r="W16" s="430"/>
      <c r="X16" s="432"/>
    </row>
    <row r="17" spans="2:24" ht="49" thickBot="1">
      <c r="B17" s="951" t="s">
        <v>5</v>
      </c>
      <c r="C17" s="962">
        <v>6</v>
      </c>
      <c r="D17" s="962">
        <v>5</v>
      </c>
      <c r="E17" s="962">
        <v>4</v>
      </c>
      <c r="F17" s="962">
        <v>4</v>
      </c>
      <c r="G17" s="939">
        <v>4</v>
      </c>
      <c r="H17" s="939">
        <v>8</v>
      </c>
      <c r="I17" s="939">
        <v>4</v>
      </c>
      <c r="J17" s="939">
        <v>8</v>
      </c>
      <c r="K17" s="939" t="s">
        <v>23</v>
      </c>
      <c r="L17" s="939"/>
      <c r="M17" s="449"/>
      <c r="N17" s="803" t="s">
        <v>5</v>
      </c>
      <c r="O17" s="281">
        <v>15</v>
      </c>
      <c r="P17" s="281">
        <v>12</v>
      </c>
      <c r="Q17" s="281">
        <v>10</v>
      </c>
      <c r="R17" s="281">
        <v>10</v>
      </c>
      <c r="S17" s="804">
        <v>10</v>
      </c>
      <c r="T17" s="804">
        <v>15</v>
      </c>
      <c r="U17" s="804">
        <v>8</v>
      </c>
      <c r="V17" s="804">
        <v>12</v>
      </c>
      <c r="W17" s="805"/>
      <c r="X17" s="805"/>
    </row>
    <row r="18" spans="2:24" ht="49" thickBot="1">
      <c r="B18" s="951" t="s">
        <v>77</v>
      </c>
      <c r="C18" s="939" t="s">
        <v>47</v>
      </c>
      <c r="D18" s="939" t="s">
        <v>47</v>
      </c>
      <c r="E18" s="939" t="s">
        <v>47</v>
      </c>
      <c r="F18" s="939" t="s">
        <v>47</v>
      </c>
      <c r="G18" s="939" t="s">
        <v>47</v>
      </c>
      <c r="H18" s="939" t="s">
        <v>47</v>
      </c>
      <c r="I18" s="939" t="s">
        <v>47</v>
      </c>
      <c r="J18" s="939" t="s">
        <v>47</v>
      </c>
      <c r="K18" s="939"/>
      <c r="L18" s="939"/>
      <c r="M18" s="449"/>
      <c r="N18" s="803" t="s">
        <v>77</v>
      </c>
      <c r="O18" s="804" t="s">
        <v>47</v>
      </c>
      <c r="P18" s="804" t="s">
        <v>47</v>
      </c>
      <c r="Q18" s="804" t="s">
        <v>47</v>
      </c>
      <c r="R18" s="804" t="s">
        <v>47</v>
      </c>
      <c r="S18" s="804" t="s">
        <v>47</v>
      </c>
      <c r="T18" s="804" t="s">
        <v>47</v>
      </c>
      <c r="U18" s="804" t="s">
        <v>47</v>
      </c>
      <c r="V18" s="804" t="s">
        <v>47</v>
      </c>
      <c r="W18" s="805"/>
      <c r="X18" s="805"/>
    </row>
    <row r="19" spans="2:24" ht="73" thickBot="1">
      <c r="B19" s="951" t="s">
        <v>7</v>
      </c>
      <c r="C19" s="962">
        <v>40</v>
      </c>
      <c r="D19" s="962">
        <v>40</v>
      </c>
      <c r="E19" s="962">
        <v>40</v>
      </c>
      <c r="F19" s="962">
        <v>40</v>
      </c>
      <c r="G19" s="939">
        <v>20</v>
      </c>
      <c r="H19" s="939">
        <v>60</v>
      </c>
      <c r="I19" s="939">
        <v>20</v>
      </c>
      <c r="J19" s="939">
        <v>60</v>
      </c>
      <c r="K19" s="939" t="s">
        <v>15</v>
      </c>
      <c r="L19" s="939"/>
      <c r="M19" s="449"/>
      <c r="N19" s="803" t="s">
        <v>7</v>
      </c>
      <c r="O19" s="281">
        <v>45</v>
      </c>
      <c r="P19" s="281">
        <v>45</v>
      </c>
      <c r="Q19" s="281">
        <v>45</v>
      </c>
      <c r="R19" s="281">
        <v>45</v>
      </c>
      <c r="S19" s="804">
        <v>20</v>
      </c>
      <c r="T19" s="804">
        <v>70</v>
      </c>
      <c r="U19" s="804">
        <v>20</v>
      </c>
      <c r="V19" s="804">
        <v>70</v>
      </c>
      <c r="W19" s="805" t="s">
        <v>15</v>
      </c>
      <c r="X19" s="805"/>
    </row>
    <row r="20" spans="2:24" ht="73" thickBot="1">
      <c r="B20" s="951" t="s">
        <v>8</v>
      </c>
      <c r="C20" s="939">
        <v>0</v>
      </c>
      <c r="D20" s="939">
        <v>0</v>
      </c>
      <c r="E20" s="939">
        <v>0</v>
      </c>
      <c r="F20" s="939">
        <v>0</v>
      </c>
      <c r="G20" s="939">
        <v>0</v>
      </c>
      <c r="H20" s="939">
        <v>0</v>
      </c>
      <c r="I20" s="939">
        <v>0</v>
      </c>
      <c r="J20" s="939">
        <v>0</v>
      </c>
      <c r="K20" s="939" t="s">
        <v>52</v>
      </c>
      <c r="L20" s="939"/>
      <c r="M20" s="449"/>
      <c r="N20" s="803" t="s">
        <v>8</v>
      </c>
      <c r="O20" s="804">
        <v>20</v>
      </c>
      <c r="P20" s="804">
        <v>20</v>
      </c>
      <c r="Q20" s="804">
        <v>20</v>
      </c>
      <c r="R20" s="804">
        <v>20</v>
      </c>
      <c r="S20" s="804">
        <v>10</v>
      </c>
      <c r="T20" s="804">
        <v>40</v>
      </c>
      <c r="U20" s="804">
        <v>10</v>
      </c>
      <c r="V20" s="804">
        <v>40</v>
      </c>
      <c r="W20" s="805" t="s">
        <v>52</v>
      </c>
      <c r="X20" s="805"/>
    </row>
    <row r="21" spans="2:24" ht="61" thickBot="1">
      <c r="B21" s="951" t="s">
        <v>82</v>
      </c>
      <c r="C21" s="939" t="s">
        <v>47</v>
      </c>
      <c r="D21" s="939" t="s">
        <v>47</v>
      </c>
      <c r="E21" s="939" t="s">
        <v>47</v>
      </c>
      <c r="F21" s="939" t="s">
        <v>47</v>
      </c>
      <c r="G21" s="939" t="s">
        <v>47</v>
      </c>
      <c r="H21" s="939" t="s">
        <v>47</v>
      </c>
      <c r="I21" s="939" t="s">
        <v>47</v>
      </c>
      <c r="J21" s="939" t="s">
        <v>47</v>
      </c>
      <c r="K21" s="939"/>
      <c r="L21" s="939"/>
      <c r="M21" s="449"/>
      <c r="N21" s="803" t="s">
        <v>82</v>
      </c>
      <c r="O21" s="804" t="s">
        <v>47</v>
      </c>
      <c r="P21" s="804" t="s">
        <v>47</v>
      </c>
      <c r="Q21" s="804" t="s">
        <v>47</v>
      </c>
      <c r="R21" s="804" t="s">
        <v>47</v>
      </c>
      <c r="S21" s="804" t="s">
        <v>47</v>
      </c>
      <c r="T21" s="804" t="s">
        <v>47</v>
      </c>
      <c r="U21" s="804" t="s">
        <v>47</v>
      </c>
      <c r="V21" s="804" t="s">
        <v>47</v>
      </c>
      <c r="W21" s="805"/>
      <c r="X21" s="805"/>
    </row>
    <row r="22" spans="2:24" ht="61" thickBot="1">
      <c r="B22" s="951" t="s">
        <v>86</v>
      </c>
      <c r="C22" s="939">
        <v>65</v>
      </c>
      <c r="D22" s="939">
        <v>70</v>
      </c>
      <c r="E22" s="939">
        <v>75</v>
      </c>
      <c r="F22" s="939">
        <v>75</v>
      </c>
      <c r="G22" s="957">
        <v>62.484575860272422</v>
      </c>
      <c r="H22" s="957">
        <v>77.515424139727571</v>
      </c>
      <c r="I22" s="957">
        <v>67.484575860272429</v>
      </c>
      <c r="J22" s="957">
        <v>82.515424139727571</v>
      </c>
      <c r="K22" s="939"/>
      <c r="L22" s="939"/>
      <c r="M22" s="449"/>
      <c r="N22" s="803" t="s">
        <v>86</v>
      </c>
      <c r="O22" s="804">
        <v>65</v>
      </c>
      <c r="P22" s="804">
        <v>70</v>
      </c>
      <c r="Q22" s="804">
        <v>75</v>
      </c>
      <c r="R22" s="804">
        <v>75</v>
      </c>
      <c r="S22" s="454">
        <v>62.484575860272422</v>
      </c>
      <c r="T22" s="454">
        <v>77.515424139727571</v>
      </c>
      <c r="U22" s="454">
        <v>67.484575860272429</v>
      </c>
      <c r="V22" s="454">
        <v>82.515424139727571</v>
      </c>
      <c r="W22" s="805"/>
      <c r="X22" s="805"/>
    </row>
    <row r="23" spans="2:24" ht="61" thickBot="1">
      <c r="B23" s="951" t="s">
        <v>9</v>
      </c>
      <c r="C23" s="939">
        <v>65</v>
      </c>
      <c r="D23" s="939">
        <v>70</v>
      </c>
      <c r="E23" s="939">
        <v>75</v>
      </c>
      <c r="F23" s="939">
        <v>75</v>
      </c>
      <c r="G23" s="957">
        <v>62.484575860272422</v>
      </c>
      <c r="H23" s="957">
        <v>77.515424139727571</v>
      </c>
      <c r="I23" s="957">
        <v>67.484575860272429</v>
      </c>
      <c r="J23" s="957">
        <v>82.515424139727571</v>
      </c>
      <c r="K23" s="939"/>
      <c r="L23" s="939"/>
      <c r="M23" s="449"/>
      <c r="N23" s="803" t="s">
        <v>9</v>
      </c>
      <c r="O23" s="804">
        <v>65</v>
      </c>
      <c r="P23" s="804">
        <v>70</v>
      </c>
      <c r="Q23" s="804">
        <v>75</v>
      </c>
      <c r="R23" s="804">
        <v>75</v>
      </c>
      <c r="S23" s="454">
        <v>62.484575860272422</v>
      </c>
      <c r="T23" s="454">
        <v>77.515424139727571</v>
      </c>
      <c r="U23" s="454">
        <v>67.484575860272429</v>
      </c>
      <c r="V23" s="454">
        <v>82.515424139727571</v>
      </c>
      <c r="W23" s="805"/>
      <c r="X23" s="805"/>
    </row>
    <row r="24" spans="2:24" ht="49" thickBot="1">
      <c r="B24" s="951" t="s">
        <v>472</v>
      </c>
      <c r="C24" s="939">
        <v>0</v>
      </c>
      <c r="D24" s="939">
        <v>0</v>
      </c>
      <c r="E24" s="939">
        <v>0</v>
      </c>
      <c r="F24" s="939">
        <v>0</v>
      </c>
      <c r="G24" s="939">
        <v>0</v>
      </c>
      <c r="H24" s="939">
        <v>0</v>
      </c>
      <c r="I24" s="939">
        <v>0</v>
      </c>
      <c r="J24" s="939">
        <v>0</v>
      </c>
      <c r="K24" s="939"/>
      <c r="L24" s="939"/>
      <c r="M24" s="449"/>
      <c r="N24" s="803" t="s">
        <v>472</v>
      </c>
      <c r="O24" s="804">
        <v>0</v>
      </c>
      <c r="P24" s="804">
        <v>0</v>
      </c>
      <c r="Q24" s="804">
        <v>0</v>
      </c>
      <c r="R24" s="804">
        <v>0</v>
      </c>
      <c r="S24" s="804">
        <v>0</v>
      </c>
      <c r="T24" s="804">
        <v>0</v>
      </c>
      <c r="U24" s="804">
        <v>0</v>
      </c>
      <c r="V24" s="804">
        <v>0</v>
      </c>
      <c r="W24" s="805"/>
      <c r="X24" s="805"/>
    </row>
    <row r="25" spans="2:24" ht="37" thickBot="1">
      <c r="B25" s="963" t="s">
        <v>10</v>
      </c>
      <c r="C25" s="939">
        <v>20</v>
      </c>
      <c r="D25" s="959">
        <v>20</v>
      </c>
      <c r="E25" s="959">
        <v>20</v>
      </c>
      <c r="F25" s="959">
        <v>20</v>
      </c>
      <c r="G25" s="959">
        <v>15</v>
      </c>
      <c r="H25" s="959">
        <v>25</v>
      </c>
      <c r="I25" s="959">
        <v>15</v>
      </c>
      <c r="J25" s="959">
        <v>25</v>
      </c>
      <c r="K25" s="959"/>
      <c r="L25" s="959">
        <v>2</v>
      </c>
      <c r="M25" s="389"/>
      <c r="N25" s="532" t="s">
        <v>10</v>
      </c>
      <c r="O25" s="531">
        <v>20</v>
      </c>
      <c r="P25" s="531">
        <v>20</v>
      </c>
      <c r="Q25" s="531">
        <v>20</v>
      </c>
      <c r="R25" s="531">
        <v>20</v>
      </c>
      <c r="S25" s="531">
        <v>15</v>
      </c>
      <c r="T25" s="531">
        <v>25</v>
      </c>
      <c r="U25" s="531">
        <v>15</v>
      </c>
      <c r="V25" s="531">
        <v>25</v>
      </c>
      <c r="W25" s="809"/>
      <c r="X25" s="809">
        <v>2</v>
      </c>
    </row>
    <row r="26" spans="2:24" ht="25" thickBot="1">
      <c r="B26" s="947" t="s">
        <v>488</v>
      </c>
      <c r="C26" s="937"/>
      <c r="D26" s="937"/>
      <c r="E26" s="937"/>
      <c r="F26" s="937"/>
      <c r="G26" s="937"/>
      <c r="H26" s="937"/>
      <c r="I26" s="937"/>
      <c r="J26" s="937"/>
      <c r="K26" s="937"/>
      <c r="L26" s="939"/>
      <c r="M26" s="449"/>
      <c r="N26" s="415" t="s">
        <v>488</v>
      </c>
      <c r="O26" s="808"/>
      <c r="P26" s="808"/>
      <c r="Q26" s="808"/>
      <c r="R26" s="808"/>
      <c r="S26" s="808"/>
      <c r="T26" s="808"/>
      <c r="U26" s="808"/>
      <c r="V26" s="808"/>
      <c r="W26" s="402"/>
      <c r="X26" s="805"/>
    </row>
    <row r="27" spans="2:24" ht="49" thickBot="1">
      <c r="B27" s="951" t="s">
        <v>489</v>
      </c>
      <c r="C27" s="939" t="s">
        <v>47</v>
      </c>
      <c r="D27" s="939" t="s">
        <v>47</v>
      </c>
      <c r="E27" s="939" t="s">
        <v>47</v>
      </c>
      <c r="F27" s="939" t="s">
        <v>47</v>
      </c>
      <c r="G27" s="939" t="s">
        <v>47</v>
      </c>
      <c r="H27" s="939" t="s">
        <v>47</v>
      </c>
      <c r="I27" s="939" t="s">
        <v>47</v>
      </c>
      <c r="J27" s="939" t="s">
        <v>47</v>
      </c>
      <c r="K27" s="939"/>
      <c r="L27" s="939"/>
      <c r="M27" s="449"/>
      <c r="N27" s="803" t="s">
        <v>489</v>
      </c>
      <c r="O27" s="804" t="s">
        <v>47</v>
      </c>
      <c r="P27" s="804" t="s">
        <v>47</v>
      </c>
      <c r="Q27" s="804" t="s">
        <v>47</v>
      </c>
      <c r="R27" s="804" t="s">
        <v>47</v>
      </c>
      <c r="S27" s="804" t="s">
        <v>47</v>
      </c>
      <c r="T27" s="804" t="s">
        <v>47</v>
      </c>
      <c r="U27" s="804" t="s">
        <v>47</v>
      </c>
      <c r="V27" s="804" t="s">
        <v>47</v>
      </c>
      <c r="W27" s="403"/>
      <c r="X27" s="403"/>
    </row>
    <row r="28" spans="2:24" ht="37" thickBot="1">
      <c r="B28" s="951" t="s">
        <v>490</v>
      </c>
      <c r="C28" s="939" t="s">
        <v>47</v>
      </c>
      <c r="D28" s="939" t="s">
        <v>47</v>
      </c>
      <c r="E28" s="939" t="s">
        <v>47</v>
      </c>
      <c r="F28" s="939" t="s">
        <v>47</v>
      </c>
      <c r="G28" s="939" t="s">
        <v>47</v>
      </c>
      <c r="H28" s="939" t="s">
        <v>47</v>
      </c>
      <c r="I28" s="939" t="s">
        <v>47</v>
      </c>
      <c r="J28" s="939" t="s">
        <v>47</v>
      </c>
      <c r="K28" s="939"/>
      <c r="L28" s="939"/>
      <c r="M28" s="449"/>
      <c r="N28" s="803" t="s">
        <v>490</v>
      </c>
      <c r="O28" s="804" t="s">
        <v>47</v>
      </c>
      <c r="P28" s="804" t="s">
        <v>47</v>
      </c>
      <c r="Q28" s="804" t="s">
        <v>47</v>
      </c>
      <c r="R28" s="804" t="s">
        <v>47</v>
      </c>
      <c r="S28" s="804" t="s">
        <v>47</v>
      </c>
      <c r="T28" s="804" t="s">
        <v>47</v>
      </c>
      <c r="U28" s="804" t="s">
        <v>47</v>
      </c>
      <c r="V28" s="804" t="s">
        <v>47</v>
      </c>
      <c r="W28" s="403"/>
      <c r="X28" s="403"/>
    </row>
    <row r="29" spans="2:24" ht="37" thickBot="1">
      <c r="B29" s="951" t="s">
        <v>491</v>
      </c>
      <c r="C29" s="939" t="s">
        <v>47</v>
      </c>
      <c r="D29" s="939" t="s">
        <v>47</v>
      </c>
      <c r="E29" s="939" t="s">
        <v>47</v>
      </c>
      <c r="F29" s="939" t="s">
        <v>47</v>
      </c>
      <c r="G29" s="939" t="s">
        <v>47</v>
      </c>
      <c r="H29" s="939" t="s">
        <v>47</v>
      </c>
      <c r="I29" s="939" t="s">
        <v>47</v>
      </c>
      <c r="J29" s="939" t="s">
        <v>47</v>
      </c>
      <c r="K29" s="939"/>
      <c r="L29" s="939"/>
      <c r="M29" s="449"/>
      <c r="N29" s="803" t="s">
        <v>491</v>
      </c>
      <c r="O29" s="804" t="s">
        <v>47</v>
      </c>
      <c r="P29" s="804" t="s">
        <v>47</v>
      </c>
      <c r="Q29" s="804" t="s">
        <v>47</v>
      </c>
      <c r="R29" s="804" t="s">
        <v>47</v>
      </c>
      <c r="S29" s="804" t="s">
        <v>47</v>
      </c>
      <c r="T29" s="804" t="s">
        <v>47</v>
      </c>
      <c r="U29" s="804" t="s">
        <v>47</v>
      </c>
      <c r="V29" s="804" t="s">
        <v>47</v>
      </c>
      <c r="W29" s="403"/>
      <c r="X29" s="403"/>
    </row>
    <row r="30" spans="2:24" ht="37" thickBot="1">
      <c r="B30" s="951" t="s">
        <v>492</v>
      </c>
      <c r="C30" s="939" t="s">
        <v>47</v>
      </c>
      <c r="D30" s="939" t="s">
        <v>47</v>
      </c>
      <c r="E30" s="939" t="s">
        <v>47</v>
      </c>
      <c r="F30" s="939" t="s">
        <v>47</v>
      </c>
      <c r="G30" s="939" t="s">
        <v>47</v>
      </c>
      <c r="H30" s="939" t="s">
        <v>47</v>
      </c>
      <c r="I30" s="939" t="s">
        <v>47</v>
      </c>
      <c r="J30" s="939" t="s">
        <v>47</v>
      </c>
      <c r="K30" s="939"/>
      <c r="L30" s="939"/>
      <c r="M30" s="449"/>
      <c r="N30" s="803" t="s">
        <v>492</v>
      </c>
      <c r="O30" s="804" t="s">
        <v>47</v>
      </c>
      <c r="P30" s="804" t="s">
        <v>47</v>
      </c>
      <c r="Q30" s="804" t="s">
        <v>47</v>
      </c>
      <c r="R30" s="804" t="s">
        <v>47</v>
      </c>
      <c r="S30" s="804" t="s">
        <v>47</v>
      </c>
      <c r="T30" s="804" t="s">
        <v>47</v>
      </c>
      <c r="U30" s="804" t="s">
        <v>47</v>
      </c>
      <c r="V30" s="804" t="s">
        <v>47</v>
      </c>
      <c r="W30" s="403"/>
      <c r="X30" s="403"/>
    </row>
    <row r="31" spans="2:24" ht="25" thickBot="1">
      <c r="B31" s="951" t="s">
        <v>493</v>
      </c>
      <c r="C31" s="939" t="s">
        <v>47</v>
      </c>
      <c r="D31" s="939" t="s">
        <v>47</v>
      </c>
      <c r="E31" s="939" t="s">
        <v>47</v>
      </c>
      <c r="F31" s="939" t="s">
        <v>47</v>
      </c>
      <c r="G31" s="939" t="s">
        <v>47</v>
      </c>
      <c r="H31" s="939" t="s">
        <v>47</v>
      </c>
      <c r="I31" s="939" t="s">
        <v>47</v>
      </c>
      <c r="J31" s="939" t="s">
        <v>47</v>
      </c>
      <c r="K31" s="939"/>
      <c r="L31" s="939"/>
      <c r="M31" s="449"/>
      <c r="N31" s="803" t="s">
        <v>493</v>
      </c>
      <c r="O31" s="804" t="s">
        <v>47</v>
      </c>
      <c r="P31" s="804" t="s">
        <v>47</v>
      </c>
      <c r="Q31" s="804" t="s">
        <v>47</v>
      </c>
      <c r="R31" s="804" t="s">
        <v>47</v>
      </c>
      <c r="S31" s="804" t="s">
        <v>47</v>
      </c>
      <c r="T31" s="804" t="s">
        <v>47</v>
      </c>
      <c r="U31" s="804" t="s">
        <v>47</v>
      </c>
      <c r="V31" s="804" t="s">
        <v>47</v>
      </c>
      <c r="W31" s="403"/>
      <c r="X31" s="403"/>
    </row>
    <row r="32" spans="2:24" ht="16" thickBot="1">
      <c r="B32" s="947" t="s">
        <v>11</v>
      </c>
      <c r="C32" s="936"/>
      <c r="D32" s="936"/>
      <c r="E32" s="936"/>
      <c r="F32" s="936"/>
      <c r="G32" s="936"/>
      <c r="H32" s="936"/>
      <c r="I32" s="936"/>
      <c r="J32" s="936"/>
      <c r="K32" s="936"/>
      <c r="L32" s="938"/>
      <c r="M32" s="449"/>
      <c r="N32" s="415" t="s">
        <v>11</v>
      </c>
      <c r="O32" s="445"/>
      <c r="P32" s="445"/>
      <c r="Q32" s="445"/>
      <c r="R32" s="445"/>
      <c r="S32" s="445"/>
      <c r="T32" s="445"/>
      <c r="U32" s="445"/>
      <c r="V32" s="445"/>
      <c r="W32" s="430"/>
      <c r="X32" s="432"/>
    </row>
    <row r="33" spans="2:24" ht="25" thickBot="1">
      <c r="B33" s="951" t="s">
        <v>474</v>
      </c>
      <c r="C33" s="939">
        <v>25</v>
      </c>
      <c r="D33" s="939">
        <v>25</v>
      </c>
      <c r="E33" s="939">
        <v>25</v>
      </c>
      <c r="F33" s="939">
        <v>25</v>
      </c>
      <c r="G33" s="964">
        <v>17.898591688967603</v>
      </c>
      <c r="H33" s="965">
        <v>32.101408311032401</v>
      </c>
      <c r="I33" s="965">
        <v>17.898591688967603</v>
      </c>
      <c r="J33" s="965">
        <v>32.101408311032401</v>
      </c>
      <c r="K33" s="939"/>
      <c r="L33" s="939">
        <v>3</v>
      </c>
      <c r="M33" s="449"/>
      <c r="N33" s="803" t="s">
        <v>494</v>
      </c>
      <c r="O33" s="804">
        <v>25</v>
      </c>
      <c r="P33" s="804">
        <v>25</v>
      </c>
      <c r="Q33" s="804">
        <v>25</v>
      </c>
      <c r="R33" s="804">
        <v>25</v>
      </c>
      <c r="S33" s="283">
        <v>17.898591688967603</v>
      </c>
      <c r="T33" s="284">
        <v>32.101408311032401</v>
      </c>
      <c r="U33" s="284">
        <v>17.898591688967603</v>
      </c>
      <c r="V33" s="284">
        <v>32.101408311032401</v>
      </c>
      <c r="W33" s="805"/>
      <c r="X33" s="805">
        <v>3</v>
      </c>
    </row>
    <row r="34" spans="2:24" ht="25" thickBot="1">
      <c r="B34" s="951" t="s">
        <v>475</v>
      </c>
      <c r="C34" s="939">
        <v>90</v>
      </c>
      <c r="D34" s="939">
        <v>90</v>
      </c>
      <c r="E34" s="939">
        <v>90</v>
      </c>
      <c r="F34" s="939">
        <v>90</v>
      </c>
      <c r="G34" s="965">
        <v>85.08</v>
      </c>
      <c r="H34" s="965">
        <v>120</v>
      </c>
      <c r="I34" s="965">
        <v>85.08</v>
      </c>
      <c r="J34" s="965">
        <v>120</v>
      </c>
      <c r="K34" s="939"/>
      <c r="L34" s="939"/>
      <c r="M34" s="449"/>
      <c r="N34" s="803" t="s">
        <v>495</v>
      </c>
      <c r="O34" s="804">
        <v>90</v>
      </c>
      <c r="P34" s="804">
        <v>90</v>
      </c>
      <c r="Q34" s="804">
        <v>90</v>
      </c>
      <c r="R34" s="804">
        <v>90</v>
      </c>
      <c r="S34" s="284">
        <v>85.08</v>
      </c>
      <c r="T34" s="284">
        <v>120</v>
      </c>
      <c r="U34" s="284">
        <v>85.08</v>
      </c>
      <c r="V34" s="284">
        <v>120</v>
      </c>
      <c r="W34" s="805"/>
      <c r="X34" s="805"/>
    </row>
    <row r="35" spans="2:24" ht="25" thickBot="1">
      <c r="B35" s="951" t="s">
        <v>476</v>
      </c>
      <c r="C35" s="939">
        <v>320</v>
      </c>
      <c r="D35" s="939">
        <v>125</v>
      </c>
      <c r="E35" s="939">
        <v>100</v>
      </c>
      <c r="F35" s="939">
        <v>100</v>
      </c>
      <c r="G35" s="939">
        <v>100</v>
      </c>
      <c r="H35" s="939">
        <v>300</v>
      </c>
      <c r="I35" s="939">
        <v>50</v>
      </c>
      <c r="J35" s="939">
        <v>200</v>
      </c>
      <c r="K35" s="939"/>
      <c r="L35" s="953">
        <v>1.3</v>
      </c>
      <c r="M35" s="449"/>
      <c r="N35" s="803" t="s">
        <v>496</v>
      </c>
      <c r="O35" s="804">
        <v>320</v>
      </c>
      <c r="P35" s="804">
        <v>125</v>
      </c>
      <c r="Q35" s="804">
        <v>100</v>
      </c>
      <c r="R35" s="804">
        <v>100</v>
      </c>
      <c r="S35" s="804">
        <v>100</v>
      </c>
      <c r="T35" s="804">
        <v>300</v>
      </c>
      <c r="U35" s="804">
        <v>50</v>
      </c>
      <c r="V35" s="804">
        <v>200</v>
      </c>
      <c r="W35" s="805"/>
      <c r="X35" s="805" t="s">
        <v>516</v>
      </c>
    </row>
    <row r="36" spans="2:24" ht="25" thickBot="1">
      <c r="B36" s="951" t="s">
        <v>477</v>
      </c>
      <c r="C36" s="939">
        <v>4</v>
      </c>
      <c r="D36" s="939">
        <v>4</v>
      </c>
      <c r="E36" s="939">
        <v>4</v>
      </c>
      <c r="F36" s="939">
        <v>4</v>
      </c>
      <c r="G36" s="964">
        <v>0.78626945746847055</v>
      </c>
      <c r="H36" s="965">
        <v>7.213730542531529</v>
      </c>
      <c r="I36" s="965">
        <v>0.78626945746847055</v>
      </c>
      <c r="J36" s="965">
        <v>7.213730542531529</v>
      </c>
      <c r="K36" s="939"/>
      <c r="L36" s="939">
        <v>3</v>
      </c>
      <c r="M36" s="449"/>
      <c r="N36" s="803" t="s">
        <v>497</v>
      </c>
      <c r="O36" s="804">
        <v>4</v>
      </c>
      <c r="P36" s="804">
        <v>4</v>
      </c>
      <c r="Q36" s="804">
        <v>4</v>
      </c>
      <c r="R36" s="804">
        <v>4</v>
      </c>
      <c r="S36" s="283">
        <v>0.78626945746847055</v>
      </c>
      <c r="T36" s="284">
        <v>7.213730542531529</v>
      </c>
      <c r="U36" s="284">
        <v>0.78626945746847055</v>
      </c>
      <c r="V36" s="284">
        <v>7.213730542531529</v>
      </c>
      <c r="W36" s="805"/>
      <c r="X36" s="805">
        <v>3</v>
      </c>
    </row>
    <row r="37" spans="2:24" ht="25" thickBot="1">
      <c r="B37" s="951" t="s">
        <v>18</v>
      </c>
      <c r="C37" s="939">
        <v>50</v>
      </c>
      <c r="D37" s="939">
        <v>40</v>
      </c>
      <c r="E37" s="939">
        <v>30</v>
      </c>
      <c r="F37" s="939">
        <v>25</v>
      </c>
      <c r="G37" s="939">
        <v>25</v>
      </c>
      <c r="H37" s="939">
        <v>250</v>
      </c>
      <c r="I37" s="939">
        <v>15</v>
      </c>
      <c r="J37" s="939">
        <v>200</v>
      </c>
      <c r="K37" s="939" t="s">
        <v>6</v>
      </c>
      <c r="L37" s="939">
        <v>1</v>
      </c>
      <c r="M37" s="449"/>
      <c r="N37" s="803" t="s">
        <v>18</v>
      </c>
      <c r="O37" s="804">
        <v>50</v>
      </c>
      <c r="P37" s="804">
        <v>40</v>
      </c>
      <c r="Q37" s="804">
        <v>30</v>
      </c>
      <c r="R37" s="804">
        <v>25</v>
      </c>
      <c r="S37" s="804">
        <v>25</v>
      </c>
      <c r="T37" s="804">
        <v>150</v>
      </c>
      <c r="U37" s="804">
        <v>15</v>
      </c>
      <c r="V37" s="804">
        <v>100</v>
      </c>
      <c r="W37" s="805" t="s">
        <v>6</v>
      </c>
      <c r="X37" s="805">
        <v>1</v>
      </c>
    </row>
    <row r="38" spans="2:24" ht="25" thickBot="1">
      <c r="B38" s="947" t="s">
        <v>20</v>
      </c>
      <c r="C38" s="935"/>
      <c r="D38" s="936"/>
      <c r="E38" s="936"/>
      <c r="F38" s="936"/>
      <c r="G38" s="936"/>
      <c r="H38" s="936"/>
      <c r="I38" s="936"/>
      <c r="J38" s="936"/>
      <c r="K38" s="936"/>
      <c r="L38" s="938"/>
      <c r="M38" s="449"/>
      <c r="N38" s="415" t="s">
        <v>20</v>
      </c>
      <c r="O38" s="445"/>
      <c r="P38" s="445"/>
      <c r="Q38" s="445"/>
      <c r="R38" s="445"/>
      <c r="S38" s="445"/>
      <c r="T38" s="445"/>
      <c r="U38" s="445"/>
      <c r="V38" s="445"/>
      <c r="W38" s="430"/>
      <c r="X38" s="432"/>
    </row>
    <row r="39" spans="2:24" ht="36">
      <c r="B39" s="972" t="s">
        <v>22</v>
      </c>
      <c r="C39" s="973">
        <v>2.5</v>
      </c>
      <c r="D39" s="974">
        <v>2.5</v>
      </c>
      <c r="E39" s="954">
        <v>3.5</v>
      </c>
      <c r="F39" s="974">
        <v>3.1</v>
      </c>
      <c r="G39" s="975">
        <v>2</v>
      </c>
      <c r="H39" s="954">
        <v>3</v>
      </c>
      <c r="I39" s="954">
        <v>2.5</v>
      </c>
      <c r="J39" s="943">
        <v>4</v>
      </c>
      <c r="K39" s="942" t="s">
        <v>19</v>
      </c>
      <c r="L39" s="942">
        <v>2</v>
      </c>
      <c r="M39" s="449"/>
      <c r="N39" s="526" t="s">
        <v>22</v>
      </c>
      <c r="O39" s="807">
        <v>4</v>
      </c>
      <c r="P39" s="807">
        <v>4</v>
      </c>
      <c r="Q39" s="807">
        <v>4.5</v>
      </c>
      <c r="R39" s="807">
        <v>4.5</v>
      </c>
      <c r="S39" s="807">
        <v>3</v>
      </c>
      <c r="T39" s="807">
        <v>5</v>
      </c>
      <c r="U39" s="807">
        <v>4</v>
      </c>
      <c r="V39" s="807">
        <v>5.5</v>
      </c>
      <c r="W39" s="514" t="s">
        <v>19</v>
      </c>
      <c r="X39" s="514">
        <v>2</v>
      </c>
    </row>
    <row r="40" spans="2:24" ht="15" customHeight="1">
      <c r="B40" s="976" t="s">
        <v>24</v>
      </c>
      <c r="C40" s="958">
        <v>100</v>
      </c>
      <c r="D40" s="941">
        <v>100</v>
      </c>
      <c r="E40" s="958">
        <v>100</v>
      </c>
      <c r="F40" s="941">
        <v>100</v>
      </c>
      <c r="G40" s="977">
        <v>100</v>
      </c>
      <c r="H40" s="958">
        <v>100</v>
      </c>
      <c r="I40" s="958">
        <v>100</v>
      </c>
      <c r="J40" s="940">
        <v>100</v>
      </c>
      <c r="K40" s="940"/>
      <c r="L40" s="940">
        <v>2</v>
      </c>
      <c r="M40" s="389"/>
      <c r="N40" s="530" t="s">
        <v>24</v>
      </c>
      <c r="O40" s="442">
        <v>85</v>
      </c>
      <c r="P40" s="442">
        <v>85</v>
      </c>
      <c r="Q40" s="442">
        <v>85</v>
      </c>
      <c r="R40" s="442">
        <v>85</v>
      </c>
      <c r="S40" s="442">
        <v>85</v>
      </c>
      <c r="T40" s="442">
        <v>85</v>
      </c>
      <c r="U40" s="442">
        <v>85</v>
      </c>
      <c r="V40" s="442">
        <v>85</v>
      </c>
      <c r="W40" s="811"/>
      <c r="X40" s="811">
        <v>2</v>
      </c>
    </row>
    <row r="41" spans="2:24" ht="15.75" customHeight="1" thickBot="1">
      <c r="B41" s="978" t="s">
        <v>26</v>
      </c>
      <c r="C41" s="960">
        <v>0</v>
      </c>
      <c r="D41" s="971">
        <v>0</v>
      </c>
      <c r="E41" s="960">
        <v>0</v>
      </c>
      <c r="F41" s="971">
        <v>0</v>
      </c>
      <c r="G41" s="961">
        <v>0</v>
      </c>
      <c r="H41" s="960">
        <v>0</v>
      </c>
      <c r="I41" s="960">
        <v>0</v>
      </c>
      <c r="J41" s="959">
        <v>0</v>
      </c>
      <c r="K41" s="959"/>
      <c r="L41" s="959">
        <v>2</v>
      </c>
      <c r="M41" s="389"/>
      <c r="N41" s="532" t="s">
        <v>26</v>
      </c>
      <c r="O41" s="463">
        <v>15</v>
      </c>
      <c r="P41" s="533">
        <v>15</v>
      </c>
      <c r="Q41" s="463">
        <v>15</v>
      </c>
      <c r="R41" s="463">
        <v>15</v>
      </c>
      <c r="S41" s="463">
        <v>15</v>
      </c>
      <c r="T41" s="463">
        <v>15</v>
      </c>
      <c r="U41" s="463">
        <v>15</v>
      </c>
      <c r="V41" s="463">
        <v>15</v>
      </c>
      <c r="W41" s="809"/>
      <c r="X41" s="809">
        <v>2</v>
      </c>
    </row>
    <row r="42" spans="2:24" ht="61" thickBot="1">
      <c r="B42" s="951" t="s">
        <v>832</v>
      </c>
      <c r="C42" s="966">
        <v>1.6</v>
      </c>
      <c r="D42" s="967">
        <v>1.5603980049950001</v>
      </c>
      <c r="E42" s="979">
        <v>1.4841103501093249</v>
      </c>
      <c r="F42" s="979">
        <v>1.3425417765929275</v>
      </c>
      <c r="G42" s="967">
        <v>1.5</v>
      </c>
      <c r="H42" s="946">
        <v>2</v>
      </c>
      <c r="I42" s="967">
        <v>1.2</v>
      </c>
      <c r="J42" s="946">
        <v>1.8</v>
      </c>
      <c r="K42" s="939" t="s">
        <v>732</v>
      </c>
      <c r="L42" s="939"/>
      <c r="M42" s="449"/>
      <c r="N42" s="803" t="s">
        <v>28</v>
      </c>
      <c r="O42" s="275">
        <v>1.6</v>
      </c>
      <c r="P42" s="276">
        <v>1.5603980049950001</v>
      </c>
      <c r="Q42" s="211">
        <v>1.4841103501093249</v>
      </c>
      <c r="R42" s="211">
        <v>1.3425417765929275</v>
      </c>
      <c r="S42" s="276">
        <v>1.5</v>
      </c>
      <c r="T42" s="528">
        <v>2</v>
      </c>
      <c r="U42" s="276">
        <v>1.2</v>
      </c>
      <c r="V42" s="528">
        <v>1.8</v>
      </c>
      <c r="W42" s="805" t="s">
        <v>732</v>
      </c>
      <c r="X42" s="805"/>
    </row>
    <row r="43" spans="2:24" ht="25" thickBot="1">
      <c r="B43" s="968" t="s">
        <v>44</v>
      </c>
      <c r="C43" s="955">
        <v>150</v>
      </c>
      <c r="D43" s="955">
        <v>145</v>
      </c>
      <c r="E43" s="955">
        <v>200</v>
      </c>
      <c r="F43" s="955">
        <v>190</v>
      </c>
      <c r="G43" s="955">
        <v>150</v>
      </c>
      <c r="H43" s="955">
        <v>250</v>
      </c>
      <c r="I43" s="955">
        <v>150</v>
      </c>
      <c r="J43" s="955">
        <v>250</v>
      </c>
      <c r="K43" s="954"/>
      <c r="L43" s="954"/>
      <c r="M43" s="389"/>
      <c r="N43" s="532" t="s">
        <v>44</v>
      </c>
      <c r="O43" s="531">
        <v>100</v>
      </c>
      <c r="P43" s="531">
        <v>100</v>
      </c>
      <c r="Q43" s="531">
        <v>100</v>
      </c>
      <c r="R43" s="531">
        <v>100</v>
      </c>
      <c r="S43" s="531">
        <v>80</v>
      </c>
      <c r="T43" s="531">
        <v>120</v>
      </c>
      <c r="U43" s="531">
        <v>80</v>
      </c>
      <c r="V43" s="531">
        <v>120</v>
      </c>
      <c r="W43" s="809"/>
      <c r="X43" s="809"/>
    </row>
    <row r="44" spans="2:24" ht="25" thickBot="1">
      <c r="B44" s="969" t="s">
        <v>479</v>
      </c>
      <c r="C44" s="944">
        <v>0</v>
      </c>
      <c r="D44" s="944">
        <v>0</v>
      </c>
      <c r="E44" s="944">
        <v>0</v>
      </c>
      <c r="F44" s="944">
        <v>0</v>
      </c>
      <c r="G44" s="944">
        <v>0</v>
      </c>
      <c r="H44" s="944">
        <v>0</v>
      </c>
      <c r="I44" s="944">
        <v>0</v>
      </c>
      <c r="J44" s="944">
        <v>0</v>
      </c>
      <c r="K44" s="945"/>
      <c r="L44" s="945"/>
      <c r="M44" s="449"/>
      <c r="N44" s="803" t="s">
        <v>482</v>
      </c>
      <c r="O44" s="804">
        <v>0</v>
      </c>
      <c r="P44" s="804">
        <v>0</v>
      </c>
      <c r="Q44" s="804">
        <v>0</v>
      </c>
      <c r="R44" s="804">
        <v>0</v>
      </c>
      <c r="S44" s="804">
        <v>0</v>
      </c>
      <c r="T44" s="804">
        <v>0</v>
      </c>
      <c r="U44" s="804">
        <v>0</v>
      </c>
      <c r="V44" s="804">
        <v>0</v>
      </c>
      <c r="W44" s="805"/>
      <c r="X44" s="805"/>
    </row>
    <row r="45" spans="2:24" s="821" customFormat="1" ht="16" thickBot="1">
      <c r="B45" s="970" t="s">
        <v>480</v>
      </c>
      <c r="C45" s="960">
        <v>150</v>
      </c>
      <c r="D45" s="956">
        <v>145</v>
      </c>
      <c r="E45" s="956">
        <v>200</v>
      </c>
      <c r="F45" s="956">
        <v>190</v>
      </c>
      <c r="G45" s="960">
        <v>150</v>
      </c>
      <c r="H45" s="971">
        <v>250</v>
      </c>
      <c r="I45" s="960">
        <v>150</v>
      </c>
      <c r="J45" s="971">
        <v>250</v>
      </c>
      <c r="K45" s="960" t="s">
        <v>19</v>
      </c>
      <c r="L45" s="960">
        <v>6</v>
      </c>
      <c r="M45" s="449"/>
      <c r="N45" s="287"/>
      <c r="O45" s="867"/>
      <c r="P45" s="867"/>
      <c r="Q45" s="867"/>
      <c r="R45" s="867"/>
      <c r="S45" s="867"/>
      <c r="T45" s="867"/>
      <c r="U45" s="867"/>
      <c r="V45" s="867"/>
      <c r="W45" s="402"/>
      <c r="X45" s="866"/>
    </row>
    <row r="46" spans="2:24" s="821" customFormat="1" ht="16" thickBot="1">
      <c r="B46" s="951" t="s">
        <v>482</v>
      </c>
      <c r="C46" s="939">
        <v>0</v>
      </c>
      <c r="D46" s="939">
        <v>0</v>
      </c>
      <c r="E46" s="939">
        <v>0</v>
      </c>
      <c r="F46" s="939">
        <v>0</v>
      </c>
      <c r="G46" s="939">
        <v>0</v>
      </c>
      <c r="H46" s="939">
        <v>0</v>
      </c>
      <c r="I46" s="939">
        <v>0</v>
      </c>
      <c r="J46" s="939">
        <v>0</v>
      </c>
      <c r="K46" s="939"/>
      <c r="L46" s="939"/>
      <c r="M46" s="449"/>
      <c r="N46" s="287"/>
      <c r="O46" s="867"/>
      <c r="P46" s="867"/>
      <c r="Q46" s="867"/>
      <c r="R46" s="867"/>
      <c r="S46" s="867"/>
      <c r="T46" s="867"/>
      <c r="U46" s="867"/>
      <c r="V46" s="867"/>
      <c r="W46" s="402"/>
      <c r="X46" s="866"/>
    </row>
    <row r="47" spans="2:24" s="821" customFormat="1" ht="16" thickBot="1">
      <c r="B47" s="868"/>
      <c r="C47" s="867"/>
      <c r="D47" s="867"/>
      <c r="E47" s="867"/>
      <c r="F47" s="867"/>
      <c r="G47" s="867"/>
      <c r="H47" s="867"/>
      <c r="I47" s="867"/>
      <c r="J47" s="867"/>
      <c r="K47" s="867"/>
      <c r="L47" s="865"/>
      <c r="M47" s="449"/>
      <c r="N47" s="287"/>
      <c r="O47" s="867"/>
      <c r="P47" s="867"/>
      <c r="Q47" s="867"/>
      <c r="R47" s="867"/>
      <c r="S47" s="867"/>
      <c r="T47" s="867"/>
      <c r="U47" s="867"/>
      <c r="V47" s="867"/>
      <c r="W47" s="402"/>
      <c r="X47" s="866"/>
    </row>
    <row r="48" spans="2:24" ht="25" thickBot="1">
      <c r="B48" s="429" t="s">
        <v>499</v>
      </c>
      <c r="C48" s="430"/>
      <c r="D48" s="430"/>
      <c r="E48" s="430"/>
      <c r="F48" s="430"/>
      <c r="G48" s="430"/>
      <c r="H48" s="430"/>
      <c r="I48" s="430"/>
      <c r="J48" s="430"/>
      <c r="K48" s="430"/>
      <c r="L48" s="432"/>
      <c r="M48" s="764"/>
      <c r="N48" s="429" t="s">
        <v>499</v>
      </c>
      <c r="O48" s="430"/>
      <c r="P48" s="430"/>
      <c r="Q48" s="430"/>
      <c r="R48" s="430"/>
      <c r="S48" s="430"/>
      <c r="T48" s="430"/>
      <c r="U48" s="430"/>
      <c r="V48" s="430"/>
      <c r="W48" s="430"/>
      <c r="X48" s="432"/>
    </row>
    <row r="49" spans="2:24" ht="15.75" customHeight="1" thickBot="1">
      <c r="B49" s="806" t="s">
        <v>503</v>
      </c>
      <c r="C49" s="540">
        <f>C39/C$17*Euro</f>
        <v>3.104166666666667</v>
      </c>
      <c r="D49" s="540">
        <f>D39/D$17*Euro</f>
        <v>3.7250000000000001</v>
      </c>
      <c r="E49" s="540">
        <f>E39/E$17*Euro</f>
        <v>6.5187499999999998</v>
      </c>
      <c r="F49" s="540">
        <f>F39/F$17*Euro</f>
        <v>5.7737500000000006</v>
      </c>
      <c r="G49" s="805"/>
      <c r="H49" s="805"/>
      <c r="I49" s="805"/>
      <c r="J49" s="805"/>
      <c r="K49" s="805"/>
      <c r="L49" s="805"/>
      <c r="M49" s="764"/>
      <c r="N49" s="806"/>
      <c r="O49" s="805"/>
      <c r="P49" s="805"/>
      <c r="Q49" s="805"/>
      <c r="R49" s="805"/>
      <c r="S49" s="805"/>
      <c r="T49" s="805"/>
      <c r="U49" s="805"/>
      <c r="V49" s="805"/>
      <c r="W49" s="805"/>
      <c r="X49" s="805"/>
    </row>
    <row r="50" spans="2:24" ht="16" thickBot="1">
      <c r="B50" s="806" t="s">
        <v>504</v>
      </c>
      <c r="C50" s="540">
        <f>C42/C$17*Euro</f>
        <v>1.9866666666666666</v>
      </c>
      <c r="D50" s="540">
        <f>D42/D$17*Euro</f>
        <v>2.3249930274425501</v>
      </c>
      <c r="E50" s="540">
        <f>E42/E$17*Euro</f>
        <v>2.7641555270786178</v>
      </c>
      <c r="F50" s="540">
        <f>F42/F$17*Euro</f>
        <v>2.5004840589043273</v>
      </c>
      <c r="G50" s="805"/>
      <c r="H50" s="805"/>
      <c r="I50" s="805"/>
      <c r="J50" s="805"/>
      <c r="K50" s="805"/>
      <c r="L50" s="805"/>
      <c r="M50" s="764"/>
      <c r="N50" s="806"/>
      <c r="O50" s="805"/>
      <c r="P50" s="805"/>
      <c r="Q50" s="805"/>
      <c r="R50" s="805"/>
      <c r="S50" s="805"/>
      <c r="T50" s="805"/>
      <c r="U50" s="805"/>
      <c r="V50" s="805"/>
      <c r="W50" s="805"/>
      <c r="X50" s="805"/>
    </row>
    <row r="51" spans="2:24" ht="16" thickBot="1">
      <c r="B51" s="806"/>
      <c r="C51" s="805"/>
      <c r="D51" s="805"/>
      <c r="E51" s="805"/>
      <c r="F51" s="805"/>
      <c r="G51" s="805"/>
      <c r="H51" s="805"/>
      <c r="I51" s="805"/>
      <c r="J51" s="805"/>
      <c r="K51" s="805"/>
      <c r="L51" s="805"/>
      <c r="M51" s="764"/>
      <c r="N51" s="806"/>
      <c r="O51" s="805"/>
      <c r="P51" s="805"/>
      <c r="Q51" s="805"/>
      <c r="R51" s="805"/>
      <c r="S51" s="805"/>
      <c r="T51" s="805"/>
      <c r="U51" s="805"/>
      <c r="V51" s="805"/>
      <c r="W51" s="805"/>
      <c r="X51" s="805"/>
    </row>
    <row r="52" spans="2:24" ht="16" thickBot="1">
      <c r="B52" s="802" t="s">
        <v>502</v>
      </c>
      <c r="C52" s="540">
        <f>C43/C17/1000*Euro</f>
        <v>0.18625000000000003</v>
      </c>
      <c r="D52" s="540">
        <f>D43/D17/1000*Euro</f>
        <v>0.21605000000000002</v>
      </c>
      <c r="E52" s="540">
        <f>E43/E17/1000*Euro</f>
        <v>0.37250000000000005</v>
      </c>
      <c r="F52" s="540">
        <f>F43/F17/1000*Euro</f>
        <v>0.353875</v>
      </c>
      <c r="G52" s="805"/>
      <c r="H52" s="805"/>
      <c r="I52" s="805"/>
      <c r="J52" s="805"/>
      <c r="K52" s="805"/>
      <c r="L52" s="805"/>
      <c r="M52" s="764"/>
      <c r="N52" s="806"/>
      <c r="O52" s="805"/>
      <c r="P52" s="805"/>
      <c r="Q52" s="805"/>
      <c r="R52" s="805"/>
      <c r="S52" s="805"/>
      <c r="T52" s="805"/>
      <c r="U52" s="805"/>
      <c r="V52" s="805"/>
      <c r="W52" s="805"/>
      <c r="X52" s="805"/>
    </row>
    <row r="53" spans="2:24" ht="16" thickBot="1">
      <c r="B53" s="526" t="s">
        <v>505</v>
      </c>
      <c r="C53" s="514">
        <f>C46/3.6*Euro</f>
        <v>0</v>
      </c>
      <c r="D53" s="514">
        <f>D46/3.6*Euro</f>
        <v>0</v>
      </c>
      <c r="E53" s="514">
        <f>E46/3.6*Euro</f>
        <v>0</v>
      </c>
      <c r="F53" s="514">
        <f>F46/3.6*Euro</f>
        <v>0</v>
      </c>
      <c r="G53" s="805"/>
      <c r="H53" s="805"/>
      <c r="I53" s="805"/>
      <c r="J53" s="805"/>
      <c r="K53" s="805"/>
      <c r="L53" s="805"/>
      <c r="M53" s="764"/>
      <c r="N53" s="806"/>
      <c r="O53" s="805"/>
      <c r="P53" s="805"/>
      <c r="Q53" s="805"/>
      <c r="R53" s="805"/>
      <c r="S53" s="805"/>
      <c r="T53" s="805"/>
      <c r="U53" s="805"/>
      <c r="V53" s="805"/>
      <c r="W53" s="805"/>
      <c r="X53" s="805"/>
    </row>
    <row r="54" spans="2:24">
      <c r="G54" s="764"/>
      <c r="H54" s="764"/>
      <c r="I54" s="764"/>
      <c r="J54" s="764"/>
      <c r="K54" s="764"/>
      <c r="L54" s="764"/>
      <c r="M54" s="764"/>
      <c r="N54" s="764"/>
      <c r="O54" s="764"/>
      <c r="P54" s="764"/>
      <c r="Q54" s="764"/>
      <c r="R54" s="764"/>
      <c r="S54" s="764"/>
      <c r="T54" s="764"/>
      <c r="U54" s="764"/>
      <c r="V54" s="764"/>
      <c r="W54" s="764"/>
      <c r="X54" s="764"/>
    </row>
    <row r="55" spans="2:24">
      <c r="B55" t="s">
        <v>742</v>
      </c>
      <c r="G55" s="764"/>
      <c r="H55" s="764"/>
      <c r="I55" s="764"/>
      <c r="J55" s="764"/>
      <c r="K55" s="764"/>
      <c r="L55" s="764"/>
      <c r="M55" s="764"/>
      <c r="N55" s="8"/>
      <c r="O55" s="764"/>
      <c r="P55" s="764"/>
      <c r="Q55" s="764"/>
      <c r="R55" s="764"/>
      <c r="S55" s="764"/>
      <c r="T55" s="764"/>
      <c r="U55" s="764"/>
      <c r="V55" s="764"/>
      <c r="W55" s="764"/>
      <c r="X55" s="764"/>
    </row>
    <row r="56" spans="2:24" ht="16">
      <c r="B56" s="792">
        <v>1</v>
      </c>
      <c r="C56" s="70" t="s">
        <v>733</v>
      </c>
      <c r="D56" s="764"/>
      <c r="E56" s="764"/>
      <c r="F56" s="764"/>
      <c r="G56" s="764"/>
      <c r="H56" s="764"/>
      <c r="I56" s="764"/>
      <c r="J56" s="764"/>
      <c r="K56" s="764"/>
      <c r="L56" s="764"/>
      <c r="M56" s="764"/>
      <c r="N56" s="70"/>
      <c r="O56" s="812"/>
      <c r="P56" s="764"/>
      <c r="Q56" s="764"/>
      <c r="R56" s="764"/>
      <c r="S56" s="764"/>
      <c r="T56" s="764"/>
      <c r="U56" s="764"/>
      <c r="V56" s="764"/>
      <c r="W56" s="764"/>
      <c r="X56" s="764"/>
    </row>
    <row r="57" spans="2:24" ht="16">
      <c r="B57" s="792">
        <v>2</v>
      </c>
      <c r="C57" s="70" t="s">
        <v>734</v>
      </c>
      <c r="D57" s="764"/>
      <c r="E57" s="764"/>
      <c r="F57" s="764"/>
      <c r="G57" s="764"/>
      <c r="H57" s="764"/>
      <c r="I57" s="764"/>
      <c r="J57" s="764"/>
      <c r="K57" s="764"/>
      <c r="L57" s="764"/>
      <c r="M57" s="764"/>
      <c r="N57" s="70"/>
      <c r="O57" s="813"/>
      <c r="P57" s="764"/>
      <c r="Q57" s="764"/>
      <c r="R57" s="764"/>
      <c r="S57" s="764"/>
      <c r="T57" s="764"/>
      <c r="U57" s="764"/>
      <c r="V57" s="764"/>
      <c r="W57" s="764"/>
      <c r="X57" s="764"/>
    </row>
    <row r="58" spans="2:24" ht="16">
      <c r="B58" s="792">
        <v>3</v>
      </c>
      <c r="C58" s="70" t="s">
        <v>735</v>
      </c>
      <c r="D58" s="764"/>
      <c r="E58" s="764"/>
      <c r="F58" s="764"/>
      <c r="G58" s="764"/>
      <c r="H58" s="764"/>
      <c r="I58" s="764"/>
      <c r="J58" s="764"/>
      <c r="K58" s="764"/>
      <c r="L58" s="764"/>
      <c r="M58" s="764"/>
      <c r="N58" s="70"/>
      <c r="O58" s="814"/>
      <c r="P58" s="764"/>
      <c r="Q58" s="764"/>
      <c r="R58" s="764"/>
      <c r="S58" s="764"/>
      <c r="T58" s="764"/>
      <c r="U58" s="764"/>
      <c r="V58" s="764"/>
      <c r="W58" s="764"/>
      <c r="X58" s="764"/>
    </row>
    <row r="59" spans="2:24">
      <c r="B59" s="764"/>
      <c r="C59" s="764"/>
      <c r="D59" s="764"/>
      <c r="E59" s="764"/>
      <c r="F59" s="764"/>
      <c r="G59" s="764"/>
      <c r="H59" s="764"/>
      <c r="I59" s="764"/>
      <c r="J59" s="764"/>
      <c r="K59" s="764"/>
      <c r="L59" s="764"/>
      <c r="M59" s="764"/>
      <c r="N59" s="764"/>
      <c r="O59" s="764"/>
      <c r="P59" s="764"/>
      <c r="Q59" s="764"/>
      <c r="R59" s="764"/>
      <c r="S59" s="764"/>
      <c r="T59" s="764"/>
      <c r="U59" s="764"/>
      <c r="V59" s="764"/>
      <c r="W59" s="764"/>
      <c r="X59" s="764"/>
    </row>
    <row r="60" spans="2:24">
      <c r="B60" s="8" t="s">
        <v>589</v>
      </c>
      <c r="C60" s="764"/>
      <c r="D60" s="764"/>
      <c r="E60" s="764"/>
      <c r="F60" s="764"/>
      <c r="G60" s="764"/>
      <c r="H60" s="764"/>
      <c r="I60" s="764"/>
      <c r="J60" s="764"/>
      <c r="K60" s="764"/>
      <c r="L60" s="764"/>
      <c r="M60" s="764"/>
      <c r="N60" s="8"/>
      <c r="O60" s="764"/>
      <c r="P60" s="764"/>
      <c r="Q60" s="764"/>
      <c r="R60" s="764"/>
      <c r="S60" s="764"/>
      <c r="T60" s="764"/>
      <c r="U60" s="764"/>
      <c r="V60" s="764"/>
      <c r="W60" s="764"/>
      <c r="X60" s="764"/>
    </row>
    <row r="61" spans="2:24" ht="16">
      <c r="B61" s="792" t="s">
        <v>6</v>
      </c>
      <c r="C61" s="70" t="s">
        <v>736</v>
      </c>
      <c r="D61" s="764"/>
      <c r="E61" s="764"/>
      <c r="F61" s="764"/>
      <c r="G61" s="764"/>
      <c r="H61" s="764"/>
      <c r="I61" s="764"/>
      <c r="J61" s="764"/>
      <c r="K61" s="764"/>
      <c r="L61" s="764"/>
      <c r="M61" s="764"/>
      <c r="N61" s="764"/>
      <c r="O61" s="813"/>
      <c r="P61" s="764"/>
      <c r="Q61" s="764"/>
      <c r="R61" s="764"/>
      <c r="S61" s="764"/>
      <c r="T61" s="764"/>
      <c r="U61" s="764"/>
      <c r="V61" s="764"/>
      <c r="W61" s="764"/>
      <c r="X61" s="764"/>
    </row>
    <row r="62" spans="2:24" ht="16">
      <c r="B62" s="792" t="s">
        <v>42</v>
      </c>
      <c r="C62" s="70" t="s">
        <v>737</v>
      </c>
      <c r="D62" s="764"/>
      <c r="E62" s="764"/>
      <c r="F62" s="764"/>
      <c r="G62" s="764"/>
      <c r="H62" s="764"/>
      <c r="I62" s="764"/>
      <c r="J62" s="764"/>
      <c r="K62" s="764"/>
      <c r="L62" s="764"/>
      <c r="M62" s="764"/>
      <c r="N62" s="764"/>
      <c r="O62" s="815"/>
      <c r="P62" s="764"/>
      <c r="Q62" s="764"/>
      <c r="R62" s="764"/>
      <c r="S62" s="764"/>
      <c r="T62" s="764"/>
      <c r="U62" s="764"/>
      <c r="V62" s="764"/>
      <c r="W62" s="764"/>
      <c r="X62" s="764"/>
    </row>
    <row r="63" spans="2:24" ht="16">
      <c r="B63" s="792" t="s">
        <v>15</v>
      </c>
      <c r="C63" s="70" t="s">
        <v>738</v>
      </c>
      <c r="D63" s="764"/>
      <c r="E63" s="764"/>
      <c r="F63" s="764"/>
      <c r="G63" s="764"/>
      <c r="H63" s="764"/>
      <c r="I63" s="764"/>
      <c r="J63" s="764"/>
      <c r="K63" s="764"/>
      <c r="L63" s="764"/>
      <c r="M63" s="764"/>
      <c r="N63" s="764"/>
      <c r="O63" s="813"/>
      <c r="P63" s="764"/>
      <c r="Q63" s="764"/>
      <c r="R63" s="764"/>
      <c r="S63" s="764"/>
      <c r="T63" s="764"/>
      <c r="U63" s="764"/>
      <c r="V63" s="764"/>
      <c r="W63" s="764"/>
      <c r="X63" s="764"/>
    </row>
    <row r="64" spans="2:24" ht="16">
      <c r="B64" s="792" t="s">
        <v>19</v>
      </c>
      <c r="C64" s="70" t="s">
        <v>739</v>
      </c>
      <c r="D64" s="764"/>
      <c r="E64" s="764"/>
      <c r="F64" s="764"/>
      <c r="G64" s="764"/>
      <c r="H64" s="764"/>
      <c r="I64" s="764"/>
      <c r="J64" s="764"/>
      <c r="K64" s="764"/>
      <c r="L64" s="764"/>
      <c r="M64" s="764"/>
      <c r="N64" s="764"/>
      <c r="O64" s="813"/>
      <c r="P64" s="764"/>
      <c r="Q64" s="764"/>
      <c r="R64" s="764"/>
      <c r="S64" s="764"/>
      <c r="T64" s="764"/>
      <c r="U64" s="764"/>
      <c r="V64" s="764"/>
      <c r="W64" s="764"/>
      <c r="X64" s="764"/>
    </row>
    <row r="65" spans="2:24" ht="16">
      <c r="B65" s="792" t="s">
        <v>52</v>
      </c>
      <c r="C65" s="70" t="s">
        <v>740</v>
      </c>
      <c r="D65" s="764"/>
      <c r="E65" s="764"/>
      <c r="F65" s="764"/>
      <c r="G65" s="764"/>
      <c r="H65" s="764"/>
      <c r="I65" s="764"/>
      <c r="J65" s="764"/>
      <c r="K65" s="764"/>
      <c r="L65" s="764"/>
      <c r="M65" s="764"/>
      <c r="N65" s="764"/>
      <c r="O65" s="815"/>
      <c r="P65" s="764"/>
      <c r="Q65" s="764"/>
      <c r="R65" s="764"/>
      <c r="S65" s="764"/>
      <c r="T65" s="764"/>
      <c r="U65" s="764"/>
      <c r="V65" s="764"/>
      <c r="W65" s="764"/>
      <c r="X65" s="764"/>
    </row>
    <row r="66" spans="2:24" ht="16">
      <c r="B66" s="792" t="s">
        <v>23</v>
      </c>
      <c r="C66" s="70" t="s">
        <v>741</v>
      </c>
      <c r="D66" s="764"/>
      <c r="E66" s="764"/>
      <c r="F66" s="764"/>
      <c r="G66" s="764"/>
      <c r="H66" s="764"/>
      <c r="I66" s="764"/>
      <c r="J66" s="764"/>
      <c r="K66" s="764"/>
      <c r="L66" s="764"/>
      <c r="M66" s="764"/>
      <c r="N66" s="764"/>
      <c r="O66" s="813"/>
      <c r="P66" s="764"/>
      <c r="Q66" s="764"/>
      <c r="R66" s="764"/>
      <c r="S66" s="764"/>
      <c r="T66" s="764"/>
      <c r="U66" s="764"/>
      <c r="V66" s="764"/>
      <c r="W66" s="764"/>
      <c r="X66" s="764"/>
    </row>
    <row r="67" spans="2:24">
      <c r="B67" s="792" t="s">
        <v>31</v>
      </c>
      <c r="C67" s="70" t="s">
        <v>678</v>
      </c>
      <c r="D67" s="764"/>
      <c r="E67" s="764"/>
      <c r="F67" s="764"/>
      <c r="G67" s="764"/>
      <c r="H67" s="764"/>
      <c r="I67" s="764"/>
      <c r="J67" s="764"/>
      <c r="K67" s="764"/>
      <c r="L67" s="764"/>
      <c r="M67" s="764"/>
      <c r="N67" s="764"/>
      <c r="O67" s="764"/>
      <c r="P67" s="764"/>
      <c r="Q67" s="764"/>
      <c r="R67" s="764"/>
      <c r="S67" s="764"/>
      <c r="T67" s="764"/>
      <c r="U67" s="764"/>
      <c r="V67" s="764"/>
      <c r="W67" s="764"/>
      <c r="X67" s="764"/>
    </row>
    <row r="68" spans="2:24">
      <c r="B68" s="764"/>
      <c r="C68" s="764"/>
      <c r="D68" s="764"/>
      <c r="E68" s="764"/>
      <c r="F68" s="764"/>
      <c r="G68" s="764"/>
      <c r="H68" s="764"/>
      <c r="I68" s="764"/>
      <c r="J68" s="764"/>
      <c r="K68" s="764"/>
      <c r="L68" s="764"/>
      <c r="M68" s="764"/>
      <c r="N68" s="764"/>
      <c r="O68" s="764"/>
      <c r="P68" s="764"/>
      <c r="Q68" s="764"/>
      <c r="R68" s="764"/>
      <c r="S68" s="764"/>
      <c r="T68" s="764"/>
      <c r="U68" s="764"/>
      <c r="V68" s="764"/>
      <c r="W68" s="764"/>
      <c r="X68" s="764"/>
    </row>
    <row r="69" spans="2:24">
      <c r="B69" s="764"/>
      <c r="C69" s="764"/>
      <c r="D69" s="764"/>
      <c r="E69" s="764"/>
      <c r="F69" s="764"/>
      <c r="G69" s="764"/>
      <c r="H69" s="764"/>
      <c r="I69" s="764"/>
      <c r="J69" s="764"/>
      <c r="K69" s="764"/>
      <c r="L69" s="764"/>
      <c r="M69" s="764"/>
      <c r="N69" s="764"/>
      <c r="O69" s="764"/>
      <c r="P69" s="764"/>
      <c r="Q69" s="764"/>
      <c r="R69" s="764"/>
      <c r="S69" s="764"/>
      <c r="T69" s="764"/>
      <c r="U69" s="764"/>
      <c r="V69" s="764"/>
      <c r="W69" s="764"/>
      <c r="X69" s="764"/>
    </row>
    <row r="70" spans="2:24">
      <c r="B70" s="764"/>
      <c r="C70" s="764"/>
      <c r="D70" s="764"/>
      <c r="E70" s="764"/>
      <c r="F70" s="764"/>
      <c r="G70" s="764"/>
      <c r="H70" s="764"/>
      <c r="I70" s="764"/>
      <c r="J70" s="764"/>
      <c r="K70" s="764"/>
      <c r="L70" s="764"/>
      <c r="M70" s="764"/>
      <c r="N70" s="764"/>
      <c r="O70" s="764"/>
      <c r="P70" s="764"/>
      <c r="Q70" s="764"/>
      <c r="R70" s="764"/>
      <c r="S70" s="764"/>
      <c r="T70" s="764"/>
      <c r="U70" s="764"/>
      <c r="V70" s="764"/>
      <c r="W70" s="764"/>
      <c r="X70" s="764"/>
    </row>
    <row r="71" spans="2:24">
      <c r="B71" s="764"/>
      <c r="C71" s="764"/>
      <c r="D71" s="764"/>
      <c r="E71" s="764"/>
      <c r="F71" s="764"/>
      <c r="G71" s="764"/>
      <c r="H71" s="764"/>
      <c r="I71" s="764"/>
      <c r="J71" s="764"/>
      <c r="K71" s="764"/>
      <c r="L71" s="764"/>
      <c r="M71" s="764"/>
      <c r="N71" s="764"/>
      <c r="O71" s="764"/>
      <c r="P71" s="764"/>
      <c r="Q71" s="764"/>
      <c r="R71" s="764"/>
      <c r="S71" s="764"/>
      <c r="T71" s="764"/>
      <c r="U71" s="764"/>
      <c r="V71" s="764"/>
      <c r="W71" s="764"/>
      <c r="X71" s="764"/>
    </row>
    <row r="72" spans="2:24">
      <c r="B72" s="764"/>
      <c r="C72" s="764"/>
      <c r="D72" s="764"/>
      <c r="E72" s="764"/>
      <c r="F72" s="764"/>
      <c r="G72" s="764"/>
      <c r="H72" s="764"/>
      <c r="I72" s="764"/>
      <c r="J72" s="764"/>
      <c r="K72" s="764"/>
      <c r="L72" s="764"/>
      <c r="M72" s="764"/>
      <c r="N72" s="764"/>
      <c r="O72" s="764"/>
      <c r="P72" s="764"/>
      <c r="Q72" s="764"/>
      <c r="R72" s="764"/>
      <c r="S72" s="764"/>
      <c r="T72" s="764"/>
      <c r="U72" s="764"/>
      <c r="V72" s="764"/>
      <c r="W72" s="764"/>
      <c r="X72" s="764"/>
    </row>
  </sheetData>
  <mergeCells count="20">
    <mergeCell ref="B14:B15"/>
    <mergeCell ref="D14:D15"/>
    <mergeCell ref="E14:E15"/>
    <mergeCell ref="F14:F15"/>
    <mergeCell ref="N14:N15"/>
    <mergeCell ref="U14:V15"/>
    <mergeCell ref="W14:W15"/>
    <mergeCell ref="X14:X15"/>
    <mergeCell ref="O13:X13"/>
    <mergeCell ref="C13:L13"/>
    <mergeCell ref="G14:H15"/>
    <mergeCell ref="I14:J15"/>
    <mergeCell ref="K14:K15"/>
    <mergeCell ref="L14:L15"/>
    <mergeCell ref="C14:C15"/>
    <mergeCell ref="O14:O15"/>
    <mergeCell ref="P14:P15"/>
    <mergeCell ref="Q14:Q15"/>
    <mergeCell ref="R14:R15"/>
    <mergeCell ref="S14:T15"/>
  </mergeCells>
  <pageMargins left="0.7" right="0.7" top="0.75" bottom="0.75" header="0.3" footer="0.3"/>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sheetPr>
  <dimension ref="B2:CO149"/>
  <sheetViews>
    <sheetView workbookViewId="0">
      <selection activeCell="J3" sqref="J3:J11"/>
    </sheetView>
  </sheetViews>
  <sheetFormatPr baseColWidth="10" defaultColWidth="8.83203125" defaultRowHeight="15"/>
  <cols>
    <col min="2" max="2" width="51.5" customWidth="1"/>
    <col min="3" max="8" width="9.1640625" style="52"/>
    <col min="11" max="11" width="43.1640625" customWidth="1"/>
  </cols>
  <sheetData>
    <row r="2" spans="2:93" ht="29">
      <c r="B2" s="145" t="s">
        <v>280</v>
      </c>
    </row>
    <row r="3" spans="2:93" ht="15" customHeight="1">
      <c r="B3" s="8" t="s">
        <v>278</v>
      </c>
      <c r="J3" s="821" t="s">
        <v>783</v>
      </c>
    </row>
    <row r="4" spans="2:93" ht="16" thickBot="1">
      <c r="B4" s="146" t="s">
        <v>273</v>
      </c>
      <c r="C4"/>
      <c r="D4"/>
      <c r="E4"/>
      <c r="F4"/>
      <c r="G4"/>
      <c r="H4"/>
      <c r="J4" s="821">
        <v>0.2</v>
      </c>
    </row>
    <row r="5" spans="2:93" ht="31" thickTop="1">
      <c r="B5" s="27" t="s">
        <v>255</v>
      </c>
      <c r="C5" s="27" t="s">
        <v>256</v>
      </c>
      <c r="D5" s="28" t="s">
        <v>257</v>
      </c>
      <c r="E5" s="28" t="s">
        <v>259</v>
      </c>
      <c r="F5" s="29" t="s">
        <v>260</v>
      </c>
      <c r="G5" s="30" t="s">
        <v>261</v>
      </c>
      <c r="H5" s="30" t="s">
        <v>262</v>
      </c>
      <c r="I5" s="136" t="s">
        <v>263</v>
      </c>
      <c r="J5" s="30" t="s">
        <v>264</v>
      </c>
      <c r="K5" s="30" t="s">
        <v>265</v>
      </c>
      <c r="L5" s="30" t="s">
        <v>266</v>
      </c>
      <c r="M5" s="30" t="s">
        <v>267</v>
      </c>
      <c r="N5" s="30" t="s">
        <v>268</v>
      </c>
      <c r="O5" s="30" t="s">
        <v>269</v>
      </c>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6" thickBot="1">
      <c r="B6" s="31"/>
      <c r="C6" s="31"/>
      <c r="D6" s="32"/>
      <c r="E6" s="32"/>
      <c r="F6" s="33"/>
      <c r="G6" s="31"/>
      <c r="H6" s="31"/>
      <c r="I6" s="31"/>
      <c r="J6" s="31"/>
      <c r="K6" s="31"/>
      <c r="L6" s="31"/>
      <c r="M6" s="31"/>
      <c r="N6" s="31"/>
      <c r="O6" s="3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s="696" customFormat="1">
      <c r="B7" s="37"/>
      <c r="C7" s="37"/>
      <c r="D7" s="38"/>
      <c r="E7" s="38" t="s">
        <v>637</v>
      </c>
      <c r="F7" s="38" t="s">
        <v>353</v>
      </c>
      <c r="G7" s="38" t="s">
        <v>354</v>
      </c>
      <c r="H7" s="38" t="s">
        <v>355</v>
      </c>
      <c r="I7" s="37" t="s">
        <v>271</v>
      </c>
      <c r="J7" s="37" t="s">
        <v>271</v>
      </c>
      <c r="K7" s="37" t="s">
        <v>272</v>
      </c>
      <c r="L7" s="37" t="s">
        <v>272</v>
      </c>
      <c r="M7" s="37" t="s">
        <v>272</v>
      </c>
      <c r="N7" s="37" t="s">
        <v>272</v>
      </c>
      <c r="O7" s="37" t="s">
        <v>272</v>
      </c>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s="696" customFormat="1">
      <c r="B8" s="39">
        <f>C14</f>
        <v>2015</v>
      </c>
      <c r="C8" s="39">
        <f>B8</f>
        <v>2015</v>
      </c>
      <c r="D8" s="39">
        <f>C21/100</f>
        <v>1.5</v>
      </c>
      <c r="E8" s="39">
        <f>C23</f>
        <v>15</v>
      </c>
      <c r="F8" s="226">
        <f>C43</f>
        <v>0.59599999999999997</v>
      </c>
      <c r="G8" s="226">
        <f>C46</f>
        <v>3.5015000000000004E-2</v>
      </c>
      <c r="H8" s="226">
        <f>C47</f>
        <v>0</v>
      </c>
      <c r="I8" s="39"/>
      <c r="J8" s="39">
        <f>$J$4*E19/100</f>
        <v>0.2</v>
      </c>
      <c r="K8" s="39">
        <f>C29</f>
        <v>0</v>
      </c>
      <c r="L8" s="523">
        <f>C30</f>
        <v>120</v>
      </c>
      <c r="M8" s="523">
        <f>C31</f>
        <v>5</v>
      </c>
      <c r="N8" s="350" t="str">
        <f>C32</f>
        <v>-</v>
      </c>
      <c r="O8" s="523" t="str">
        <f>C33</f>
        <v>-</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s="696" customFormat="1">
      <c r="B9" s="39">
        <f>D14</f>
        <v>2020</v>
      </c>
      <c r="C9" s="39"/>
      <c r="D9" s="39">
        <f>D21/100</f>
        <v>1.55</v>
      </c>
      <c r="E9" s="39">
        <f>D23</f>
        <v>20</v>
      </c>
      <c r="F9" s="226">
        <f>D43</f>
        <v>0.59599999999999997</v>
      </c>
      <c r="G9" s="226">
        <f>D46</f>
        <v>3.5015000000000004E-2</v>
      </c>
      <c r="H9" s="226">
        <f>D47</f>
        <v>0</v>
      </c>
      <c r="I9" s="39"/>
      <c r="J9" s="39">
        <f>$J$4*D19/100</f>
        <v>0.2</v>
      </c>
      <c r="K9" s="39">
        <f>D29</f>
        <v>0</v>
      </c>
      <c r="L9" s="523">
        <f>D30</f>
        <v>80</v>
      </c>
      <c r="M9" s="523">
        <f>D31</f>
        <v>5</v>
      </c>
      <c r="N9" s="350" t="str">
        <f>D32</f>
        <v>-</v>
      </c>
      <c r="O9" s="523" t="str">
        <f>D33</f>
        <v>-</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s="696" customFormat="1">
      <c r="B10" s="39">
        <f>E14</f>
        <v>2030</v>
      </c>
      <c r="C10" s="39"/>
      <c r="D10" s="39">
        <f>E21/100</f>
        <v>1.55</v>
      </c>
      <c r="E10" s="39">
        <f>E23</f>
        <v>20</v>
      </c>
      <c r="F10" s="226">
        <f>E43</f>
        <v>0.44700000000000001</v>
      </c>
      <c r="G10" s="226">
        <f>E46</f>
        <v>3.5015000000000004E-2</v>
      </c>
      <c r="H10" s="226">
        <f>E47</f>
        <v>0</v>
      </c>
      <c r="I10" s="39"/>
      <c r="J10" s="39">
        <f>$J$4*E19/100</f>
        <v>0.2</v>
      </c>
      <c r="K10" s="39">
        <f>E29</f>
        <v>0</v>
      </c>
      <c r="L10" s="523">
        <f>E30</f>
        <v>50</v>
      </c>
      <c r="M10" s="523">
        <f>E31</f>
        <v>5</v>
      </c>
      <c r="N10" s="350" t="str">
        <f>E32</f>
        <v>-</v>
      </c>
      <c r="O10" s="523" t="str">
        <f>E33</f>
        <v>-</v>
      </c>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s="696" customFormat="1" ht="16" thickBot="1">
      <c r="B11" s="39">
        <f>F14</f>
        <v>2050</v>
      </c>
      <c r="C11" s="39"/>
      <c r="D11" s="39">
        <f>F21/100</f>
        <v>1.6</v>
      </c>
      <c r="E11" s="39">
        <f>F23</f>
        <v>20</v>
      </c>
      <c r="F11" s="226">
        <f>F43</f>
        <v>0.44700000000000001</v>
      </c>
      <c r="G11" s="226">
        <f>F46</f>
        <v>3.5015000000000004E-2</v>
      </c>
      <c r="H11" s="226">
        <f>F47</f>
        <v>0</v>
      </c>
      <c r="I11" s="143"/>
      <c r="J11" s="39">
        <f>$J$4*F19/100</f>
        <v>0.2</v>
      </c>
      <c r="K11" s="39">
        <f>F29</f>
        <v>0</v>
      </c>
      <c r="L11" s="523">
        <f>F30</f>
        <v>50</v>
      </c>
      <c r="M11" s="523">
        <f>F31</f>
        <v>5</v>
      </c>
      <c r="N11" s="350" t="str">
        <f>F32</f>
        <v>-</v>
      </c>
      <c r="O11" s="523" t="str">
        <f>F33</f>
        <v>-</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s="696" customFormat="1" ht="17" thickTop="1" thickBot="1">
      <c r="C12" s="52"/>
      <c r="D12" s="52"/>
      <c r="E12" s="52"/>
      <c r="F12" s="52"/>
      <c r="G12" s="52"/>
      <c r="H12" s="52"/>
      <c r="J12" s="732"/>
      <c r="K12" s="351"/>
      <c r="L12" s="351"/>
      <c r="M12" s="351"/>
      <c r="N12" s="351"/>
      <c r="O12" s="733"/>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s="696" customFormat="1" ht="16" thickBot="1">
      <c r="B13" s="739" t="s">
        <v>0</v>
      </c>
      <c r="C13" s="720" t="s">
        <v>638</v>
      </c>
      <c r="D13" s="672"/>
      <c r="E13" s="672"/>
      <c r="F13" s="672"/>
      <c r="G13" s="672"/>
      <c r="H13" s="672"/>
      <c r="I13" s="672"/>
      <c r="J13" s="672"/>
      <c r="K13" s="672"/>
      <c r="L13" s="673"/>
      <c r="M13" s="734"/>
      <c r="N13" s="734"/>
      <c r="O13" s="735"/>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s="696" customFormat="1" ht="16" thickBot="1">
      <c r="B14" s="760"/>
      <c r="C14" s="761">
        <v>2015</v>
      </c>
      <c r="D14" s="761">
        <v>2020</v>
      </c>
      <c r="E14" s="761">
        <v>2030</v>
      </c>
      <c r="F14" s="761">
        <v>2050</v>
      </c>
      <c r="G14" s="762" t="s">
        <v>467</v>
      </c>
      <c r="H14" s="763"/>
      <c r="I14" s="762" t="s">
        <v>468</v>
      </c>
      <c r="J14" s="763"/>
      <c r="K14" s="761" t="s">
        <v>2</v>
      </c>
      <c r="L14" s="761" t="s">
        <v>3</v>
      </c>
      <c r="M14" s="734"/>
      <c r="N14" s="734"/>
      <c r="O14" s="735"/>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s="696" customFormat="1" ht="16" thickBot="1">
      <c r="B15" s="740" t="s">
        <v>4</v>
      </c>
      <c r="C15" s="747"/>
      <c r="D15" s="747"/>
      <c r="E15" s="747"/>
      <c r="F15" s="747"/>
      <c r="G15" s="741" t="s">
        <v>469</v>
      </c>
      <c r="H15" s="742" t="s">
        <v>470</v>
      </c>
      <c r="I15" s="742" t="s">
        <v>469</v>
      </c>
      <c r="J15" s="743" t="s">
        <v>470</v>
      </c>
      <c r="K15" s="747"/>
      <c r="L15" s="748"/>
      <c r="M15" s="734"/>
      <c r="N15" s="734"/>
      <c r="O15" s="735"/>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s="696" customFormat="1" ht="16" thickBot="1">
      <c r="B16" s="744" t="s">
        <v>5</v>
      </c>
      <c r="C16" s="751">
        <v>50</v>
      </c>
      <c r="D16" s="751">
        <v>50</v>
      </c>
      <c r="E16" s="751">
        <v>50</v>
      </c>
      <c r="F16" s="751">
        <v>50</v>
      </c>
      <c r="G16" s="738">
        <v>20</v>
      </c>
      <c r="H16" s="738">
        <v>80</v>
      </c>
      <c r="I16" s="738">
        <v>20</v>
      </c>
      <c r="J16" s="738">
        <v>80</v>
      </c>
      <c r="K16" s="738" t="s">
        <v>639</v>
      </c>
      <c r="L16" s="738">
        <v>5</v>
      </c>
      <c r="M16" s="734"/>
      <c r="N16" s="734"/>
      <c r="O16" s="735"/>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744" t="s">
        <v>77</v>
      </c>
      <c r="C17" s="738" t="s">
        <v>626</v>
      </c>
      <c r="D17" s="738" t="s">
        <v>626</v>
      </c>
      <c r="E17" s="738" t="s">
        <v>626</v>
      </c>
      <c r="F17" s="738" t="s">
        <v>626</v>
      </c>
      <c r="G17" s="738" t="s">
        <v>626</v>
      </c>
      <c r="H17" s="738" t="s">
        <v>626</v>
      </c>
      <c r="I17" s="738" t="s">
        <v>626</v>
      </c>
      <c r="J17" s="738" t="s">
        <v>626</v>
      </c>
      <c r="K17" s="738"/>
      <c r="L17" s="738"/>
      <c r="M17" s="676"/>
      <c r="N17" s="676"/>
      <c r="O17" s="677"/>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744" t="s">
        <v>7</v>
      </c>
      <c r="C18" s="738">
        <v>100</v>
      </c>
      <c r="D18" s="738">
        <v>100</v>
      </c>
      <c r="E18" s="738">
        <v>100</v>
      </c>
      <c r="F18" s="738">
        <v>100</v>
      </c>
      <c r="G18" s="738" t="s">
        <v>626</v>
      </c>
      <c r="H18" s="738" t="s">
        <v>626</v>
      </c>
      <c r="I18" s="738" t="s">
        <v>626</v>
      </c>
      <c r="J18" s="738" t="s">
        <v>626</v>
      </c>
      <c r="K18" s="738"/>
      <c r="L18" s="738"/>
      <c r="M18" s="439"/>
      <c r="N18" s="439"/>
      <c r="O18" s="439"/>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744" t="s">
        <v>8</v>
      </c>
      <c r="C19" s="738">
        <v>100</v>
      </c>
      <c r="D19" s="738">
        <v>100</v>
      </c>
      <c r="E19" s="738">
        <v>100</v>
      </c>
      <c r="F19" s="738">
        <v>100</v>
      </c>
      <c r="G19" s="738" t="s">
        <v>626</v>
      </c>
      <c r="H19" s="738" t="s">
        <v>626</v>
      </c>
      <c r="I19" s="738" t="s">
        <v>626</v>
      </c>
      <c r="J19" s="738" t="s">
        <v>626</v>
      </c>
      <c r="K19" s="738"/>
      <c r="L19" s="738"/>
      <c r="M19" s="439"/>
      <c r="N19" s="439"/>
      <c r="O19" s="439"/>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744" t="s">
        <v>86</v>
      </c>
      <c r="C20" s="738" t="s">
        <v>626</v>
      </c>
      <c r="D20" s="738" t="s">
        <v>626</v>
      </c>
      <c r="E20" s="738" t="s">
        <v>626</v>
      </c>
      <c r="F20" s="738" t="s">
        <v>626</v>
      </c>
      <c r="G20" s="738" t="s">
        <v>626</v>
      </c>
      <c r="H20" s="738" t="s">
        <v>626</v>
      </c>
      <c r="I20" s="738" t="s">
        <v>626</v>
      </c>
      <c r="J20" s="738" t="s">
        <v>626</v>
      </c>
      <c r="K20" s="738"/>
      <c r="L20" s="738"/>
      <c r="M20" s="439"/>
      <c r="N20" s="439"/>
      <c r="O20" s="439"/>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6" thickBot="1">
      <c r="B21" s="744" t="s">
        <v>9</v>
      </c>
      <c r="C21" s="738">
        <v>150</v>
      </c>
      <c r="D21" s="738">
        <v>155</v>
      </c>
      <c r="E21" s="738">
        <v>155</v>
      </c>
      <c r="F21" s="738">
        <v>160</v>
      </c>
      <c r="G21" s="738" t="s">
        <v>626</v>
      </c>
      <c r="H21" s="738" t="s">
        <v>626</v>
      </c>
      <c r="I21" s="738" t="s">
        <v>626</v>
      </c>
      <c r="J21" s="738" t="s">
        <v>626</v>
      </c>
      <c r="K21" s="738"/>
      <c r="L21" s="738">
        <v>14</v>
      </c>
      <c r="M21" s="439"/>
      <c r="N21" s="439"/>
      <c r="O21" s="439"/>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744" t="s">
        <v>472</v>
      </c>
      <c r="C22" s="738" t="s">
        <v>626</v>
      </c>
      <c r="D22" s="738" t="s">
        <v>626</v>
      </c>
      <c r="E22" s="738" t="s">
        <v>626</v>
      </c>
      <c r="F22" s="738" t="s">
        <v>626</v>
      </c>
      <c r="G22" s="738" t="s">
        <v>626</v>
      </c>
      <c r="H22" s="738" t="s">
        <v>626</v>
      </c>
      <c r="I22" s="738" t="s">
        <v>626</v>
      </c>
      <c r="J22" s="738" t="s">
        <v>626</v>
      </c>
      <c r="K22" s="738"/>
      <c r="L22" s="738"/>
      <c r="M22" s="439"/>
      <c r="N22" s="439"/>
      <c r="O22" s="439"/>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744" t="s">
        <v>10</v>
      </c>
      <c r="C23" s="759">
        <v>15</v>
      </c>
      <c r="D23" s="738">
        <v>20</v>
      </c>
      <c r="E23" s="738">
        <v>20</v>
      </c>
      <c r="F23" s="738">
        <v>20</v>
      </c>
      <c r="G23" s="738">
        <v>15</v>
      </c>
      <c r="H23" s="738">
        <v>20</v>
      </c>
      <c r="I23" s="738">
        <v>15</v>
      </c>
      <c r="J23" s="738">
        <v>20</v>
      </c>
      <c r="K23" s="738" t="s">
        <v>42</v>
      </c>
      <c r="L23" s="738"/>
      <c r="M23" s="439"/>
      <c r="N23" s="439"/>
      <c r="O23" s="439"/>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740" t="s">
        <v>488</v>
      </c>
      <c r="C24" s="745"/>
      <c r="D24" s="745"/>
      <c r="E24" s="745"/>
      <c r="F24" s="745"/>
      <c r="G24" s="745"/>
      <c r="H24" s="745"/>
      <c r="I24" s="745"/>
      <c r="J24" s="745"/>
      <c r="K24" s="745"/>
      <c r="L24" s="738"/>
      <c r="M24" s="439"/>
      <c r="N24" s="439"/>
      <c r="O24" s="439"/>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744" t="s">
        <v>578</v>
      </c>
      <c r="C25" s="738" t="s">
        <v>626</v>
      </c>
      <c r="D25" s="738" t="s">
        <v>626</v>
      </c>
      <c r="E25" s="738" t="s">
        <v>626</v>
      </c>
      <c r="F25" s="738" t="s">
        <v>626</v>
      </c>
      <c r="G25" s="738" t="s">
        <v>626</v>
      </c>
      <c r="H25" s="738" t="s">
        <v>626</v>
      </c>
      <c r="I25" s="738" t="s">
        <v>626</v>
      </c>
      <c r="J25" s="738" t="s">
        <v>626</v>
      </c>
      <c r="K25" s="746"/>
      <c r="L25" s="738"/>
      <c r="M25" s="439"/>
      <c r="N25" s="439"/>
      <c r="O25" s="439"/>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744" t="s">
        <v>492</v>
      </c>
      <c r="C26" s="738" t="s">
        <v>626</v>
      </c>
      <c r="D26" s="738" t="s">
        <v>626</v>
      </c>
      <c r="E26" s="738" t="s">
        <v>626</v>
      </c>
      <c r="F26" s="738" t="s">
        <v>626</v>
      </c>
      <c r="G26" s="738" t="s">
        <v>626</v>
      </c>
      <c r="H26" s="738" t="s">
        <v>626</v>
      </c>
      <c r="I26" s="738" t="s">
        <v>626</v>
      </c>
      <c r="J26" s="738" t="s">
        <v>626</v>
      </c>
      <c r="K26" s="746"/>
      <c r="L26" s="738"/>
      <c r="M26" s="675"/>
      <c r="N26" s="675"/>
      <c r="O26" s="675"/>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744" t="s">
        <v>493</v>
      </c>
      <c r="C27" s="738" t="s">
        <v>626</v>
      </c>
      <c r="D27" s="738" t="s">
        <v>626</v>
      </c>
      <c r="E27" s="738" t="s">
        <v>626</v>
      </c>
      <c r="F27" s="738" t="s">
        <v>626</v>
      </c>
      <c r="G27" s="738" t="s">
        <v>626</v>
      </c>
      <c r="H27" s="738" t="s">
        <v>626</v>
      </c>
      <c r="I27" s="738" t="s">
        <v>626</v>
      </c>
      <c r="J27" s="738" t="s">
        <v>626</v>
      </c>
      <c r="K27" s="746"/>
      <c r="L27" s="738"/>
      <c r="M27" s="675"/>
      <c r="N27" s="675"/>
      <c r="O27" s="675"/>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6" thickBot="1">
      <c r="B28" s="740" t="s">
        <v>11</v>
      </c>
      <c r="C28" s="747"/>
      <c r="D28" s="747"/>
      <c r="E28" s="747"/>
      <c r="F28" s="747"/>
      <c r="G28" s="747"/>
      <c r="H28" s="747"/>
      <c r="I28" s="747"/>
      <c r="J28" s="747"/>
      <c r="K28" s="747"/>
      <c r="L28" s="748"/>
      <c r="M28" s="675"/>
      <c r="N28" s="675"/>
      <c r="O28" s="675"/>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ht="16" thickBot="1">
      <c r="B29" s="744" t="s">
        <v>474</v>
      </c>
      <c r="C29" s="738">
        <v>0</v>
      </c>
      <c r="D29" s="738">
        <v>0</v>
      </c>
      <c r="E29" s="738">
        <v>0</v>
      </c>
      <c r="F29" s="738">
        <v>0</v>
      </c>
      <c r="G29" s="738" t="s">
        <v>626</v>
      </c>
      <c r="H29" s="738" t="s">
        <v>626</v>
      </c>
      <c r="I29" s="738" t="s">
        <v>626</v>
      </c>
      <c r="J29" s="738" t="s">
        <v>626</v>
      </c>
      <c r="K29" s="738"/>
      <c r="L29" s="738"/>
      <c r="M29" s="675"/>
      <c r="N29" s="675"/>
      <c r="O29" s="675"/>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ht="16" thickBot="1">
      <c r="B30" s="744" t="s">
        <v>475</v>
      </c>
      <c r="C30" s="746">
        <v>120</v>
      </c>
      <c r="D30" s="746">
        <v>80</v>
      </c>
      <c r="E30" s="746">
        <v>50</v>
      </c>
      <c r="F30" s="746">
        <v>50</v>
      </c>
      <c r="G30" s="738">
        <v>20</v>
      </c>
      <c r="H30" s="738">
        <v>150</v>
      </c>
      <c r="I30" s="738">
        <v>10</v>
      </c>
      <c r="J30" s="738">
        <v>100</v>
      </c>
      <c r="K30" s="738" t="s">
        <v>15</v>
      </c>
      <c r="L30" s="738">
        <v>15</v>
      </c>
      <c r="M30" s="675"/>
      <c r="N30" s="675"/>
      <c r="O30" s="675"/>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ht="15.75" customHeight="1" thickBot="1">
      <c r="B31" s="744" t="s">
        <v>476</v>
      </c>
      <c r="C31" s="746">
        <v>5</v>
      </c>
      <c r="D31" s="746">
        <v>5</v>
      </c>
      <c r="E31" s="746">
        <v>5</v>
      </c>
      <c r="F31" s="746">
        <v>5</v>
      </c>
      <c r="G31" s="738" t="s">
        <v>626</v>
      </c>
      <c r="H31" s="738" t="s">
        <v>626</v>
      </c>
      <c r="I31" s="738" t="s">
        <v>626</v>
      </c>
      <c r="J31" s="738" t="s">
        <v>626</v>
      </c>
      <c r="K31" s="738" t="s">
        <v>19</v>
      </c>
      <c r="L31" s="738"/>
      <c r="M31" s="675"/>
      <c r="N31" s="675"/>
      <c r="O31" s="675"/>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744" t="s">
        <v>477</v>
      </c>
      <c r="C32" s="738" t="s">
        <v>626</v>
      </c>
      <c r="D32" s="738" t="s">
        <v>626</v>
      </c>
      <c r="E32" s="738" t="s">
        <v>626</v>
      </c>
      <c r="F32" s="738" t="s">
        <v>626</v>
      </c>
      <c r="G32" s="738" t="s">
        <v>626</v>
      </c>
      <c r="H32" s="738" t="s">
        <v>626</v>
      </c>
      <c r="I32" s="738" t="s">
        <v>626</v>
      </c>
      <c r="J32" s="738" t="s">
        <v>626</v>
      </c>
      <c r="K32" s="738"/>
      <c r="L32" s="738"/>
      <c r="M32" s="675"/>
      <c r="N32" s="675"/>
      <c r="O32" s="675"/>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2:93" ht="16" thickBot="1">
      <c r="B33" s="744" t="s">
        <v>18</v>
      </c>
      <c r="C33" s="738" t="s">
        <v>626</v>
      </c>
      <c r="D33" s="738" t="s">
        <v>626</v>
      </c>
      <c r="E33" s="738" t="s">
        <v>626</v>
      </c>
      <c r="F33" s="738" t="s">
        <v>626</v>
      </c>
      <c r="G33" s="738" t="s">
        <v>626</v>
      </c>
      <c r="H33" s="738" t="s">
        <v>626</v>
      </c>
      <c r="I33" s="738" t="s">
        <v>626</v>
      </c>
      <c r="J33" s="738" t="s">
        <v>626</v>
      </c>
      <c r="K33" s="738"/>
      <c r="L33" s="738"/>
      <c r="M33" s="675"/>
      <c r="N33" s="675"/>
      <c r="O33" s="675"/>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2:93" ht="16" thickBot="1">
      <c r="B34" s="740" t="s">
        <v>613</v>
      </c>
      <c r="C34" s="750"/>
      <c r="D34" s="750"/>
      <c r="E34" s="750"/>
      <c r="F34" s="750"/>
      <c r="G34" s="750"/>
      <c r="H34" s="750"/>
      <c r="I34" s="750"/>
      <c r="J34" s="750"/>
      <c r="K34" s="747"/>
      <c r="L34" s="748"/>
      <c r="M34" s="675"/>
      <c r="N34" s="675"/>
      <c r="O34" s="675"/>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2:93">
      <c r="B35" s="757" t="s">
        <v>22</v>
      </c>
      <c r="C35" s="753">
        <v>4</v>
      </c>
      <c r="D35" s="752">
        <v>4</v>
      </c>
      <c r="E35" s="752">
        <v>3</v>
      </c>
      <c r="F35" s="752">
        <v>3</v>
      </c>
      <c r="G35" s="753" t="s">
        <v>626</v>
      </c>
      <c r="H35" s="753" t="s">
        <v>626</v>
      </c>
      <c r="I35" s="753" t="s">
        <v>626</v>
      </c>
      <c r="J35" s="753" t="s">
        <v>626</v>
      </c>
      <c r="K35" s="749" t="s">
        <v>640</v>
      </c>
      <c r="L35" s="749"/>
      <c r="M35" s="675"/>
      <c r="N35" s="675"/>
      <c r="O35" s="675"/>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2:93">
      <c r="B36" s="757" t="s">
        <v>24</v>
      </c>
      <c r="C36" s="754">
        <v>83</v>
      </c>
      <c r="D36" s="754">
        <v>83</v>
      </c>
      <c r="E36" s="754">
        <v>83</v>
      </c>
      <c r="F36" s="754">
        <v>83</v>
      </c>
      <c r="G36" s="754" t="s">
        <v>626</v>
      </c>
      <c r="H36" s="754" t="s">
        <v>626</v>
      </c>
      <c r="I36" s="754" t="s">
        <v>626</v>
      </c>
      <c r="J36" s="754" t="s">
        <v>626</v>
      </c>
      <c r="K36" s="749" t="s">
        <v>641</v>
      </c>
      <c r="L36" s="749"/>
      <c r="M36" s="675"/>
      <c r="N36" s="675"/>
      <c r="O36" s="675"/>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2:93" ht="16" thickBot="1">
      <c r="B37" s="758" t="s">
        <v>26</v>
      </c>
      <c r="C37" s="756">
        <v>17</v>
      </c>
      <c r="D37" s="756">
        <v>17</v>
      </c>
      <c r="E37" s="756">
        <v>17</v>
      </c>
      <c r="F37" s="756">
        <v>17</v>
      </c>
      <c r="G37" s="756" t="s">
        <v>626</v>
      </c>
      <c r="H37" s="756" t="s">
        <v>626</v>
      </c>
      <c r="I37" s="756" t="s">
        <v>626</v>
      </c>
      <c r="J37" s="756" t="s">
        <v>626</v>
      </c>
      <c r="K37" s="738" t="s">
        <v>641</v>
      </c>
      <c r="L37" s="738"/>
      <c r="M37" s="675"/>
      <c r="N37" s="675"/>
      <c r="O37" s="675"/>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2:93" ht="16" thickBot="1">
      <c r="B38" s="744" t="s">
        <v>28</v>
      </c>
      <c r="C38" s="738">
        <v>1.6</v>
      </c>
      <c r="D38" s="738">
        <v>1.6</v>
      </c>
      <c r="E38" s="738">
        <v>1.6</v>
      </c>
      <c r="F38" s="738">
        <v>1.6</v>
      </c>
      <c r="G38" s="738" t="s">
        <v>626</v>
      </c>
      <c r="H38" s="738" t="s">
        <v>626</v>
      </c>
      <c r="I38" s="738" t="s">
        <v>626</v>
      </c>
      <c r="J38" s="738" t="s">
        <v>626</v>
      </c>
      <c r="K38" s="738" t="s">
        <v>642</v>
      </c>
      <c r="L38" s="738"/>
      <c r="M38" s="675"/>
      <c r="N38" s="675"/>
      <c r="O38" s="675"/>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2:93" ht="16" thickBot="1">
      <c r="B39" s="758" t="s">
        <v>44</v>
      </c>
      <c r="C39" s="756">
        <v>235</v>
      </c>
      <c r="D39" s="756">
        <v>235</v>
      </c>
      <c r="E39" s="756">
        <v>235</v>
      </c>
      <c r="F39" s="756">
        <v>235</v>
      </c>
      <c r="G39" s="738" t="s">
        <v>626</v>
      </c>
      <c r="H39" s="738" t="s">
        <v>626</v>
      </c>
      <c r="I39" s="738" t="s">
        <v>626</v>
      </c>
      <c r="J39" s="738" t="s">
        <v>626</v>
      </c>
      <c r="K39" s="738" t="s">
        <v>40</v>
      </c>
      <c r="L39" s="738"/>
      <c r="M39" s="675"/>
      <c r="N39" s="675"/>
      <c r="O39" s="675"/>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2:93" ht="16" thickBot="1">
      <c r="B40" s="758" t="s">
        <v>482</v>
      </c>
      <c r="C40" s="756">
        <v>0</v>
      </c>
      <c r="D40" s="738">
        <v>0</v>
      </c>
      <c r="E40" s="738">
        <v>0</v>
      </c>
      <c r="F40" s="738">
        <v>0</v>
      </c>
      <c r="G40" s="738" t="s">
        <v>626</v>
      </c>
      <c r="H40" s="738" t="s">
        <v>626</v>
      </c>
      <c r="I40" s="738" t="s">
        <v>626</v>
      </c>
      <c r="J40" s="738" t="s">
        <v>626</v>
      </c>
      <c r="K40" s="738" t="s">
        <v>41</v>
      </c>
      <c r="L40" s="738"/>
      <c r="M40" s="675"/>
      <c r="N40" s="675"/>
      <c r="O40" s="675"/>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2:93">
      <c r="B41" s="439"/>
      <c r="D41" s="675"/>
      <c r="E41" s="675"/>
      <c r="I41" s="439"/>
      <c r="J41" s="675"/>
      <c r="K41" s="675"/>
      <c r="L41" s="675"/>
      <c r="M41" s="675"/>
      <c r="N41" s="675"/>
      <c r="O41" s="675"/>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2:93" ht="16" thickBot="1">
      <c r="B42" s="429" t="s">
        <v>499</v>
      </c>
      <c r="C42" s="430"/>
      <c r="D42" s="430"/>
      <c r="E42" s="430"/>
      <c r="F42" s="430"/>
      <c r="I42" s="737"/>
      <c r="J42" s="737"/>
      <c r="K42" s="737"/>
      <c r="L42" s="737"/>
      <c r="M42" s="675"/>
      <c r="N42" s="675"/>
      <c r="O42" s="675"/>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2:93" ht="16" thickBot="1">
      <c r="B43" s="694" t="s">
        <v>503</v>
      </c>
      <c r="C43" s="540">
        <f>C35/C$16*Euro</f>
        <v>0.59599999999999997</v>
      </c>
      <c r="D43" s="540">
        <f>D35/D$16*Euro</f>
        <v>0.59599999999999997</v>
      </c>
      <c r="E43" s="540">
        <f>E35/E$16*Euro</f>
        <v>0.44700000000000001</v>
      </c>
      <c r="F43" s="540">
        <f>F35/F$16*Euro</f>
        <v>0.44700000000000001</v>
      </c>
      <c r="G43" s="430"/>
      <c r="H43" s="430"/>
      <c r="I43" s="430"/>
      <c r="J43" s="430"/>
      <c r="K43" s="430"/>
      <c r="L43" s="432"/>
      <c r="M43" s="675"/>
      <c r="N43" s="675"/>
      <c r="O43" s="675"/>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2:93" ht="16" thickBot="1">
      <c r="B44" s="694" t="s">
        <v>504</v>
      </c>
      <c r="C44" s="540">
        <f>C38/C$16*Euro</f>
        <v>0.2384</v>
      </c>
      <c r="D44" s="540">
        <f>D38/D$16*Euro</f>
        <v>0.2384</v>
      </c>
      <c r="E44" s="540">
        <f>E38/E$16*Euro</f>
        <v>0.2384</v>
      </c>
      <c r="F44" s="540">
        <f>F38/F$16*Euro</f>
        <v>0.2384</v>
      </c>
      <c r="G44" s="540"/>
      <c r="H44" s="540"/>
      <c r="I44" s="540"/>
      <c r="J44" s="540"/>
      <c r="K44" s="540"/>
      <c r="L44" s="540"/>
      <c r="M44" s="675"/>
      <c r="N44" s="675"/>
      <c r="O44" s="675"/>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2:93" ht="16" thickBot="1">
      <c r="B45" s="694"/>
      <c r="C45" s="693"/>
      <c r="D45" s="693"/>
      <c r="E45" s="693"/>
      <c r="F45" s="693"/>
      <c r="G45" s="540"/>
      <c r="H45" s="540"/>
      <c r="I45" s="540"/>
      <c r="J45" s="540"/>
      <c r="K45" s="540"/>
      <c r="L45" s="540"/>
      <c r="M45" s="675"/>
      <c r="N45" s="675"/>
      <c r="O45" s="675"/>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2:93" ht="16" thickBot="1">
      <c r="B46" s="692" t="s">
        <v>502</v>
      </c>
      <c r="C46" s="540">
        <f>C39/C16/1000*Euro</f>
        <v>3.5015000000000004E-2</v>
      </c>
      <c r="D46" s="540">
        <f>D39/D16/1000*Euro</f>
        <v>3.5015000000000004E-2</v>
      </c>
      <c r="E46" s="540">
        <f>E39/E16/1000*Euro</f>
        <v>3.5015000000000004E-2</v>
      </c>
      <c r="F46" s="540">
        <f>F39/F16/1000*Euro</f>
        <v>3.5015000000000004E-2</v>
      </c>
      <c r="G46" s="693"/>
      <c r="H46" s="693"/>
      <c r="I46" s="693"/>
      <c r="J46" s="693"/>
      <c r="K46" s="693"/>
      <c r="L46" s="693"/>
      <c r="M46" s="675"/>
      <c r="N46" s="675"/>
      <c r="O46" s="675"/>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2:93" ht="16" thickBot="1">
      <c r="B47" s="526" t="s">
        <v>505</v>
      </c>
      <c r="C47" s="755">
        <f>C40/3.6*Euro</f>
        <v>0</v>
      </c>
      <c r="D47" s="775">
        <f>D40/3.6*Euro</f>
        <v>0</v>
      </c>
      <c r="E47" s="775">
        <f>E40/3.6*Euro</f>
        <v>0</v>
      </c>
      <c r="F47" s="775">
        <f>F40/3.6*Euro</f>
        <v>0</v>
      </c>
      <c r="G47" s="540"/>
      <c r="H47" s="540"/>
      <c r="I47" s="540"/>
      <c r="J47" s="540"/>
      <c r="K47" s="540"/>
      <c r="L47" s="540"/>
      <c r="M47" s="675"/>
      <c r="N47" s="675"/>
      <c r="O47" s="675"/>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2:93" ht="16" thickBot="1">
      <c r="B48" s="526"/>
      <c r="C48" s="755"/>
      <c r="D48" s="755"/>
      <c r="E48" s="755"/>
      <c r="F48" s="755"/>
      <c r="G48" s="755"/>
      <c r="H48" s="755"/>
      <c r="I48" s="755"/>
      <c r="J48" s="755"/>
      <c r="K48" s="755"/>
      <c r="L48" s="755"/>
      <c r="M48" s="675"/>
      <c r="N48" s="675"/>
      <c r="O48" s="675"/>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2:93">
      <c r="B49" s="439"/>
      <c r="C49" s="439"/>
      <c r="D49" s="439"/>
      <c r="E49" s="439"/>
      <c r="F49" s="439"/>
      <c r="G49" s="439"/>
      <c r="H49" s="439"/>
      <c r="I49" s="439"/>
      <c r="J49" s="675"/>
      <c r="K49" s="675"/>
      <c r="L49" s="675"/>
      <c r="M49" s="675"/>
      <c r="N49" s="675"/>
      <c r="O49" s="675"/>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2:93">
      <c r="B50" s="439"/>
      <c r="C50" s="439"/>
      <c r="D50" s="439"/>
      <c r="E50" s="439"/>
      <c r="F50" s="439"/>
      <c r="G50" s="439"/>
      <c r="H50" s="439"/>
      <c r="I50" s="439"/>
      <c r="J50" s="675"/>
      <c r="K50" s="675"/>
      <c r="L50" s="675"/>
      <c r="M50" s="675"/>
      <c r="N50" s="675"/>
      <c r="O50" s="675"/>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2:93">
      <c r="B51" s="439"/>
      <c r="C51" s="439"/>
      <c r="D51" s="439"/>
      <c r="E51" s="439"/>
      <c r="F51" s="439"/>
      <c r="G51" s="439"/>
      <c r="H51" s="439"/>
      <c r="I51" s="439"/>
      <c r="J51" s="675"/>
      <c r="K51" s="675"/>
      <c r="L51" s="675"/>
      <c r="M51" s="675"/>
      <c r="N51" s="675"/>
      <c r="O51" s="675"/>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2:93">
      <c r="B52" s="439"/>
      <c r="C52" s="439"/>
      <c r="D52" s="439"/>
      <c r="E52" s="439"/>
      <c r="F52" s="439"/>
      <c r="G52" s="439"/>
      <c r="H52" s="439"/>
      <c r="I52" s="439"/>
      <c r="J52" s="675"/>
      <c r="K52" s="675"/>
      <c r="L52" s="675"/>
      <c r="M52" s="675"/>
      <c r="N52" s="675"/>
      <c r="O52" s="675"/>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2:93">
      <c r="B53" s="439"/>
      <c r="C53" s="439"/>
      <c r="D53" s="439"/>
      <c r="E53" s="439"/>
      <c r="F53" s="439"/>
      <c r="G53" s="439"/>
      <c r="H53" s="439"/>
      <c r="I53" s="439"/>
      <c r="J53" s="675"/>
      <c r="K53" s="675"/>
      <c r="L53" s="675"/>
      <c r="M53" s="675"/>
      <c r="N53" s="675"/>
      <c r="O53" s="675"/>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2:93">
      <c r="B54" s="439"/>
      <c r="C54" s="439"/>
      <c r="D54" s="439"/>
      <c r="E54" s="439"/>
      <c r="F54" s="439"/>
      <c r="G54" s="439"/>
      <c r="H54" s="439"/>
      <c r="I54" s="439"/>
      <c r="J54" s="675"/>
      <c r="K54" s="675"/>
      <c r="L54" s="675"/>
      <c r="M54" s="675"/>
      <c r="N54" s="675"/>
      <c r="O54" s="675"/>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2:93">
      <c r="B55" s="439"/>
      <c r="C55" s="439"/>
      <c r="D55" s="439"/>
      <c r="E55" s="439"/>
      <c r="F55" s="439"/>
      <c r="G55" s="439"/>
      <c r="H55" s="439"/>
      <c r="I55" s="439"/>
      <c r="J55" s="675"/>
      <c r="K55" s="675"/>
      <c r="L55" s="675"/>
      <c r="M55" s="675"/>
      <c r="N55" s="675"/>
      <c r="O55" s="675"/>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2:93">
      <c r="B56" s="439"/>
      <c r="C56" s="439"/>
      <c r="D56" s="439"/>
      <c r="E56" s="439"/>
      <c r="F56" s="439"/>
      <c r="G56" s="439"/>
      <c r="H56" s="439"/>
      <c r="I56" s="439"/>
      <c r="J56" s="675"/>
      <c r="K56" s="675"/>
      <c r="L56" s="675"/>
      <c r="M56" s="675"/>
      <c r="N56" s="675"/>
      <c r="O56" s="675"/>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2:93">
      <c r="B57" s="439"/>
      <c r="C57" s="439"/>
      <c r="D57" s="439"/>
      <c r="E57" s="439"/>
      <c r="F57" s="439"/>
      <c r="G57" s="439"/>
      <c r="H57" s="439"/>
      <c r="I57" s="439"/>
      <c r="J57" s="675"/>
      <c r="K57" s="675"/>
      <c r="L57" s="675"/>
      <c r="M57" s="675"/>
      <c r="N57" s="675"/>
      <c r="O57" s="675"/>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2:93">
      <c r="B58" s="439"/>
      <c r="C58" s="439"/>
      <c r="D58" s="439"/>
      <c r="E58" s="439"/>
      <c r="F58" s="439"/>
      <c r="G58" s="439"/>
      <c r="H58" s="439"/>
      <c r="I58" s="439"/>
      <c r="J58" s="675"/>
      <c r="K58" s="675"/>
      <c r="L58" s="675"/>
      <c r="M58" s="675"/>
      <c r="N58" s="675"/>
      <c r="O58" s="675"/>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2:93">
      <c r="B59" s="439"/>
      <c r="C59" s="439"/>
      <c r="D59" s="439"/>
      <c r="E59" s="439"/>
      <c r="F59" s="439"/>
      <c r="G59" s="439"/>
      <c r="H59" s="439"/>
      <c r="I59" s="439"/>
      <c r="J59" s="675"/>
      <c r="K59" s="675"/>
      <c r="L59" s="675"/>
      <c r="M59" s="675"/>
      <c r="N59" s="675"/>
      <c r="O59" s="675"/>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2:93">
      <c r="B60" s="439"/>
      <c r="C60" s="439"/>
      <c r="D60" s="439"/>
      <c r="E60" s="439"/>
      <c r="F60" s="439"/>
      <c r="G60" s="439"/>
      <c r="H60" s="439"/>
      <c r="I60" s="439"/>
      <c r="J60" s="675"/>
      <c r="K60" s="675"/>
      <c r="L60" s="675"/>
      <c r="M60" s="675"/>
      <c r="N60" s="675"/>
      <c r="O60" s="675"/>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2:93">
      <c r="B61" s="439"/>
      <c r="C61" s="439"/>
      <c r="D61" s="439"/>
      <c r="E61" s="439"/>
      <c r="F61" s="439"/>
      <c r="G61" s="439"/>
      <c r="H61" s="439"/>
      <c r="I61" s="439"/>
      <c r="J61" s="675"/>
      <c r="K61" s="675"/>
      <c r="L61" s="675"/>
      <c r="M61" s="675"/>
      <c r="N61" s="675"/>
      <c r="O61" s="675"/>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2:93">
      <c r="B62" s="439"/>
      <c r="C62" s="439"/>
      <c r="D62" s="439"/>
      <c r="E62" s="439"/>
      <c r="F62" s="439"/>
      <c r="G62" s="439"/>
      <c r="H62" s="439"/>
      <c r="I62" s="439"/>
      <c r="J62" s="675"/>
      <c r="K62" s="675"/>
      <c r="L62" s="675"/>
      <c r="M62" s="675"/>
      <c r="N62" s="675"/>
      <c r="O62" s="675"/>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2:93">
      <c r="B63" s="439"/>
      <c r="C63" s="439"/>
      <c r="D63" s="439"/>
      <c r="E63" s="439"/>
      <c r="F63" s="439"/>
      <c r="G63" s="439"/>
      <c r="H63" s="439"/>
      <c r="I63" s="439"/>
      <c r="J63" s="675"/>
      <c r="K63" s="675"/>
      <c r="L63" s="675"/>
      <c r="M63" s="675"/>
      <c r="N63" s="675"/>
      <c r="O63" s="675"/>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2:93">
      <c r="B64" s="439"/>
      <c r="C64" s="439"/>
      <c r="D64" s="439"/>
      <c r="E64" s="439"/>
      <c r="F64" s="439"/>
      <c r="G64" s="439"/>
      <c r="H64" s="439"/>
      <c r="I64" s="439"/>
      <c r="J64" s="675"/>
      <c r="K64" s="675"/>
      <c r="L64" s="675"/>
      <c r="M64" s="675"/>
      <c r="N64" s="675"/>
      <c r="O64" s="675"/>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2:93">
      <c r="B65" s="439"/>
      <c r="C65" s="439"/>
      <c r="D65" s="439"/>
      <c r="E65" s="439"/>
      <c r="F65" s="439"/>
      <c r="G65" s="439"/>
      <c r="H65" s="439"/>
      <c r="I65" s="439"/>
      <c r="J65" s="675"/>
      <c r="K65" s="675"/>
      <c r="L65" s="675"/>
      <c r="M65" s="675"/>
      <c r="N65" s="675"/>
      <c r="O65" s="675"/>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2:93">
      <c r="B66" s="439"/>
      <c r="C66" s="439"/>
      <c r="D66" s="439"/>
      <c r="E66" s="439"/>
      <c r="F66" s="439"/>
      <c r="G66" s="439"/>
      <c r="H66" s="439"/>
      <c r="I66" s="439"/>
      <c r="J66" s="675"/>
      <c r="K66" s="675"/>
      <c r="L66" s="675"/>
      <c r="M66" s="675"/>
      <c r="N66" s="675"/>
      <c r="O66" s="675"/>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2:93">
      <c r="B67" s="439"/>
      <c r="C67" s="439"/>
      <c r="D67" s="439"/>
      <c r="E67" s="439"/>
      <c r="F67" s="439"/>
      <c r="G67" s="439"/>
      <c r="H67" s="439"/>
      <c r="I67" s="439"/>
      <c r="J67" s="675"/>
      <c r="K67" s="675"/>
      <c r="L67" s="675"/>
      <c r="M67" s="675"/>
      <c r="N67" s="675"/>
      <c r="O67" s="675"/>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2:93">
      <c r="B68" s="439"/>
      <c r="C68" s="439"/>
      <c r="D68" s="439"/>
      <c r="E68" s="439"/>
      <c r="F68" s="439"/>
      <c r="G68" s="439"/>
      <c r="H68" s="439"/>
      <c r="I68" s="439"/>
      <c r="J68" s="675"/>
      <c r="K68" s="675"/>
      <c r="L68" s="675"/>
      <c r="M68" s="675"/>
      <c r="N68" s="675"/>
      <c r="O68" s="675"/>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2:93">
      <c r="B69" s="439"/>
      <c r="C69" s="439"/>
      <c r="D69" s="439"/>
      <c r="E69" s="439"/>
      <c r="F69" s="439"/>
      <c r="G69" s="439"/>
      <c r="H69" s="439"/>
      <c r="I69" s="439"/>
      <c r="J69" s="675"/>
      <c r="K69" s="675"/>
      <c r="L69" s="675"/>
      <c r="M69" s="675"/>
      <c r="N69" s="675"/>
      <c r="O69" s="675"/>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2:93">
      <c r="B70" s="439"/>
      <c r="C70" s="439"/>
      <c r="D70" s="439"/>
      <c r="E70" s="439"/>
      <c r="F70" s="439"/>
      <c r="G70" s="439"/>
      <c r="H70" s="439"/>
      <c r="I70" s="439"/>
      <c r="J70" s="675"/>
      <c r="K70" s="675"/>
      <c r="L70" s="675"/>
      <c r="M70" s="675"/>
      <c r="N70" s="675"/>
      <c r="O70" s="675"/>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2:93">
      <c r="B71" s="439"/>
      <c r="C71" s="439"/>
      <c r="D71" s="439"/>
      <c r="E71" s="439"/>
      <c r="F71" s="439"/>
      <c r="G71" s="439"/>
      <c r="H71" s="439"/>
      <c r="I71" s="439"/>
      <c r="J71" s="675"/>
      <c r="K71" s="675"/>
      <c r="L71" s="675"/>
      <c r="M71" s="675"/>
      <c r="N71" s="675"/>
      <c r="O71" s="675"/>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2:93">
      <c r="B72" s="439"/>
      <c r="C72" s="439"/>
      <c r="D72" s="439"/>
      <c r="E72" s="439"/>
      <c r="F72" s="439"/>
      <c r="G72" s="439"/>
      <c r="H72" s="439"/>
      <c r="I72" s="439"/>
      <c r="J72" s="675"/>
      <c r="K72" s="675"/>
      <c r="L72" s="675"/>
      <c r="M72" s="675"/>
      <c r="N72" s="675"/>
      <c r="O72" s="675"/>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2:93">
      <c r="B73" s="439"/>
      <c r="C73" s="439"/>
      <c r="D73" s="439"/>
      <c r="E73" s="439"/>
      <c r="F73" s="439"/>
      <c r="G73" s="439"/>
      <c r="H73" s="439"/>
      <c r="I73" s="439"/>
      <c r="J73" s="675"/>
      <c r="K73" s="675"/>
      <c r="L73" s="675"/>
      <c r="M73" s="675"/>
      <c r="N73" s="675"/>
      <c r="O73" s="675"/>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2:93">
      <c r="B74" s="439"/>
      <c r="C74" s="439"/>
      <c r="D74" s="439"/>
      <c r="E74" s="439"/>
      <c r="F74" s="439"/>
      <c r="G74" s="439"/>
      <c r="H74" s="439"/>
      <c r="I74" s="439"/>
      <c r="J74" s="675"/>
      <c r="K74" s="675"/>
      <c r="L74" s="675"/>
      <c r="M74" s="675"/>
      <c r="N74" s="675"/>
      <c r="O74" s="675"/>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2:93">
      <c r="B75" s="439"/>
      <c r="C75" s="439"/>
      <c r="D75" s="439"/>
      <c r="E75" s="439"/>
      <c r="F75" s="439"/>
      <c r="G75" s="439"/>
      <c r="H75" s="439"/>
      <c r="I75" s="439"/>
      <c r="J75" s="675"/>
      <c r="K75" s="675"/>
      <c r="L75" s="675"/>
      <c r="M75" s="675"/>
      <c r="N75" s="675"/>
      <c r="O75" s="675"/>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2: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2: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2: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2: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2: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row r="148" spans="3:93">
      <c r="C148"/>
      <c r="D148"/>
      <c r="E148"/>
      <c r="F148"/>
      <c r="G148"/>
      <c r="H14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row>
    <row r="149" spans="3:93">
      <c r="C149"/>
      <c r="D149"/>
      <c r="E149"/>
      <c r="F149"/>
      <c r="G149"/>
      <c r="H14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sheetPr>
  <dimension ref="B1:CO154"/>
  <sheetViews>
    <sheetView workbookViewId="0">
      <selection activeCell="J3" sqref="J3:J11"/>
    </sheetView>
  </sheetViews>
  <sheetFormatPr baseColWidth="10" defaultColWidth="8.83203125" defaultRowHeight="15"/>
  <cols>
    <col min="2" max="2" width="51.5" customWidth="1"/>
    <col min="3" max="3" width="8.5" style="52" bestFit="1" customWidth="1"/>
    <col min="4" max="4" width="9.5" style="52" bestFit="1" customWidth="1"/>
    <col min="5" max="5" width="9.1640625" style="52"/>
    <col min="6" max="6" width="9.5" style="52" bestFit="1" customWidth="1"/>
    <col min="7" max="7" width="7.83203125" style="52" customWidth="1"/>
    <col min="8" max="8" width="9.1640625" style="52"/>
    <col min="11" max="11" width="43.1640625" customWidth="1"/>
  </cols>
  <sheetData>
    <row r="1" spans="2:93" ht="29">
      <c r="B1" s="145" t="s">
        <v>280</v>
      </c>
    </row>
    <row r="2" spans="2:93">
      <c r="B2" s="8" t="s">
        <v>278</v>
      </c>
    </row>
    <row r="3" spans="2:93" s="737" customFormat="1">
      <c r="B3" s="8"/>
      <c r="C3" s="52"/>
      <c r="D3" s="52"/>
      <c r="E3" s="52"/>
      <c r="F3" s="52"/>
      <c r="G3" s="52"/>
      <c r="H3" s="52"/>
      <c r="J3" s="821" t="s">
        <v>783</v>
      </c>
    </row>
    <row r="4" spans="2:93" s="737" customFormat="1" ht="16" thickBot="1">
      <c r="B4" s="146" t="s">
        <v>273</v>
      </c>
      <c r="C4"/>
      <c r="D4"/>
      <c r="E4"/>
      <c r="F4"/>
      <c r="G4"/>
      <c r="H4"/>
      <c r="I4"/>
      <c r="J4" s="821">
        <v>0.2</v>
      </c>
      <c r="K4"/>
      <c r="L4"/>
      <c r="M4"/>
      <c r="N4"/>
      <c r="O4"/>
      <c r="P4"/>
    </row>
    <row r="5" spans="2:93" s="737" customFormat="1" ht="31" thickTop="1">
      <c r="B5" s="27" t="s">
        <v>255</v>
      </c>
      <c r="C5" s="27" t="s">
        <v>256</v>
      </c>
      <c r="D5" s="28" t="s">
        <v>257</v>
      </c>
      <c r="E5" s="28" t="s">
        <v>259</v>
      </c>
      <c r="F5" s="29" t="s">
        <v>260</v>
      </c>
      <c r="G5" s="30" t="s">
        <v>261</v>
      </c>
      <c r="H5" s="30" t="s">
        <v>262</v>
      </c>
      <c r="I5" s="136" t="s">
        <v>263</v>
      </c>
      <c r="J5" s="30" t="s">
        <v>264</v>
      </c>
      <c r="K5" s="30" t="s">
        <v>265</v>
      </c>
      <c r="L5" s="30" t="s">
        <v>266</v>
      </c>
      <c r="M5" s="30" t="s">
        <v>267</v>
      </c>
      <c r="N5" s="30" t="s">
        <v>268</v>
      </c>
      <c r="O5" s="30" t="s">
        <v>269</v>
      </c>
    </row>
    <row r="6" spans="2:93" s="737" customFormat="1" ht="16" thickBot="1">
      <c r="B6" s="31"/>
      <c r="C6" s="31"/>
      <c r="D6" s="32"/>
      <c r="E6" s="32"/>
      <c r="F6" s="33"/>
      <c r="G6" s="31"/>
      <c r="H6" s="31"/>
      <c r="I6" s="31"/>
      <c r="J6" s="31"/>
      <c r="K6" s="31"/>
      <c r="L6" s="31"/>
      <c r="M6" s="31"/>
      <c r="N6" s="31"/>
      <c r="O6" s="31"/>
    </row>
    <row r="7" spans="2:93" s="737" customFormat="1">
      <c r="B7" s="37"/>
      <c r="C7" s="37"/>
      <c r="D7" s="38"/>
      <c r="E7" s="38" t="s">
        <v>637</v>
      </c>
      <c r="F7" s="38" t="s">
        <v>353</v>
      </c>
      <c r="G7" s="38" t="s">
        <v>354</v>
      </c>
      <c r="H7" s="38" t="s">
        <v>355</v>
      </c>
      <c r="I7" s="37" t="s">
        <v>271</v>
      </c>
      <c r="J7" s="37" t="s">
        <v>271</v>
      </c>
      <c r="K7" s="37" t="s">
        <v>272</v>
      </c>
      <c r="L7" s="37" t="s">
        <v>272</v>
      </c>
      <c r="M7" s="37" t="s">
        <v>272</v>
      </c>
      <c r="N7" s="37" t="s">
        <v>272</v>
      </c>
      <c r="O7" s="37" t="s">
        <v>272</v>
      </c>
    </row>
    <row r="8" spans="2:93" s="737" customFormat="1">
      <c r="B8" s="39">
        <f>C14</f>
        <v>2015</v>
      </c>
      <c r="C8" s="39">
        <f>B8</f>
        <v>2015</v>
      </c>
      <c r="D8" s="39">
        <f>C21/100</f>
        <v>1.5</v>
      </c>
      <c r="E8" s="39">
        <f>C23</f>
        <v>15</v>
      </c>
      <c r="F8" s="226">
        <f>C43</f>
        <v>2.831</v>
      </c>
      <c r="G8" s="226">
        <f>C46</f>
        <v>3.5015000000000004E-2</v>
      </c>
      <c r="H8" s="226">
        <f>C47</f>
        <v>0</v>
      </c>
      <c r="I8" s="39"/>
      <c r="J8" s="39">
        <f>$J$4*E19/100</f>
        <v>0.2</v>
      </c>
      <c r="K8" s="39">
        <f>C29</f>
        <v>0</v>
      </c>
      <c r="L8" s="523">
        <f>C30</f>
        <v>120</v>
      </c>
      <c r="M8" s="523">
        <f>C31</f>
        <v>5</v>
      </c>
      <c r="N8" s="350" t="str">
        <f>C32</f>
        <v>-</v>
      </c>
      <c r="O8" s="523" t="str">
        <f>C33</f>
        <v>-</v>
      </c>
    </row>
    <row r="9" spans="2:93" s="737" customFormat="1">
      <c r="B9" s="39">
        <f>D14</f>
        <v>2020</v>
      </c>
      <c r="C9" s="39"/>
      <c r="D9" s="39">
        <f>D21/100</f>
        <v>1.55</v>
      </c>
      <c r="E9" s="39">
        <f>D23</f>
        <v>20</v>
      </c>
      <c r="F9" s="226">
        <f>D43</f>
        <v>2.6611399999999996</v>
      </c>
      <c r="G9" s="226">
        <f>D46</f>
        <v>3.5015000000000004E-2</v>
      </c>
      <c r="H9" s="226">
        <f>D47</f>
        <v>0</v>
      </c>
      <c r="I9" s="39"/>
      <c r="J9" s="39">
        <f>$J$4*D19/100</f>
        <v>0.2</v>
      </c>
      <c r="K9" s="39">
        <f>D29</f>
        <v>0</v>
      </c>
      <c r="L9" s="523">
        <f>D30</f>
        <v>80</v>
      </c>
      <c r="M9" s="523">
        <f>D31</f>
        <v>5</v>
      </c>
      <c r="N9" s="350" t="str">
        <f>D32</f>
        <v>-</v>
      </c>
      <c r="O9" s="523" t="str">
        <f>D33</f>
        <v>-</v>
      </c>
    </row>
    <row r="10" spans="2:93" ht="15" customHeight="1">
      <c r="B10" s="39">
        <f>E14</f>
        <v>2030</v>
      </c>
      <c r="C10" s="39"/>
      <c r="D10" s="39">
        <f>E21/100</f>
        <v>1.55</v>
      </c>
      <c r="E10" s="39">
        <f>E23</f>
        <v>20</v>
      </c>
      <c r="F10" s="226">
        <f>E43</f>
        <v>2.3950260000000005</v>
      </c>
      <c r="G10" s="226">
        <f>E46</f>
        <v>3.5015000000000004E-2</v>
      </c>
      <c r="H10" s="226">
        <f>E47</f>
        <v>0</v>
      </c>
      <c r="I10" s="39"/>
      <c r="J10" s="39">
        <f>$J$4*E19/100</f>
        <v>0.2</v>
      </c>
      <c r="K10" s="39">
        <f>E29</f>
        <v>0</v>
      </c>
      <c r="L10" s="523">
        <f>E30</f>
        <v>50</v>
      </c>
      <c r="M10" s="523">
        <f>E31</f>
        <v>5</v>
      </c>
      <c r="N10" s="350" t="str">
        <f>E32</f>
        <v>-</v>
      </c>
      <c r="O10" s="523" t="str">
        <f>E33</f>
        <v>-</v>
      </c>
      <c r="P10" s="737"/>
    </row>
    <row r="11" spans="2:93" ht="16" thickBot="1">
      <c r="B11" s="39">
        <f>F14</f>
        <v>2050</v>
      </c>
      <c r="C11" s="39"/>
      <c r="D11" s="39">
        <f>F21/100</f>
        <v>1.6</v>
      </c>
      <c r="E11" s="39">
        <f>F23</f>
        <v>20</v>
      </c>
      <c r="F11" s="226">
        <f>F43</f>
        <v>2.1555234000000003</v>
      </c>
      <c r="G11" s="226">
        <f>F46</f>
        <v>3.5015000000000004E-2</v>
      </c>
      <c r="H11" s="226">
        <f>F47</f>
        <v>0</v>
      </c>
      <c r="I11" s="143"/>
      <c r="J11" s="39">
        <f>$J$4*F19/100</f>
        <v>0.2</v>
      </c>
      <c r="K11" s="39">
        <f>F29</f>
        <v>0</v>
      </c>
      <c r="L11" s="523">
        <f>F30</f>
        <v>50</v>
      </c>
      <c r="M11" s="523">
        <f>F31</f>
        <v>5</v>
      </c>
      <c r="N11" s="350" t="str">
        <f>F32</f>
        <v>-</v>
      </c>
      <c r="O11" s="523" t="str">
        <f>F33</f>
        <v>-</v>
      </c>
      <c r="P11" s="737"/>
    </row>
    <row r="12" spans="2:93" ht="17" thickTop="1" thickBot="1">
      <c r="B12" s="737"/>
      <c r="I12" s="737"/>
      <c r="J12" s="732"/>
      <c r="K12" s="351"/>
      <c r="L12" s="351"/>
      <c r="M12" s="351"/>
      <c r="N12" s="351"/>
      <c r="O12" s="733"/>
      <c r="P12" s="737"/>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6" thickBot="1">
      <c r="B13" s="739" t="s">
        <v>0</v>
      </c>
      <c r="C13" s="720" t="s">
        <v>638</v>
      </c>
      <c r="D13" s="672"/>
      <c r="E13" s="672"/>
      <c r="F13" s="672"/>
      <c r="G13" s="672"/>
      <c r="H13" s="672"/>
      <c r="I13" s="672"/>
      <c r="J13" s="672"/>
      <c r="K13" s="672"/>
      <c r="L13" s="673"/>
      <c r="M13" s="734"/>
      <c r="N13" s="734"/>
      <c r="O13" s="735"/>
      <c r="P13" s="737"/>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75" customHeight="1" thickBot="1">
      <c r="B14" s="760"/>
      <c r="C14" s="761">
        <v>2015</v>
      </c>
      <c r="D14" s="761">
        <v>2020</v>
      </c>
      <c r="E14" s="761">
        <v>2030</v>
      </c>
      <c r="F14" s="761">
        <v>2050</v>
      </c>
      <c r="G14" s="762" t="s">
        <v>467</v>
      </c>
      <c r="H14" s="763"/>
      <c r="I14" s="762" t="s">
        <v>468</v>
      </c>
      <c r="J14" s="763"/>
      <c r="K14" s="761" t="s">
        <v>2</v>
      </c>
      <c r="L14" s="761" t="s">
        <v>3</v>
      </c>
      <c r="M14" s="734"/>
      <c r="N14" s="734"/>
      <c r="O14" s="735"/>
      <c r="P14" s="737"/>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6" thickBot="1">
      <c r="B15" s="740" t="s">
        <v>4</v>
      </c>
      <c r="C15" s="747"/>
      <c r="D15" s="747"/>
      <c r="E15" s="747"/>
      <c r="F15" s="747"/>
      <c r="G15" s="741" t="s">
        <v>469</v>
      </c>
      <c r="H15" s="742" t="s">
        <v>470</v>
      </c>
      <c r="I15" s="742" t="s">
        <v>469</v>
      </c>
      <c r="J15" s="743" t="s">
        <v>470</v>
      </c>
      <c r="K15" s="747"/>
      <c r="L15" s="748"/>
      <c r="M15" s="734"/>
      <c r="N15" s="734"/>
      <c r="O15" s="735"/>
      <c r="P15" s="737"/>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6" thickBot="1">
      <c r="B16" s="744" t="s">
        <v>5</v>
      </c>
      <c r="C16" s="751">
        <v>50</v>
      </c>
      <c r="D16" s="751">
        <v>50</v>
      </c>
      <c r="E16" s="751">
        <v>50</v>
      </c>
      <c r="F16" s="751">
        <v>50</v>
      </c>
      <c r="G16" s="738">
        <v>20</v>
      </c>
      <c r="H16" s="738">
        <v>80</v>
      </c>
      <c r="I16" s="738">
        <v>20</v>
      </c>
      <c r="J16" s="738">
        <v>80</v>
      </c>
      <c r="K16" s="738" t="s">
        <v>639</v>
      </c>
      <c r="L16" s="738">
        <v>5</v>
      </c>
      <c r="M16" s="734"/>
      <c r="N16" s="734"/>
      <c r="O16" s="735"/>
      <c r="P16" s="737"/>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744" t="s">
        <v>77</v>
      </c>
      <c r="C17" s="738" t="s">
        <v>626</v>
      </c>
      <c r="D17" s="738" t="s">
        <v>626</v>
      </c>
      <c r="E17" s="738" t="s">
        <v>626</v>
      </c>
      <c r="F17" s="738" t="s">
        <v>626</v>
      </c>
      <c r="G17" s="738" t="s">
        <v>626</v>
      </c>
      <c r="H17" s="738" t="s">
        <v>626</v>
      </c>
      <c r="I17" s="738" t="s">
        <v>626</v>
      </c>
      <c r="J17" s="738" t="s">
        <v>626</v>
      </c>
      <c r="K17" s="738"/>
      <c r="L17" s="738"/>
      <c r="M17" s="676"/>
      <c r="N17" s="676"/>
      <c r="O17" s="677"/>
      <c r="P17" s="737"/>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744" t="s">
        <v>7</v>
      </c>
      <c r="C18" s="738">
        <v>100</v>
      </c>
      <c r="D18" s="738">
        <v>100</v>
      </c>
      <c r="E18" s="738">
        <v>100</v>
      </c>
      <c r="F18" s="738">
        <v>100</v>
      </c>
      <c r="G18" s="738" t="s">
        <v>626</v>
      </c>
      <c r="H18" s="738" t="s">
        <v>626</v>
      </c>
      <c r="I18" s="738" t="s">
        <v>626</v>
      </c>
      <c r="J18" s="738" t="s">
        <v>626</v>
      </c>
      <c r="K18" s="738"/>
      <c r="L18" s="738"/>
      <c r="M18" s="439"/>
      <c r="N18" s="439"/>
      <c r="O18" s="439"/>
      <c r="P18" s="737"/>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744" t="s">
        <v>8</v>
      </c>
      <c r="C19" s="738">
        <v>100</v>
      </c>
      <c r="D19" s="738">
        <v>100</v>
      </c>
      <c r="E19" s="738">
        <v>100</v>
      </c>
      <c r="F19" s="738">
        <v>100</v>
      </c>
      <c r="G19" s="738" t="s">
        <v>626</v>
      </c>
      <c r="H19" s="738" t="s">
        <v>626</v>
      </c>
      <c r="I19" s="738" t="s">
        <v>626</v>
      </c>
      <c r="J19" s="738" t="s">
        <v>626</v>
      </c>
      <c r="K19" s="738"/>
      <c r="L19" s="738"/>
      <c r="M19" s="439"/>
      <c r="N19" s="439"/>
      <c r="O19" s="439"/>
      <c r="P19" s="737"/>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744" t="s">
        <v>86</v>
      </c>
      <c r="C20" s="738" t="s">
        <v>626</v>
      </c>
      <c r="D20" s="738" t="s">
        <v>626</v>
      </c>
      <c r="E20" s="738" t="s">
        <v>626</v>
      </c>
      <c r="F20" s="738" t="s">
        <v>626</v>
      </c>
      <c r="G20" s="738" t="s">
        <v>626</v>
      </c>
      <c r="H20" s="738" t="s">
        <v>626</v>
      </c>
      <c r="I20" s="738" t="s">
        <v>626</v>
      </c>
      <c r="J20" s="738" t="s">
        <v>626</v>
      </c>
      <c r="K20" s="738"/>
      <c r="L20" s="738"/>
      <c r="M20" s="439"/>
      <c r="N20" s="439"/>
      <c r="O20" s="439"/>
      <c r="P20" s="737"/>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6" thickBot="1">
      <c r="B21" s="744" t="s">
        <v>9</v>
      </c>
      <c r="C21" s="738">
        <v>150</v>
      </c>
      <c r="D21" s="738">
        <v>155</v>
      </c>
      <c r="E21" s="738">
        <v>155</v>
      </c>
      <c r="F21" s="738">
        <v>160</v>
      </c>
      <c r="G21" s="738" t="s">
        <v>626</v>
      </c>
      <c r="H21" s="738" t="s">
        <v>626</v>
      </c>
      <c r="I21" s="738" t="s">
        <v>626</v>
      </c>
      <c r="J21" s="738" t="s">
        <v>626</v>
      </c>
      <c r="K21" s="738"/>
      <c r="L21" s="738">
        <v>14</v>
      </c>
      <c r="M21" s="439"/>
      <c r="N21" s="439"/>
      <c r="O21" s="439"/>
      <c r="P21" s="737"/>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744" t="s">
        <v>472</v>
      </c>
      <c r="C22" s="738" t="s">
        <v>626</v>
      </c>
      <c r="D22" s="738" t="s">
        <v>626</v>
      </c>
      <c r="E22" s="738" t="s">
        <v>626</v>
      </c>
      <c r="F22" s="738" t="s">
        <v>626</v>
      </c>
      <c r="G22" s="738" t="s">
        <v>626</v>
      </c>
      <c r="H22" s="738" t="s">
        <v>626</v>
      </c>
      <c r="I22" s="738" t="s">
        <v>626</v>
      </c>
      <c r="J22" s="738" t="s">
        <v>626</v>
      </c>
      <c r="K22" s="738"/>
      <c r="L22" s="738"/>
      <c r="M22" s="439"/>
      <c r="N22" s="439"/>
      <c r="O22" s="439"/>
      <c r="P22" s="737"/>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744" t="s">
        <v>10</v>
      </c>
      <c r="C23" s="759">
        <v>15</v>
      </c>
      <c r="D23" s="738">
        <v>20</v>
      </c>
      <c r="E23" s="738">
        <v>20</v>
      </c>
      <c r="F23" s="738">
        <v>20</v>
      </c>
      <c r="G23" s="738">
        <v>15</v>
      </c>
      <c r="H23" s="738">
        <v>20</v>
      </c>
      <c r="I23" s="738">
        <v>15</v>
      </c>
      <c r="J23" s="738">
        <v>20</v>
      </c>
      <c r="K23" s="738" t="s">
        <v>42</v>
      </c>
      <c r="L23" s="738"/>
      <c r="M23" s="439"/>
      <c r="N23" s="439"/>
      <c r="O23" s="439"/>
      <c r="P23" s="737"/>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740" t="s">
        <v>488</v>
      </c>
      <c r="C24" s="745"/>
      <c r="D24" s="745"/>
      <c r="E24" s="745"/>
      <c r="F24" s="745"/>
      <c r="G24" s="745"/>
      <c r="H24" s="745"/>
      <c r="I24" s="745"/>
      <c r="J24" s="745"/>
      <c r="K24" s="745"/>
      <c r="L24" s="738"/>
      <c r="M24" s="439"/>
      <c r="N24" s="439"/>
      <c r="O24" s="439"/>
      <c r="P24" s="737"/>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744" t="s">
        <v>578</v>
      </c>
      <c r="C25" s="738" t="s">
        <v>626</v>
      </c>
      <c r="D25" s="738" t="s">
        <v>626</v>
      </c>
      <c r="E25" s="738" t="s">
        <v>626</v>
      </c>
      <c r="F25" s="738" t="s">
        <v>626</v>
      </c>
      <c r="G25" s="738" t="s">
        <v>626</v>
      </c>
      <c r="H25" s="738" t="s">
        <v>626</v>
      </c>
      <c r="I25" s="738" t="s">
        <v>626</v>
      </c>
      <c r="J25" s="738" t="s">
        <v>626</v>
      </c>
      <c r="K25" s="746"/>
      <c r="L25" s="738"/>
      <c r="M25" s="439"/>
      <c r="N25" s="439"/>
      <c r="O25" s="439"/>
      <c r="P25" s="737"/>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744" t="s">
        <v>492</v>
      </c>
      <c r="C26" s="738" t="s">
        <v>626</v>
      </c>
      <c r="D26" s="738" t="s">
        <v>626</v>
      </c>
      <c r="E26" s="738" t="s">
        <v>626</v>
      </c>
      <c r="F26" s="738" t="s">
        <v>626</v>
      </c>
      <c r="G26" s="738" t="s">
        <v>626</v>
      </c>
      <c r="H26" s="738" t="s">
        <v>626</v>
      </c>
      <c r="I26" s="738" t="s">
        <v>626</v>
      </c>
      <c r="J26" s="738" t="s">
        <v>626</v>
      </c>
      <c r="K26" s="746"/>
      <c r="L26" s="738"/>
      <c r="M26" s="675"/>
      <c r="N26" s="675"/>
      <c r="O26" s="675"/>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744" t="s">
        <v>493</v>
      </c>
      <c r="C27" s="738" t="s">
        <v>626</v>
      </c>
      <c r="D27" s="738" t="s">
        <v>626</v>
      </c>
      <c r="E27" s="738" t="s">
        <v>626</v>
      </c>
      <c r="F27" s="738" t="s">
        <v>626</v>
      </c>
      <c r="G27" s="738" t="s">
        <v>626</v>
      </c>
      <c r="H27" s="738" t="s">
        <v>626</v>
      </c>
      <c r="I27" s="738" t="s">
        <v>626</v>
      </c>
      <c r="J27" s="738" t="s">
        <v>626</v>
      </c>
      <c r="K27" s="746"/>
      <c r="L27" s="738"/>
      <c r="M27" s="675"/>
      <c r="N27" s="675"/>
      <c r="O27" s="675"/>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customHeight="1" thickBot="1">
      <c r="B28" s="740" t="s">
        <v>11</v>
      </c>
      <c r="C28" s="747"/>
      <c r="D28" s="747"/>
      <c r="E28" s="747"/>
      <c r="F28" s="747"/>
      <c r="G28" s="747"/>
      <c r="H28" s="747"/>
      <c r="I28" s="747"/>
      <c r="J28" s="747"/>
      <c r="K28" s="747"/>
      <c r="L28" s="748"/>
      <c r="M28" s="675"/>
      <c r="N28" s="675"/>
      <c r="O28" s="675"/>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ht="16" thickBot="1">
      <c r="B29" s="744" t="s">
        <v>474</v>
      </c>
      <c r="C29" s="738">
        <v>0</v>
      </c>
      <c r="D29" s="738">
        <v>0</v>
      </c>
      <c r="E29" s="738">
        <v>0</v>
      </c>
      <c r="F29" s="738">
        <v>0</v>
      </c>
      <c r="G29" s="738" t="s">
        <v>626</v>
      </c>
      <c r="H29" s="738" t="s">
        <v>626</v>
      </c>
      <c r="I29" s="738" t="s">
        <v>626</v>
      </c>
      <c r="J29" s="738" t="s">
        <v>626</v>
      </c>
      <c r="K29" s="738"/>
      <c r="L29" s="738"/>
      <c r="M29" s="675"/>
      <c r="N29" s="675"/>
      <c r="O29" s="675"/>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ht="16" thickBot="1">
      <c r="B30" s="744" t="s">
        <v>475</v>
      </c>
      <c r="C30" s="746">
        <v>120</v>
      </c>
      <c r="D30" s="746">
        <v>80</v>
      </c>
      <c r="E30" s="746">
        <v>50</v>
      </c>
      <c r="F30" s="746">
        <v>50</v>
      </c>
      <c r="G30" s="738">
        <v>20</v>
      </c>
      <c r="H30" s="738">
        <v>150</v>
      </c>
      <c r="I30" s="738">
        <v>10</v>
      </c>
      <c r="J30" s="738">
        <v>100</v>
      </c>
      <c r="K30" s="738" t="s">
        <v>15</v>
      </c>
      <c r="L30" s="738">
        <v>15</v>
      </c>
      <c r="M30" s="675"/>
      <c r="N30" s="675"/>
      <c r="O30" s="675"/>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ht="16" thickBot="1">
      <c r="B31" s="744" t="s">
        <v>476</v>
      </c>
      <c r="C31" s="746">
        <v>5</v>
      </c>
      <c r="D31" s="746">
        <v>5</v>
      </c>
      <c r="E31" s="746">
        <v>5</v>
      </c>
      <c r="F31" s="746">
        <v>5</v>
      </c>
      <c r="G31" s="738" t="s">
        <v>626</v>
      </c>
      <c r="H31" s="738" t="s">
        <v>626</v>
      </c>
      <c r="I31" s="738" t="s">
        <v>626</v>
      </c>
      <c r="J31" s="738" t="s">
        <v>626</v>
      </c>
      <c r="K31" s="738" t="s">
        <v>19</v>
      </c>
      <c r="L31" s="738"/>
      <c r="M31" s="675"/>
      <c r="N31" s="675"/>
      <c r="O31" s="675"/>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744" t="s">
        <v>477</v>
      </c>
      <c r="C32" s="738" t="s">
        <v>626</v>
      </c>
      <c r="D32" s="738" t="s">
        <v>626</v>
      </c>
      <c r="E32" s="738" t="s">
        <v>626</v>
      </c>
      <c r="F32" s="738" t="s">
        <v>626</v>
      </c>
      <c r="G32" s="738" t="s">
        <v>626</v>
      </c>
      <c r="H32" s="738" t="s">
        <v>626</v>
      </c>
      <c r="I32" s="738" t="s">
        <v>626</v>
      </c>
      <c r="J32" s="738" t="s">
        <v>626</v>
      </c>
      <c r="K32" s="738"/>
      <c r="L32" s="738"/>
      <c r="M32" s="675"/>
      <c r="N32" s="675"/>
      <c r="O32" s="675"/>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2:93" ht="16" thickBot="1">
      <c r="B33" s="744" t="s">
        <v>18</v>
      </c>
      <c r="C33" s="738" t="s">
        <v>626</v>
      </c>
      <c r="D33" s="738" t="s">
        <v>626</v>
      </c>
      <c r="E33" s="738" t="s">
        <v>626</v>
      </c>
      <c r="F33" s="738" t="s">
        <v>626</v>
      </c>
      <c r="G33" s="738" t="s">
        <v>626</v>
      </c>
      <c r="H33" s="738" t="s">
        <v>626</v>
      </c>
      <c r="I33" s="738" t="s">
        <v>626</v>
      </c>
      <c r="J33" s="738" t="s">
        <v>626</v>
      </c>
      <c r="K33" s="738"/>
      <c r="L33" s="738"/>
      <c r="M33" s="675"/>
      <c r="N33" s="675"/>
      <c r="O33" s="675"/>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2:93" ht="16" thickBot="1">
      <c r="B34" s="766" t="s">
        <v>614</v>
      </c>
      <c r="C34" s="770"/>
      <c r="D34" s="770"/>
      <c r="E34" s="770"/>
      <c r="F34" s="770"/>
      <c r="G34" s="770"/>
      <c r="H34" s="770"/>
      <c r="I34" s="770"/>
      <c r="J34" s="770"/>
      <c r="K34" s="767"/>
      <c r="L34" s="768"/>
      <c r="M34" s="675"/>
      <c r="N34" s="675"/>
      <c r="O34" s="675"/>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2:93">
      <c r="B35" s="778" t="s">
        <v>22</v>
      </c>
      <c r="C35" s="773">
        <v>19</v>
      </c>
      <c r="D35" s="772">
        <v>17.86</v>
      </c>
      <c r="E35" s="772">
        <v>16.074000000000002</v>
      </c>
      <c r="F35" s="772">
        <v>14.466600000000001</v>
      </c>
      <c r="G35" s="773" t="s">
        <v>626</v>
      </c>
      <c r="H35" s="773" t="s">
        <v>626</v>
      </c>
      <c r="I35" s="773" t="s">
        <v>626</v>
      </c>
      <c r="J35" s="773" t="s">
        <v>626</v>
      </c>
      <c r="K35" s="769" t="s">
        <v>640</v>
      </c>
      <c r="L35" s="769"/>
      <c r="M35" s="675"/>
      <c r="N35" s="675"/>
      <c r="O35" s="675"/>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2:93">
      <c r="B36" s="778" t="s">
        <v>24</v>
      </c>
      <c r="C36" s="774">
        <v>51</v>
      </c>
      <c r="D36" s="774">
        <v>51</v>
      </c>
      <c r="E36" s="774">
        <v>51</v>
      </c>
      <c r="F36" s="774">
        <v>51</v>
      </c>
      <c r="G36" s="774" t="s">
        <v>626</v>
      </c>
      <c r="H36" s="774" t="s">
        <v>626</v>
      </c>
      <c r="I36" s="774" t="s">
        <v>626</v>
      </c>
      <c r="J36" s="774" t="s">
        <v>626</v>
      </c>
      <c r="K36" s="769" t="s">
        <v>641</v>
      </c>
      <c r="L36" s="769"/>
      <c r="M36" s="675"/>
      <c r="N36" s="675"/>
      <c r="O36" s="675"/>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2:93" ht="16" thickBot="1">
      <c r="B37" s="779" t="s">
        <v>26</v>
      </c>
      <c r="C37" s="777">
        <v>49</v>
      </c>
      <c r="D37" s="777">
        <v>49</v>
      </c>
      <c r="E37" s="777">
        <v>49</v>
      </c>
      <c r="F37" s="777">
        <v>49</v>
      </c>
      <c r="G37" s="777" t="s">
        <v>626</v>
      </c>
      <c r="H37" s="777" t="s">
        <v>626</v>
      </c>
      <c r="I37" s="777" t="s">
        <v>626</v>
      </c>
      <c r="J37" s="777" t="s">
        <v>626</v>
      </c>
      <c r="K37" s="765" t="s">
        <v>641</v>
      </c>
      <c r="L37" s="765"/>
      <c r="M37" s="675"/>
      <c r="N37" s="675"/>
      <c r="O37" s="675"/>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2:93" ht="16" thickBot="1">
      <c r="B38" s="779" t="s">
        <v>28</v>
      </c>
      <c r="C38" s="780">
        <v>24.6</v>
      </c>
      <c r="D38" s="771">
        <v>24.6</v>
      </c>
      <c r="E38" s="771">
        <v>24.6</v>
      </c>
      <c r="F38" s="771">
        <v>24.6</v>
      </c>
      <c r="G38" s="765" t="s">
        <v>626</v>
      </c>
      <c r="H38" s="765" t="s">
        <v>626</v>
      </c>
      <c r="I38" s="765" t="s">
        <v>626</v>
      </c>
      <c r="J38" s="765" t="s">
        <v>626</v>
      </c>
      <c r="K38" s="765" t="s">
        <v>642</v>
      </c>
      <c r="L38" s="765"/>
      <c r="M38" s="675"/>
      <c r="N38" s="675"/>
      <c r="O38" s="675"/>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2:93" ht="16" thickBot="1">
      <c r="B39" s="779" t="s">
        <v>44</v>
      </c>
      <c r="C39" s="777">
        <v>235</v>
      </c>
      <c r="D39" s="777">
        <v>235</v>
      </c>
      <c r="E39" s="777">
        <v>235</v>
      </c>
      <c r="F39" s="777">
        <v>235</v>
      </c>
      <c r="G39" s="765" t="s">
        <v>626</v>
      </c>
      <c r="H39" s="765" t="s">
        <v>626</v>
      </c>
      <c r="I39" s="765" t="s">
        <v>626</v>
      </c>
      <c r="J39" s="765" t="s">
        <v>626</v>
      </c>
      <c r="K39" s="765" t="s">
        <v>40</v>
      </c>
      <c r="L39" s="765"/>
      <c r="M39" s="675"/>
      <c r="N39" s="675"/>
      <c r="O39" s="675"/>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2:93" ht="16" thickBot="1">
      <c r="B40" s="779" t="s">
        <v>482</v>
      </c>
      <c r="C40" s="777">
        <v>0</v>
      </c>
      <c r="D40" s="765">
        <v>0</v>
      </c>
      <c r="E40" s="765">
        <v>0</v>
      </c>
      <c r="F40" s="765">
        <v>0</v>
      </c>
      <c r="G40" s="765" t="s">
        <v>626</v>
      </c>
      <c r="H40" s="765" t="s">
        <v>626</v>
      </c>
      <c r="I40" s="765" t="s">
        <v>626</v>
      </c>
      <c r="J40" s="765" t="s">
        <v>626</v>
      </c>
      <c r="K40" s="765" t="s">
        <v>41</v>
      </c>
      <c r="L40" s="765"/>
      <c r="M40" s="675"/>
      <c r="N40" s="675"/>
      <c r="O40" s="675"/>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2:93">
      <c r="B41" s="439"/>
      <c r="D41" s="675"/>
      <c r="E41" s="675"/>
      <c r="I41" s="439"/>
      <c r="J41" s="675"/>
      <c r="K41" s="675"/>
      <c r="L41" s="675"/>
      <c r="M41" s="675"/>
      <c r="N41" s="675"/>
      <c r="O41" s="675"/>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2:93" ht="16" thickBot="1">
      <c r="B42" s="429" t="s">
        <v>499</v>
      </c>
      <c r="C42" s="430"/>
      <c r="D42" s="430"/>
      <c r="E42" s="430"/>
      <c r="F42" s="430"/>
      <c r="I42" s="737"/>
      <c r="J42" s="737"/>
      <c r="K42" s="737"/>
      <c r="L42" s="737"/>
      <c r="M42" s="675"/>
      <c r="N42" s="675"/>
      <c r="O42" s="675"/>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2:93" ht="16" thickBot="1">
      <c r="B43" s="694" t="s">
        <v>503</v>
      </c>
      <c r="C43" s="540">
        <f>C35/C$16*Euro</f>
        <v>2.831</v>
      </c>
      <c r="D43" s="540">
        <f>D35/D$16*Euro</f>
        <v>2.6611399999999996</v>
      </c>
      <c r="E43" s="540">
        <f>E35/E$16*Euro</f>
        <v>2.3950260000000005</v>
      </c>
      <c r="F43" s="540">
        <f>F35/F$16*Euro</f>
        <v>2.1555234000000003</v>
      </c>
      <c r="G43" s="430"/>
      <c r="H43" s="430"/>
      <c r="I43" s="430"/>
      <c r="J43" s="430"/>
      <c r="K43" s="430"/>
      <c r="L43" s="432"/>
      <c r="M43" s="675"/>
      <c r="N43" s="675"/>
      <c r="O43" s="675"/>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2:93" ht="16" thickBot="1">
      <c r="B44" s="694" t="s">
        <v>504</v>
      </c>
      <c r="C44" s="540">
        <f>C38/C$16*Euro</f>
        <v>3.6654000000000004</v>
      </c>
      <c r="D44" s="540">
        <f>D38/D$16*Euro</f>
        <v>3.6654000000000004</v>
      </c>
      <c r="E44" s="540">
        <f>E38/E$16*Euro</f>
        <v>3.6654000000000004</v>
      </c>
      <c r="F44" s="540">
        <f>F38/F$16*Euro</f>
        <v>3.6654000000000004</v>
      </c>
      <c r="G44" s="540"/>
      <c r="H44" s="540"/>
      <c r="I44" s="540"/>
      <c r="J44" s="540"/>
      <c r="K44" s="540"/>
      <c r="L44" s="540"/>
      <c r="M44" s="675"/>
      <c r="N44" s="675"/>
      <c r="O44" s="675"/>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2:93" ht="16" thickBot="1">
      <c r="B45" s="694"/>
      <c r="C45" s="693"/>
      <c r="D45" s="693"/>
      <c r="E45" s="693"/>
      <c r="F45" s="693"/>
      <c r="G45" s="540"/>
      <c r="H45" s="540"/>
      <c r="I45" s="540"/>
      <c r="J45" s="540"/>
      <c r="K45" s="540"/>
      <c r="L45" s="540"/>
      <c r="M45" s="675"/>
      <c r="N45" s="675"/>
      <c r="O45" s="675"/>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2:93" ht="16" thickBot="1">
      <c r="B46" s="692" t="s">
        <v>502</v>
      </c>
      <c r="C46" s="540">
        <f>C39/C16/1000*Euro</f>
        <v>3.5015000000000004E-2</v>
      </c>
      <c r="D46" s="540">
        <f>D39/D16/1000*Euro</f>
        <v>3.5015000000000004E-2</v>
      </c>
      <c r="E46" s="540">
        <f>E39/E16/1000*Euro</f>
        <v>3.5015000000000004E-2</v>
      </c>
      <c r="F46" s="540">
        <f>F39/F16/1000*Euro</f>
        <v>3.5015000000000004E-2</v>
      </c>
      <c r="G46" s="693"/>
      <c r="H46" s="693"/>
      <c r="I46" s="693"/>
      <c r="J46" s="693"/>
      <c r="K46" s="693"/>
      <c r="L46" s="693"/>
      <c r="M46" s="675"/>
      <c r="N46" s="675"/>
      <c r="O46" s="675"/>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2:93" ht="16" thickBot="1">
      <c r="B47" s="526" t="s">
        <v>505</v>
      </c>
      <c r="C47" s="755">
        <f>C40/3.6*Euro</f>
        <v>0</v>
      </c>
      <c r="D47" s="775">
        <f>D40/3.6*Euro</f>
        <v>0</v>
      </c>
      <c r="E47" s="775">
        <f>E40/3.6*Euro</f>
        <v>0</v>
      </c>
      <c r="F47" s="775">
        <f>F40/3.6*Euro</f>
        <v>0</v>
      </c>
      <c r="G47" s="540"/>
      <c r="H47" s="540"/>
      <c r="I47" s="540"/>
      <c r="J47" s="540"/>
      <c r="K47" s="540"/>
      <c r="L47" s="540"/>
      <c r="M47" s="675"/>
      <c r="N47" s="675"/>
      <c r="O47" s="675"/>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2:93" ht="16" thickBot="1">
      <c r="B48" s="526"/>
      <c r="C48" s="755"/>
      <c r="D48" s="755"/>
      <c r="E48" s="755"/>
      <c r="F48" s="755"/>
      <c r="G48" s="755"/>
      <c r="H48" s="755"/>
      <c r="I48" s="755"/>
      <c r="J48" s="755"/>
      <c r="K48" s="755"/>
      <c r="L48" s="755"/>
      <c r="M48" s="675"/>
      <c r="N48" s="675"/>
      <c r="O48" s="675"/>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row r="148" spans="3:93">
      <c r="C148"/>
      <c r="D148"/>
      <c r="E148"/>
      <c r="F148"/>
      <c r="G148"/>
      <c r="H14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row>
    <row r="149" spans="3:93">
      <c r="C149"/>
      <c r="D149"/>
      <c r="E149"/>
      <c r="F149"/>
      <c r="G149"/>
      <c r="H14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row>
    <row r="150" spans="3:93">
      <c r="C150"/>
      <c r="D150"/>
      <c r="E150"/>
      <c r="F150"/>
      <c r="G150"/>
      <c r="H150"/>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row>
    <row r="151" spans="3:93">
      <c r="C151"/>
      <c r="D151"/>
      <c r="E151"/>
      <c r="F151"/>
      <c r="G151"/>
      <c r="H151"/>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row>
    <row r="152" spans="3:93">
      <c r="C152"/>
      <c r="D152"/>
      <c r="E152"/>
      <c r="F152"/>
      <c r="G152"/>
      <c r="H152"/>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row>
    <row r="153" spans="3:93">
      <c r="C153"/>
      <c r="D153"/>
      <c r="E153"/>
      <c r="F153"/>
      <c r="G153"/>
      <c r="H153"/>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row>
    <row r="154" spans="3:93">
      <c r="C154"/>
      <c r="D154"/>
      <c r="E154"/>
      <c r="F154"/>
      <c r="G154"/>
      <c r="H154"/>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sheetPr>
  <dimension ref="B3:H55"/>
  <sheetViews>
    <sheetView workbookViewId="0">
      <selection activeCell="C38" sqref="C38:H38"/>
    </sheetView>
  </sheetViews>
  <sheetFormatPr baseColWidth="10" defaultColWidth="8.83203125" defaultRowHeight="15"/>
  <cols>
    <col min="2" max="2" width="36.6640625" customWidth="1"/>
  </cols>
  <sheetData>
    <row r="3" spans="2:8">
      <c r="B3" s="8" t="s">
        <v>243</v>
      </c>
    </row>
    <row r="5" spans="2:8" ht="16" thickBot="1"/>
    <row r="6" spans="2:8">
      <c r="B6" s="1311" t="s">
        <v>0</v>
      </c>
      <c r="C6" s="1260" t="s">
        <v>67</v>
      </c>
      <c r="D6" s="1261"/>
      <c r="E6" s="1261"/>
      <c r="F6" s="1261"/>
      <c r="G6" s="1261"/>
      <c r="H6" s="1262"/>
    </row>
    <row r="7" spans="2:8" ht="16" thickBot="1">
      <c r="B7" s="1312"/>
      <c r="C7" s="1263" t="s">
        <v>32</v>
      </c>
      <c r="D7" s="1264"/>
      <c r="E7" s="1264"/>
      <c r="F7" s="1264"/>
      <c r="G7" s="1264"/>
      <c r="H7" s="1265"/>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
        <v>2</v>
      </c>
      <c r="D10" s="2">
        <v>2</v>
      </c>
      <c r="E10" s="2">
        <v>2</v>
      </c>
      <c r="F10" s="2">
        <v>2</v>
      </c>
      <c r="G10" s="2"/>
      <c r="H10" s="2"/>
    </row>
    <row r="11" spans="2:8" ht="28" thickBot="1">
      <c r="B11" s="1" t="s">
        <v>7</v>
      </c>
      <c r="C11" s="2">
        <v>40</v>
      </c>
      <c r="D11" s="2">
        <v>40</v>
      </c>
      <c r="E11" s="2">
        <v>40</v>
      </c>
      <c r="F11" s="2">
        <v>40</v>
      </c>
      <c r="G11" s="2" t="s">
        <v>6</v>
      </c>
      <c r="H11" s="2"/>
    </row>
    <row r="12" spans="2:8" ht="28" thickBot="1">
      <c r="B12" s="1" t="s">
        <v>8</v>
      </c>
      <c r="C12" s="2">
        <v>0</v>
      </c>
      <c r="D12" s="2">
        <v>0</v>
      </c>
      <c r="E12" s="2">
        <v>0</v>
      </c>
      <c r="F12" s="2">
        <v>0</v>
      </c>
      <c r="G12" s="2" t="s">
        <v>42</v>
      </c>
      <c r="H12" s="2"/>
    </row>
    <row r="13" spans="2:8" ht="16" thickBot="1">
      <c r="B13" s="1" t="s">
        <v>9</v>
      </c>
      <c r="C13" s="2">
        <v>300</v>
      </c>
      <c r="D13" s="2">
        <v>310</v>
      </c>
      <c r="E13" s="2">
        <v>340</v>
      </c>
      <c r="F13" s="2">
        <v>350</v>
      </c>
      <c r="G13" s="2"/>
      <c r="H13" s="2" t="s">
        <v>68</v>
      </c>
    </row>
    <row r="14" spans="2:8" ht="16" thickBot="1">
      <c r="B14" s="1" t="s">
        <v>10</v>
      </c>
      <c r="C14" s="2">
        <v>20</v>
      </c>
      <c r="D14" s="2">
        <v>20</v>
      </c>
      <c r="E14" s="2">
        <v>20</v>
      </c>
      <c r="F14" s="2">
        <v>20</v>
      </c>
      <c r="G14" s="2"/>
      <c r="H14" s="2">
        <v>4</v>
      </c>
    </row>
    <row r="15" spans="2:8" ht="16" thickBot="1">
      <c r="B15" s="3" t="s">
        <v>11</v>
      </c>
      <c r="C15" s="11"/>
      <c r="D15" s="11"/>
      <c r="E15" s="11"/>
      <c r="F15" s="11"/>
      <c r="G15" s="11"/>
      <c r="H15" s="2"/>
    </row>
    <row r="16" spans="2:8" ht="27" customHeight="1" thickBot="1">
      <c r="B16" s="1" t="s">
        <v>12</v>
      </c>
      <c r="C16" s="1313" t="s">
        <v>62</v>
      </c>
      <c r="D16" s="1314"/>
      <c r="E16" s="1314"/>
      <c r="F16" s="1314"/>
      <c r="G16" s="1314"/>
      <c r="H16" s="1315"/>
    </row>
    <row r="17" spans="2:8" ht="16" thickBot="1">
      <c r="B17" s="1" t="s">
        <v>14</v>
      </c>
      <c r="C17" s="1316"/>
      <c r="D17" s="1317"/>
      <c r="E17" s="1317"/>
      <c r="F17" s="1317"/>
      <c r="G17" s="1317"/>
      <c r="H17" s="1318"/>
    </row>
    <row r="18" spans="2:8" ht="16" thickBot="1">
      <c r="B18" s="1" t="s">
        <v>16</v>
      </c>
      <c r="C18" s="1316"/>
      <c r="D18" s="1317"/>
      <c r="E18" s="1317"/>
      <c r="F18" s="1317"/>
      <c r="G18" s="1317"/>
      <c r="H18" s="1318"/>
    </row>
    <row r="19" spans="2:8" ht="16" thickBot="1">
      <c r="B19" s="1" t="s">
        <v>17</v>
      </c>
      <c r="C19" s="1316"/>
      <c r="D19" s="1317"/>
      <c r="E19" s="1317"/>
      <c r="F19" s="1317"/>
      <c r="G19" s="1317"/>
      <c r="H19" s="1318"/>
    </row>
    <row r="20" spans="2:8" ht="16" thickBot="1">
      <c r="B20" s="1" t="s">
        <v>18</v>
      </c>
      <c r="C20" s="1319"/>
      <c r="D20" s="1320"/>
      <c r="E20" s="1320"/>
      <c r="F20" s="1320"/>
      <c r="G20" s="1320"/>
      <c r="H20" s="1321"/>
    </row>
    <row r="21" spans="2:8" ht="16" thickBot="1">
      <c r="B21" s="3" t="s">
        <v>20</v>
      </c>
      <c r="C21" s="11"/>
      <c r="D21" s="11"/>
      <c r="E21" s="11"/>
      <c r="F21" s="11"/>
      <c r="G21" s="11"/>
      <c r="H21" s="2"/>
    </row>
    <row r="22" spans="2:8" ht="16" thickBot="1">
      <c r="B22" s="1" t="s">
        <v>21</v>
      </c>
      <c r="C22" s="2"/>
      <c r="D22" s="2"/>
      <c r="E22" s="2"/>
      <c r="F22" s="2"/>
      <c r="G22" s="2"/>
      <c r="H22" s="2"/>
    </row>
    <row r="23" spans="2:8">
      <c r="B23" s="6" t="s">
        <v>22</v>
      </c>
      <c r="C23" s="7">
        <v>2.5</v>
      </c>
      <c r="D23" s="7">
        <v>2.4</v>
      </c>
      <c r="E23" s="7">
        <v>2.2000000000000002</v>
      </c>
      <c r="F23" s="7">
        <v>2.1</v>
      </c>
      <c r="G23" s="7" t="s">
        <v>69</v>
      </c>
      <c r="H23" s="7" t="s">
        <v>45</v>
      </c>
    </row>
    <row r="24" spans="2:8">
      <c r="B24" s="6" t="s">
        <v>24</v>
      </c>
      <c r="C24" s="7" t="s">
        <v>70</v>
      </c>
      <c r="D24" s="7">
        <v>90</v>
      </c>
      <c r="E24" s="7">
        <v>90</v>
      </c>
      <c r="F24" s="7">
        <v>90</v>
      </c>
      <c r="G24" s="7" t="s">
        <v>19</v>
      </c>
      <c r="H24" s="7"/>
    </row>
    <row r="25" spans="2:8" ht="16" thickBot="1">
      <c r="B25" s="1" t="s">
        <v>60</v>
      </c>
      <c r="C25" s="2" t="s">
        <v>71</v>
      </c>
      <c r="D25" s="2">
        <v>10</v>
      </c>
      <c r="E25" s="2">
        <v>10</v>
      </c>
      <c r="F25" s="2">
        <v>10</v>
      </c>
      <c r="G25" s="2" t="s">
        <v>19</v>
      </c>
      <c r="H25" s="2"/>
    </row>
    <row r="26" spans="2:8" ht="28" thickBot="1">
      <c r="B26" s="1" t="s">
        <v>28</v>
      </c>
      <c r="C26" s="2"/>
      <c r="D26" s="2"/>
      <c r="E26" s="2"/>
      <c r="F26" s="2"/>
      <c r="G26" s="2"/>
      <c r="H26" s="2"/>
    </row>
    <row r="27" spans="2:8" ht="16" thickBot="1">
      <c r="B27" s="1" t="s">
        <v>44</v>
      </c>
      <c r="C27" s="2">
        <v>44</v>
      </c>
      <c r="D27" s="2">
        <v>44</v>
      </c>
      <c r="E27" s="2">
        <v>44</v>
      </c>
      <c r="F27" s="2">
        <v>44</v>
      </c>
      <c r="G27" s="2" t="s">
        <v>52</v>
      </c>
      <c r="H27" s="2">
        <v>2</v>
      </c>
    </row>
    <row r="28" spans="2:8" ht="16" thickBot="1">
      <c r="B28" s="1" t="s">
        <v>29</v>
      </c>
      <c r="C28" s="2"/>
      <c r="D28" s="2"/>
      <c r="E28" s="2"/>
      <c r="F28" s="2"/>
      <c r="G28" s="2"/>
      <c r="H28" s="2"/>
    </row>
    <row r="32" spans="2:8" ht="16" thickBot="1"/>
    <row r="33" spans="2:8">
      <c r="B33" s="1311" t="s">
        <v>0</v>
      </c>
      <c r="C33" s="1260" t="s">
        <v>67</v>
      </c>
      <c r="D33" s="1261"/>
      <c r="E33" s="1261"/>
      <c r="F33" s="1261"/>
      <c r="G33" s="1261"/>
      <c r="H33" s="1262"/>
    </row>
    <row r="34" spans="2:8" ht="16" thickBot="1">
      <c r="B34" s="1312"/>
      <c r="C34" s="1263" t="s">
        <v>33</v>
      </c>
      <c r="D34" s="1264"/>
      <c r="E34" s="1264"/>
      <c r="F34" s="1264"/>
      <c r="G34" s="1264"/>
      <c r="H34" s="1265"/>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 t="s">
        <v>72</v>
      </c>
      <c r="D37" s="2" t="s">
        <v>72</v>
      </c>
      <c r="E37" s="2" t="s">
        <v>72</v>
      </c>
      <c r="F37" s="2" t="s">
        <v>72</v>
      </c>
      <c r="G37" s="2"/>
      <c r="H37" s="2"/>
    </row>
    <row r="38" spans="2:8" ht="28" thickBot="1">
      <c r="B38" s="1" t="s">
        <v>7</v>
      </c>
      <c r="C38" s="2">
        <v>40</v>
      </c>
      <c r="D38" s="2">
        <v>40</v>
      </c>
      <c r="E38" s="2">
        <v>40</v>
      </c>
      <c r="F38" s="2">
        <v>40</v>
      </c>
      <c r="G38" s="2" t="s">
        <v>6</v>
      </c>
      <c r="H38" s="2"/>
    </row>
    <row r="39" spans="2:8" ht="28" thickBot="1">
      <c r="B39" s="1" t="s">
        <v>8</v>
      </c>
      <c r="C39" s="2">
        <v>0</v>
      </c>
      <c r="D39" s="2">
        <v>0</v>
      </c>
      <c r="E39" s="2">
        <v>0</v>
      </c>
      <c r="F39" s="2">
        <v>0</v>
      </c>
      <c r="G39" s="2"/>
      <c r="H39" s="2"/>
    </row>
    <row r="40" spans="2:8" ht="16" thickBot="1">
      <c r="B40" s="1" t="s">
        <v>9</v>
      </c>
      <c r="C40" s="2">
        <v>300</v>
      </c>
      <c r="D40" s="2">
        <v>310</v>
      </c>
      <c r="E40" s="2">
        <v>340</v>
      </c>
      <c r="F40" s="2">
        <v>350</v>
      </c>
      <c r="G40" s="2"/>
      <c r="H40" s="2" t="s">
        <v>68</v>
      </c>
    </row>
    <row r="41" spans="2:8" ht="16" thickBot="1">
      <c r="B41" s="1" t="s">
        <v>10</v>
      </c>
      <c r="C41" s="2">
        <v>20</v>
      </c>
      <c r="D41" s="2">
        <v>20</v>
      </c>
      <c r="E41" s="2">
        <v>20</v>
      </c>
      <c r="F41" s="2">
        <v>20</v>
      </c>
      <c r="G41" s="2"/>
      <c r="H41" s="2">
        <v>4</v>
      </c>
    </row>
    <row r="42" spans="2:8" ht="16" thickBot="1">
      <c r="B42" s="3" t="s">
        <v>11</v>
      </c>
      <c r="C42" s="11"/>
      <c r="D42" s="11"/>
      <c r="E42" s="11"/>
      <c r="F42" s="11"/>
      <c r="G42" s="13"/>
      <c r="H42" s="14"/>
    </row>
    <row r="43" spans="2:8" ht="27" customHeight="1" thickBot="1">
      <c r="B43" s="1" t="s">
        <v>12</v>
      </c>
      <c r="C43" s="1313" t="s">
        <v>62</v>
      </c>
      <c r="D43" s="1314"/>
      <c r="E43" s="1314"/>
      <c r="F43" s="1314"/>
      <c r="G43" s="1314"/>
      <c r="H43" s="1315"/>
    </row>
    <row r="44" spans="2:8" ht="16" thickBot="1">
      <c r="B44" s="1" t="s">
        <v>14</v>
      </c>
      <c r="C44" s="1316"/>
      <c r="D44" s="1317"/>
      <c r="E44" s="1317"/>
      <c r="F44" s="1317"/>
      <c r="G44" s="1317"/>
      <c r="H44" s="1318"/>
    </row>
    <row r="45" spans="2:8" ht="16" thickBot="1">
      <c r="B45" s="1" t="s">
        <v>16</v>
      </c>
      <c r="C45" s="1316"/>
      <c r="D45" s="1317"/>
      <c r="E45" s="1317"/>
      <c r="F45" s="1317"/>
      <c r="G45" s="1317"/>
      <c r="H45" s="1318"/>
    </row>
    <row r="46" spans="2:8" ht="16" thickBot="1">
      <c r="B46" s="1" t="s">
        <v>17</v>
      </c>
      <c r="C46" s="1316"/>
      <c r="D46" s="1317"/>
      <c r="E46" s="1317"/>
      <c r="F46" s="1317"/>
      <c r="G46" s="1317"/>
      <c r="H46" s="1318"/>
    </row>
    <row r="47" spans="2:8" ht="16" thickBot="1">
      <c r="B47" s="1" t="s">
        <v>18</v>
      </c>
      <c r="C47" s="1319"/>
      <c r="D47" s="1320"/>
      <c r="E47" s="1320"/>
      <c r="F47" s="1320"/>
      <c r="G47" s="1320"/>
      <c r="H47" s="1321"/>
    </row>
    <row r="48" spans="2:8" ht="16" thickBot="1">
      <c r="B48" s="3" t="s">
        <v>20</v>
      </c>
      <c r="C48" s="11"/>
      <c r="D48" s="11"/>
      <c r="E48" s="11"/>
      <c r="F48" s="11"/>
      <c r="G48" s="13"/>
      <c r="H48" s="14"/>
    </row>
    <row r="49" spans="2:8" ht="16" thickBot="1">
      <c r="B49" s="1" t="s">
        <v>21</v>
      </c>
      <c r="C49" s="2">
        <v>1</v>
      </c>
      <c r="D49" s="2">
        <v>1</v>
      </c>
      <c r="E49" s="2">
        <v>0.9</v>
      </c>
      <c r="F49" s="2">
        <v>0.9</v>
      </c>
      <c r="G49" s="2" t="s">
        <v>15</v>
      </c>
      <c r="H49" s="2" t="s">
        <v>45</v>
      </c>
    </row>
    <row r="50" spans="2:8">
      <c r="B50" s="6" t="s">
        <v>22</v>
      </c>
      <c r="C50" s="7"/>
      <c r="D50" s="7"/>
      <c r="E50" s="7"/>
      <c r="F50" s="7"/>
      <c r="G50" s="7"/>
      <c r="H50" s="7"/>
    </row>
    <row r="51" spans="2:8">
      <c r="B51" s="6" t="s">
        <v>24</v>
      </c>
      <c r="C51" s="7"/>
      <c r="D51" s="7"/>
      <c r="E51" s="7"/>
      <c r="F51" s="7"/>
      <c r="G51" s="7"/>
      <c r="H51" s="7"/>
    </row>
    <row r="52" spans="2:8" ht="16" thickBot="1">
      <c r="B52" s="1" t="s">
        <v>60</v>
      </c>
      <c r="C52" s="2"/>
      <c r="D52" s="2"/>
      <c r="E52" s="2"/>
      <c r="F52" s="2"/>
      <c r="G52" s="2"/>
      <c r="H52" s="2"/>
    </row>
    <row r="53" spans="2:8" ht="28" thickBot="1">
      <c r="B53" s="1" t="s">
        <v>28</v>
      </c>
      <c r="C53" s="2"/>
      <c r="D53" s="2"/>
      <c r="E53" s="2"/>
      <c r="F53" s="2"/>
      <c r="G53" s="2"/>
      <c r="H53" s="2"/>
    </row>
    <row r="54" spans="2:8" ht="16" thickBot="1">
      <c r="B54" s="1" t="s">
        <v>44</v>
      </c>
      <c r="C54" s="2">
        <v>135</v>
      </c>
      <c r="D54" s="2">
        <v>135</v>
      </c>
      <c r="E54" s="2">
        <v>135</v>
      </c>
      <c r="F54" s="2">
        <v>135</v>
      </c>
      <c r="G54" s="2" t="s">
        <v>52</v>
      </c>
      <c r="H54" s="2">
        <v>2</v>
      </c>
    </row>
    <row r="55" spans="2:8" ht="16" thickBot="1">
      <c r="B55" s="1" t="s">
        <v>29</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4"/>
  </sheetPr>
  <dimension ref="B3:H30"/>
  <sheetViews>
    <sheetView workbookViewId="0">
      <selection activeCell="C38" sqref="C38:H38"/>
    </sheetView>
  </sheetViews>
  <sheetFormatPr baseColWidth="10" defaultColWidth="8.83203125" defaultRowHeight="15"/>
  <cols>
    <col min="2" max="2" width="36.6640625" customWidth="1"/>
  </cols>
  <sheetData>
    <row r="3" spans="2:8">
      <c r="B3" s="8" t="s">
        <v>246</v>
      </c>
    </row>
    <row r="5" spans="2:8" ht="16" thickBot="1"/>
    <row r="6" spans="2:8" ht="15" customHeight="1">
      <c r="B6" s="1311" t="s">
        <v>0</v>
      </c>
      <c r="C6" s="1260" t="s">
        <v>74</v>
      </c>
      <c r="D6" s="1261"/>
      <c r="E6" s="1261"/>
      <c r="F6" s="1261"/>
      <c r="G6" s="1261"/>
      <c r="H6" s="1262"/>
    </row>
    <row r="7" spans="2:8" ht="15.75" customHeight="1" thickBot="1">
      <c r="B7" s="1312"/>
      <c r="C7" s="1263" t="s">
        <v>34</v>
      </c>
      <c r="D7" s="1264"/>
      <c r="E7" s="1264"/>
      <c r="F7" s="1264"/>
      <c r="G7" s="1264"/>
      <c r="H7" s="1265"/>
    </row>
    <row r="8" spans="2:8" ht="16" thickBot="1">
      <c r="B8" s="54"/>
      <c r="C8" s="55">
        <v>2015</v>
      </c>
      <c r="D8" s="55">
        <v>2020</v>
      </c>
      <c r="E8" s="55">
        <v>2030</v>
      </c>
      <c r="F8" s="55">
        <v>2050</v>
      </c>
      <c r="G8" s="55" t="s">
        <v>2</v>
      </c>
      <c r="H8" s="55" t="s">
        <v>3</v>
      </c>
    </row>
    <row r="9" spans="2:8" ht="16" thickBot="1">
      <c r="B9" s="56" t="s">
        <v>4</v>
      </c>
      <c r="C9" s="57"/>
      <c r="D9" s="57"/>
      <c r="E9" s="57"/>
      <c r="F9" s="57"/>
      <c r="G9" s="57"/>
      <c r="H9" s="58"/>
    </row>
    <row r="10" spans="2:8" ht="16" thickBot="1">
      <c r="B10" s="54" t="s">
        <v>5</v>
      </c>
      <c r="C10" s="61" t="s">
        <v>75</v>
      </c>
      <c r="D10" s="61" t="s">
        <v>75</v>
      </c>
      <c r="E10" s="61" t="s">
        <v>75</v>
      </c>
      <c r="F10" s="61"/>
      <c r="G10" s="61" t="s">
        <v>15</v>
      </c>
      <c r="H10" s="61" t="s">
        <v>76</v>
      </c>
    </row>
    <row r="11" spans="2:8" ht="16" thickBot="1">
      <c r="B11" s="54" t="s">
        <v>77</v>
      </c>
      <c r="C11" s="61" t="s">
        <v>78</v>
      </c>
      <c r="D11" s="61" t="s">
        <v>78</v>
      </c>
      <c r="E11" s="61" t="s">
        <v>78</v>
      </c>
      <c r="F11" s="61"/>
      <c r="G11" s="61"/>
      <c r="H11" s="61">
        <v>1</v>
      </c>
    </row>
    <row r="12" spans="2:8" ht="28" thickBot="1">
      <c r="B12" s="54" t="s">
        <v>7</v>
      </c>
      <c r="C12" s="61" t="s">
        <v>79</v>
      </c>
      <c r="D12" s="61" t="s">
        <v>79</v>
      </c>
      <c r="E12" s="61" t="s">
        <v>79</v>
      </c>
      <c r="F12" s="61"/>
      <c r="G12" s="61" t="s">
        <v>19</v>
      </c>
      <c r="H12" s="61"/>
    </row>
    <row r="13" spans="2:8" ht="28" thickBot="1">
      <c r="B13" s="54" t="s">
        <v>8</v>
      </c>
      <c r="C13" s="61" t="s">
        <v>80</v>
      </c>
      <c r="D13" s="61" t="s">
        <v>80</v>
      </c>
      <c r="E13" s="61" t="s">
        <v>80</v>
      </c>
      <c r="F13" s="61"/>
      <c r="G13" s="61" t="s">
        <v>81</v>
      </c>
      <c r="H13" s="61"/>
    </row>
    <row r="14" spans="2:8" ht="16" thickBot="1">
      <c r="B14" s="54" t="s">
        <v>82</v>
      </c>
      <c r="C14" s="61" t="s">
        <v>83</v>
      </c>
      <c r="D14" s="61" t="s">
        <v>84</v>
      </c>
      <c r="E14" s="61" t="s">
        <v>85</v>
      </c>
      <c r="F14" s="61"/>
      <c r="G14" s="61" t="s">
        <v>39</v>
      </c>
      <c r="H14" s="61">
        <v>1</v>
      </c>
    </row>
    <row r="15" spans="2:8" ht="16" thickBot="1">
      <c r="B15" s="54" t="s">
        <v>86</v>
      </c>
      <c r="C15" s="61" t="s">
        <v>87</v>
      </c>
      <c r="D15" s="61" t="s">
        <v>88</v>
      </c>
      <c r="E15" s="61" t="s">
        <v>88</v>
      </c>
      <c r="F15" s="61"/>
      <c r="G15" s="61" t="s">
        <v>39</v>
      </c>
      <c r="H15" s="61">
        <v>1</v>
      </c>
    </row>
    <row r="16" spans="2:8" ht="16" thickBot="1">
      <c r="B16" s="54" t="s">
        <v>9</v>
      </c>
      <c r="C16" s="61" t="s">
        <v>89</v>
      </c>
      <c r="D16" s="61" t="s">
        <v>90</v>
      </c>
      <c r="E16" s="61" t="s">
        <v>91</v>
      </c>
      <c r="F16" s="61"/>
      <c r="G16" s="61" t="s">
        <v>39</v>
      </c>
      <c r="H16" s="61">
        <v>1</v>
      </c>
    </row>
    <row r="17" spans="2:8" ht="16" thickBot="1">
      <c r="B17" s="54" t="s">
        <v>10</v>
      </c>
      <c r="C17" s="61" t="s">
        <v>92</v>
      </c>
      <c r="D17" s="61" t="s">
        <v>93</v>
      </c>
      <c r="E17" s="61" t="s">
        <v>93</v>
      </c>
      <c r="F17" s="61"/>
      <c r="G17" s="61"/>
      <c r="H17" s="61">
        <v>6</v>
      </c>
    </row>
    <row r="18" spans="2:8" ht="16" thickBot="1">
      <c r="B18" s="56" t="s">
        <v>11</v>
      </c>
      <c r="C18" s="57"/>
      <c r="D18" s="57"/>
      <c r="E18" s="57"/>
      <c r="F18" s="57"/>
      <c r="G18" s="57"/>
      <c r="H18" s="58"/>
    </row>
    <row r="19" spans="2:8" ht="16" thickBot="1">
      <c r="B19" s="54" t="s">
        <v>12</v>
      </c>
      <c r="C19" s="55">
        <v>0</v>
      </c>
      <c r="D19" s="55">
        <v>0</v>
      </c>
      <c r="E19" s="55">
        <v>0</v>
      </c>
      <c r="F19" s="55"/>
      <c r="G19" s="55"/>
      <c r="H19" s="55"/>
    </row>
    <row r="20" spans="2:8" ht="16" thickBot="1">
      <c r="B20" s="54" t="s">
        <v>14</v>
      </c>
      <c r="C20" s="24">
        <v>2</v>
      </c>
      <c r="D20" s="24">
        <v>2</v>
      </c>
      <c r="E20" s="24">
        <v>2</v>
      </c>
      <c r="F20" s="55"/>
      <c r="G20" s="55"/>
      <c r="H20" s="55" t="s">
        <v>94</v>
      </c>
    </row>
    <row r="21" spans="2:8" ht="16" thickBot="1">
      <c r="B21" s="54" t="s">
        <v>16</v>
      </c>
      <c r="C21" s="55" t="s">
        <v>95</v>
      </c>
      <c r="D21" s="55" t="s">
        <v>95</v>
      </c>
      <c r="E21" s="55" t="s">
        <v>95</v>
      </c>
      <c r="F21" s="55"/>
      <c r="G21" s="55" t="s">
        <v>23</v>
      </c>
      <c r="H21" s="55" t="s">
        <v>94</v>
      </c>
    </row>
    <row r="22" spans="2:8" ht="16" thickBot="1">
      <c r="B22" s="54" t="s">
        <v>17</v>
      </c>
      <c r="C22" s="24">
        <v>0</v>
      </c>
      <c r="D22" s="24">
        <v>0</v>
      </c>
      <c r="E22" s="24">
        <v>0</v>
      </c>
      <c r="F22" s="55"/>
      <c r="G22" s="55"/>
      <c r="H22" s="55"/>
    </row>
    <row r="23" spans="2:8" ht="16" thickBot="1">
      <c r="B23" s="54" t="s">
        <v>18</v>
      </c>
      <c r="C23" s="55">
        <v>0</v>
      </c>
      <c r="D23" s="55">
        <v>0</v>
      </c>
      <c r="E23" s="55">
        <v>0</v>
      </c>
      <c r="F23" s="55"/>
      <c r="G23" s="55"/>
      <c r="H23" s="55">
        <v>7</v>
      </c>
    </row>
    <row r="24" spans="2:8" ht="16" thickBot="1">
      <c r="B24" s="56" t="s">
        <v>20</v>
      </c>
      <c r="C24" s="57"/>
      <c r="D24" s="57"/>
      <c r="E24" s="57"/>
      <c r="F24" s="57"/>
      <c r="G24" s="57"/>
      <c r="H24" s="58"/>
    </row>
    <row r="25" spans="2:8">
      <c r="B25" s="59" t="s">
        <v>22</v>
      </c>
      <c r="C25" s="62" t="s">
        <v>223</v>
      </c>
      <c r="D25" s="60">
        <v>4.4000000000000004</v>
      </c>
      <c r="E25" s="60">
        <v>2.6</v>
      </c>
      <c r="F25" s="60"/>
      <c r="G25" s="60" t="s">
        <v>63</v>
      </c>
      <c r="H25" s="60" t="s">
        <v>96</v>
      </c>
    </row>
    <row r="26" spans="2:8">
      <c r="B26" s="59" t="s">
        <v>24</v>
      </c>
      <c r="C26" s="60" t="s">
        <v>59</v>
      </c>
      <c r="D26" s="60">
        <v>80</v>
      </c>
      <c r="E26" s="60">
        <v>80</v>
      </c>
      <c r="F26" s="60"/>
      <c r="G26" s="60"/>
      <c r="H26" s="60"/>
    </row>
    <row r="27" spans="2:8" ht="16" thickBot="1">
      <c r="B27" s="54" t="s">
        <v>26</v>
      </c>
      <c r="C27" s="55" t="s">
        <v>61</v>
      </c>
      <c r="D27" s="55">
        <v>20</v>
      </c>
      <c r="E27" s="55">
        <v>20</v>
      </c>
      <c r="F27" s="55"/>
      <c r="G27" s="55"/>
      <c r="H27" s="55"/>
    </row>
    <row r="28" spans="2:8" ht="28" thickBot="1">
      <c r="B28" s="54" t="s">
        <v>28</v>
      </c>
      <c r="C28" s="55" t="s">
        <v>97</v>
      </c>
      <c r="D28" s="55" t="s">
        <v>97</v>
      </c>
      <c r="E28" s="55" t="s">
        <v>97</v>
      </c>
      <c r="F28" s="55"/>
      <c r="G28" s="55" t="s">
        <v>52</v>
      </c>
      <c r="H28" s="55"/>
    </row>
    <row r="29" spans="2:8" ht="16" thickBot="1">
      <c r="B29" s="54" t="s">
        <v>38</v>
      </c>
      <c r="C29" s="55" t="s">
        <v>47</v>
      </c>
      <c r="D29" s="55" t="s">
        <v>47</v>
      </c>
      <c r="E29" s="55" t="s">
        <v>47</v>
      </c>
      <c r="F29" s="55"/>
      <c r="G29" s="55"/>
      <c r="H29" s="55"/>
    </row>
    <row r="30" spans="2:8" ht="16" thickBot="1">
      <c r="B30" s="54" t="s">
        <v>29</v>
      </c>
      <c r="C30" s="55" t="s">
        <v>47</v>
      </c>
      <c r="D30" s="55" t="s">
        <v>47</v>
      </c>
      <c r="E30" s="55" t="s">
        <v>47</v>
      </c>
      <c r="F30" s="55"/>
      <c r="G30" s="55"/>
      <c r="H30" s="55"/>
    </row>
  </sheetData>
  <mergeCells count="3">
    <mergeCell ref="B6:B7"/>
    <mergeCell ref="C6:H6"/>
    <mergeCell ref="C7:H7"/>
  </mergeCell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4"/>
  </sheetPr>
  <dimension ref="B1:H32"/>
  <sheetViews>
    <sheetView workbookViewId="0">
      <selection activeCell="C38" sqref="C38:H38"/>
    </sheetView>
  </sheetViews>
  <sheetFormatPr baseColWidth="10" defaultColWidth="8.83203125" defaultRowHeight="15"/>
  <cols>
    <col min="2" max="2" width="36.6640625" customWidth="1"/>
  </cols>
  <sheetData>
    <row r="1" spans="2:8" s="111" customFormat="1"/>
    <row r="4" spans="2:8">
      <c r="B4" s="8" t="s">
        <v>247</v>
      </c>
    </row>
    <row r="6" spans="2:8" ht="16" thickBot="1"/>
    <row r="7" spans="2:8">
      <c r="B7" s="1311" t="s">
        <v>0</v>
      </c>
      <c r="C7" s="1260" t="s">
        <v>98</v>
      </c>
      <c r="D7" s="1261"/>
      <c r="E7" s="1261"/>
      <c r="F7" s="1261"/>
      <c r="G7" s="1261"/>
      <c r="H7" s="1262"/>
    </row>
    <row r="8" spans="2:8" ht="16" thickBot="1">
      <c r="B8" s="1312"/>
      <c r="C8" s="1263" t="s">
        <v>34</v>
      </c>
      <c r="D8" s="1264"/>
      <c r="E8" s="1264"/>
      <c r="F8" s="1264"/>
      <c r="G8" s="1264"/>
      <c r="H8" s="1265"/>
    </row>
    <row r="9" spans="2:8" ht="16" thickBot="1">
      <c r="B9" s="1"/>
      <c r="C9" s="2">
        <v>2015</v>
      </c>
      <c r="D9" s="2">
        <v>2020</v>
      </c>
      <c r="E9" s="2">
        <v>2030</v>
      </c>
      <c r="F9" s="2">
        <v>2050</v>
      </c>
      <c r="G9" s="2" t="s">
        <v>2</v>
      </c>
      <c r="H9" s="2" t="s">
        <v>3</v>
      </c>
    </row>
    <row r="10" spans="2:8" ht="16" thickBot="1">
      <c r="B10" s="3" t="s">
        <v>4</v>
      </c>
      <c r="C10" s="4"/>
      <c r="D10" s="4"/>
      <c r="E10" s="4"/>
      <c r="F10" s="4"/>
      <c r="G10" s="4"/>
      <c r="H10" s="5"/>
    </row>
    <row r="11" spans="2:8" ht="16" thickBot="1">
      <c r="B11" s="1" t="s">
        <v>5</v>
      </c>
      <c r="C11" s="9">
        <v>1.6</v>
      </c>
      <c r="D11" s="9">
        <v>1.6</v>
      </c>
      <c r="E11" s="9">
        <v>1.6</v>
      </c>
      <c r="F11" s="9"/>
      <c r="G11" s="9" t="s">
        <v>6</v>
      </c>
      <c r="H11" s="9">
        <v>3</v>
      </c>
    </row>
    <row r="12" spans="2:8" ht="16" thickBot="1">
      <c r="B12" s="1" t="s">
        <v>77</v>
      </c>
      <c r="C12" s="9">
        <v>1.4</v>
      </c>
      <c r="D12" s="9">
        <v>1.4</v>
      </c>
      <c r="E12" s="9">
        <v>1.4</v>
      </c>
      <c r="F12" s="9"/>
      <c r="G12" s="9"/>
      <c r="H12" s="9">
        <v>3</v>
      </c>
    </row>
    <row r="13" spans="2:8" ht="28" thickBot="1">
      <c r="B13" s="1" t="s">
        <v>7</v>
      </c>
      <c r="C13" s="9" t="s">
        <v>99</v>
      </c>
      <c r="D13" s="9" t="s">
        <v>99</v>
      </c>
      <c r="E13" s="9" t="s">
        <v>99</v>
      </c>
      <c r="F13" s="9"/>
      <c r="G13" s="9" t="s">
        <v>19</v>
      </c>
      <c r="H13" s="9"/>
    </row>
    <row r="14" spans="2:8" ht="28" thickBot="1">
      <c r="B14" s="1" t="s">
        <v>8</v>
      </c>
      <c r="C14" s="9" t="s">
        <v>99</v>
      </c>
      <c r="D14" s="9" t="s">
        <v>99</v>
      </c>
      <c r="E14" s="9" t="s">
        <v>99</v>
      </c>
      <c r="F14" s="9"/>
      <c r="G14" s="9" t="s">
        <v>19</v>
      </c>
      <c r="H14" s="9"/>
    </row>
    <row r="15" spans="2:8" ht="16" thickBot="1">
      <c r="B15" s="1" t="s">
        <v>82</v>
      </c>
      <c r="C15" s="9" t="s">
        <v>100</v>
      </c>
      <c r="D15" s="9" t="s">
        <v>101</v>
      </c>
      <c r="E15" s="9" t="s">
        <v>102</v>
      </c>
      <c r="F15" s="9"/>
      <c r="G15" s="9" t="s">
        <v>52</v>
      </c>
      <c r="H15" s="9">
        <v>1</v>
      </c>
    </row>
    <row r="16" spans="2:8" ht="16" thickBot="1">
      <c r="B16" s="1" t="s">
        <v>86</v>
      </c>
      <c r="C16" s="9" t="s">
        <v>103</v>
      </c>
      <c r="D16" s="9" t="s">
        <v>104</v>
      </c>
      <c r="E16" s="9" t="s">
        <v>84</v>
      </c>
      <c r="F16" s="9"/>
      <c r="G16" s="9" t="s">
        <v>52</v>
      </c>
      <c r="H16" s="9">
        <v>1</v>
      </c>
    </row>
    <row r="17" spans="2:8" ht="16" thickBot="1">
      <c r="B17" s="1" t="s">
        <v>9</v>
      </c>
      <c r="C17" s="9" t="s">
        <v>89</v>
      </c>
      <c r="D17" s="9" t="s">
        <v>105</v>
      </c>
      <c r="E17" s="9" t="s">
        <v>91</v>
      </c>
      <c r="F17" s="9"/>
      <c r="G17" s="9" t="s">
        <v>106</v>
      </c>
      <c r="H17" s="9">
        <v>1</v>
      </c>
    </row>
    <row r="18" spans="2:8" ht="16" thickBot="1">
      <c r="B18" s="1" t="s">
        <v>107</v>
      </c>
      <c r="C18" s="9" t="s">
        <v>108</v>
      </c>
      <c r="D18" s="9" t="s">
        <v>109</v>
      </c>
      <c r="E18" s="9" t="s">
        <v>110</v>
      </c>
      <c r="F18" s="9"/>
      <c r="G18" s="9"/>
      <c r="H18" s="9" t="s">
        <v>45</v>
      </c>
    </row>
    <row r="19" spans="2:8" ht="16" thickBot="1">
      <c r="B19" s="1" t="s">
        <v>10</v>
      </c>
      <c r="C19" s="9">
        <v>7</v>
      </c>
      <c r="D19" s="9" t="s">
        <v>93</v>
      </c>
      <c r="E19" s="9" t="s">
        <v>93</v>
      </c>
      <c r="F19" s="9"/>
      <c r="G19" s="9" t="s">
        <v>42</v>
      </c>
      <c r="H19" s="9">
        <v>1</v>
      </c>
    </row>
    <row r="20" spans="2:8" ht="16" thickBot="1">
      <c r="B20" s="3" t="s">
        <v>11</v>
      </c>
      <c r="C20" s="4"/>
      <c r="D20" s="4"/>
      <c r="E20" s="4"/>
      <c r="F20" s="4"/>
      <c r="G20" s="4"/>
      <c r="H20" s="5"/>
    </row>
    <row r="21" spans="2:8" ht="15.75" customHeight="1" thickBot="1">
      <c r="B21" s="15" t="s">
        <v>12</v>
      </c>
      <c r="C21" s="1322" t="s">
        <v>113</v>
      </c>
      <c r="D21" s="1323"/>
      <c r="E21" s="1323"/>
      <c r="F21" s="1323"/>
      <c r="G21" s="1323"/>
      <c r="H21" s="1324"/>
    </row>
    <row r="22" spans="2:8" ht="15.75" customHeight="1" thickBot="1">
      <c r="B22" s="1" t="s">
        <v>14</v>
      </c>
      <c r="C22" s="1325"/>
      <c r="D22" s="1326"/>
      <c r="E22" s="1326"/>
      <c r="F22" s="1326"/>
      <c r="G22" s="1326"/>
      <c r="H22" s="1327"/>
    </row>
    <row r="23" spans="2:8" ht="16" thickBot="1">
      <c r="B23" s="1" t="s">
        <v>16</v>
      </c>
      <c r="C23" s="1325"/>
      <c r="D23" s="1326"/>
      <c r="E23" s="1326"/>
      <c r="F23" s="1326"/>
      <c r="G23" s="1326"/>
      <c r="H23" s="1327"/>
    </row>
    <row r="24" spans="2:8" ht="16" thickBot="1">
      <c r="B24" s="1" t="s">
        <v>17</v>
      </c>
      <c r="C24" s="1325"/>
      <c r="D24" s="1326"/>
      <c r="E24" s="1326"/>
      <c r="F24" s="1326"/>
      <c r="G24" s="1326"/>
      <c r="H24" s="1327"/>
    </row>
    <row r="25" spans="2:8" ht="16" thickBot="1">
      <c r="B25" s="1" t="s">
        <v>18</v>
      </c>
      <c r="C25" s="1328"/>
      <c r="D25" s="1329"/>
      <c r="E25" s="1329"/>
      <c r="F25" s="1329"/>
      <c r="G25" s="1329"/>
      <c r="H25" s="1330"/>
    </row>
    <row r="26" spans="2:8" ht="16" thickBot="1">
      <c r="B26" s="3" t="s">
        <v>20</v>
      </c>
      <c r="C26" s="4"/>
      <c r="D26" s="4"/>
      <c r="E26" s="4"/>
      <c r="F26" s="4"/>
      <c r="G26" s="4"/>
      <c r="H26" s="5"/>
    </row>
    <row r="27" spans="2:8">
      <c r="B27" s="6" t="s">
        <v>22</v>
      </c>
      <c r="C27" s="7">
        <v>10.5</v>
      </c>
      <c r="D27" s="7">
        <v>4.4000000000000004</v>
      </c>
      <c r="E27" s="7">
        <v>2.6</v>
      </c>
      <c r="F27" s="7"/>
      <c r="G27" s="7"/>
      <c r="H27" s="7">
        <v>1</v>
      </c>
    </row>
    <row r="28" spans="2:8">
      <c r="B28" s="6" t="s">
        <v>24</v>
      </c>
      <c r="C28" s="7" t="s">
        <v>111</v>
      </c>
      <c r="D28" s="7">
        <v>70</v>
      </c>
      <c r="E28" s="7">
        <v>70</v>
      </c>
      <c r="F28" s="7"/>
      <c r="G28" s="7"/>
      <c r="H28" s="7"/>
    </row>
    <row r="29" spans="2:8" ht="16" thickBot="1">
      <c r="B29" s="1" t="s">
        <v>60</v>
      </c>
      <c r="C29" s="2" t="s">
        <v>112</v>
      </c>
      <c r="D29" s="2">
        <v>30</v>
      </c>
      <c r="E29" s="2">
        <v>30</v>
      </c>
      <c r="F29" s="2"/>
      <c r="G29" s="2"/>
      <c r="H29" s="2"/>
    </row>
    <row r="30" spans="2:8" ht="28" thickBot="1">
      <c r="B30" s="1" t="s">
        <v>28</v>
      </c>
      <c r="C30" s="2" t="s">
        <v>97</v>
      </c>
      <c r="D30" s="2" t="s">
        <v>97</v>
      </c>
      <c r="E30" s="2" t="s">
        <v>97</v>
      </c>
      <c r="F30" s="2"/>
      <c r="G30" s="2" t="s">
        <v>23</v>
      </c>
      <c r="H30" s="2"/>
    </row>
    <row r="31" spans="2:8" ht="16" thickBot="1">
      <c r="B31" s="1" t="s">
        <v>38</v>
      </c>
      <c r="C31" s="2" t="s">
        <v>47</v>
      </c>
      <c r="D31" s="2" t="s">
        <v>47</v>
      </c>
      <c r="E31" s="2" t="s">
        <v>47</v>
      </c>
      <c r="F31" s="2"/>
      <c r="G31" s="2"/>
      <c r="H31" s="2"/>
    </row>
    <row r="32" spans="2:8" ht="16" thickBot="1">
      <c r="B32" s="1" t="s">
        <v>29</v>
      </c>
      <c r="C32" s="2" t="s">
        <v>47</v>
      </c>
      <c r="D32" s="2" t="s">
        <v>47</v>
      </c>
      <c r="E32" s="2" t="s">
        <v>47</v>
      </c>
      <c r="F32" s="2"/>
      <c r="G32" s="2"/>
      <c r="H32" s="2"/>
    </row>
  </sheetData>
  <mergeCells count="4">
    <mergeCell ref="C21:H25"/>
    <mergeCell ref="B7:B8"/>
    <mergeCell ref="C7:H7"/>
    <mergeCell ref="C8:H8"/>
  </mergeCells>
  <pageMargins left="0.7" right="0.7" top="0.75" bottom="0.75" header="0.3" footer="0.3"/>
  <pageSetup paperSize="9"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4"/>
  </sheetPr>
  <dimension ref="B1:H92"/>
  <sheetViews>
    <sheetView workbookViewId="0">
      <selection activeCell="C38" sqref="C38:H38"/>
    </sheetView>
  </sheetViews>
  <sheetFormatPr baseColWidth="10" defaultColWidth="8.83203125" defaultRowHeight="15"/>
  <cols>
    <col min="2" max="2" width="36.6640625" customWidth="1"/>
  </cols>
  <sheetData>
    <row r="1" spans="2:8" s="111" customFormat="1"/>
    <row r="4" spans="2:8">
      <c r="B4" s="8" t="s">
        <v>248</v>
      </c>
    </row>
    <row r="6" spans="2:8" ht="16" thickBot="1"/>
    <row r="7" spans="2:8">
      <c r="B7" s="1311" t="s">
        <v>0</v>
      </c>
      <c r="C7" s="1260" t="s">
        <v>114</v>
      </c>
      <c r="D7" s="1261"/>
      <c r="E7" s="1261"/>
      <c r="F7" s="1261"/>
      <c r="G7" s="1261"/>
      <c r="H7" s="1262"/>
    </row>
    <row r="8" spans="2:8" ht="16" thickBot="1">
      <c r="B8" s="1312"/>
      <c r="C8" s="1263" t="s">
        <v>1</v>
      </c>
      <c r="D8" s="1264"/>
      <c r="E8" s="1264"/>
      <c r="F8" s="1264"/>
      <c r="G8" s="1264"/>
      <c r="H8" s="1265"/>
    </row>
    <row r="9" spans="2:8" ht="16" thickBot="1">
      <c r="B9" s="1"/>
      <c r="C9" s="2">
        <v>2015</v>
      </c>
      <c r="D9" s="2">
        <v>2020</v>
      </c>
      <c r="E9" s="2">
        <v>2030</v>
      </c>
      <c r="F9" s="2">
        <v>2050</v>
      </c>
      <c r="G9" s="2" t="s">
        <v>2</v>
      </c>
      <c r="H9" s="2" t="s">
        <v>3</v>
      </c>
    </row>
    <row r="10" spans="2:8" ht="16" thickBot="1">
      <c r="B10" s="3" t="s">
        <v>4</v>
      </c>
      <c r="C10" s="4"/>
      <c r="D10" s="4"/>
      <c r="E10" s="4"/>
      <c r="F10" s="4"/>
      <c r="G10" s="4"/>
      <c r="H10" s="5"/>
    </row>
    <row r="11" spans="2:8" ht="16" thickBot="1">
      <c r="B11" s="1" t="s">
        <v>5</v>
      </c>
      <c r="C11" s="22" t="s">
        <v>224</v>
      </c>
      <c r="D11" s="22" t="s">
        <v>225</v>
      </c>
      <c r="E11" s="22" t="s">
        <v>226</v>
      </c>
      <c r="F11" s="9"/>
      <c r="G11" s="9" t="s">
        <v>6</v>
      </c>
      <c r="H11" s="9"/>
    </row>
    <row r="12" spans="2:8" ht="16" thickBot="1">
      <c r="B12" s="1" t="s">
        <v>77</v>
      </c>
      <c r="C12" s="9">
        <v>1</v>
      </c>
      <c r="D12" s="9">
        <v>1</v>
      </c>
      <c r="E12" s="9">
        <v>1</v>
      </c>
      <c r="F12" s="9"/>
      <c r="G12" s="9"/>
      <c r="H12" s="9"/>
    </row>
    <row r="13" spans="2:8" ht="28" thickBot="1">
      <c r="B13" s="1" t="s">
        <v>7</v>
      </c>
      <c r="C13" s="9" t="s">
        <v>115</v>
      </c>
      <c r="D13" s="9" t="s">
        <v>115</v>
      </c>
      <c r="E13" s="9" t="s">
        <v>115</v>
      </c>
      <c r="F13" s="9"/>
      <c r="G13" s="9" t="s">
        <v>15</v>
      </c>
      <c r="H13" s="9"/>
    </row>
    <row r="14" spans="2:8" ht="28" thickBot="1">
      <c r="B14" s="1" t="s">
        <v>8</v>
      </c>
      <c r="C14" s="9" t="s">
        <v>99</v>
      </c>
      <c r="D14" s="9" t="s">
        <v>99</v>
      </c>
      <c r="E14" s="9" t="s">
        <v>99</v>
      </c>
      <c r="F14" s="9"/>
      <c r="G14" s="9" t="s">
        <v>15</v>
      </c>
      <c r="H14" s="9"/>
    </row>
    <row r="15" spans="2:8" ht="16" thickBot="1">
      <c r="B15" s="1" t="s">
        <v>82</v>
      </c>
      <c r="C15" s="9">
        <v>12</v>
      </c>
      <c r="D15" s="9">
        <v>14</v>
      </c>
      <c r="E15" s="9">
        <v>16</v>
      </c>
      <c r="F15" s="9"/>
      <c r="G15" s="9"/>
      <c r="H15" s="9">
        <v>-4</v>
      </c>
    </row>
    <row r="16" spans="2:8" ht="16" thickBot="1">
      <c r="B16" s="1" t="s">
        <v>86</v>
      </c>
      <c r="C16" s="9" t="s">
        <v>43</v>
      </c>
      <c r="D16" s="9" t="s">
        <v>116</v>
      </c>
      <c r="E16" s="9" t="s">
        <v>109</v>
      </c>
      <c r="F16" s="9"/>
      <c r="G16" s="9"/>
      <c r="H16" s="9">
        <v>-4</v>
      </c>
    </row>
    <row r="17" spans="2:8" ht="16" thickBot="1">
      <c r="B17" s="1" t="s">
        <v>9</v>
      </c>
      <c r="C17" s="9" t="s">
        <v>117</v>
      </c>
      <c r="D17" s="9" t="s">
        <v>118</v>
      </c>
      <c r="E17" s="9" t="s">
        <v>119</v>
      </c>
      <c r="F17" s="9"/>
      <c r="G17" s="9"/>
      <c r="H17" s="9">
        <v>-4</v>
      </c>
    </row>
    <row r="18" spans="2:8" ht="16" thickBot="1">
      <c r="B18" s="1" t="s">
        <v>10</v>
      </c>
      <c r="C18" s="9">
        <v>10</v>
      </c>
      <c r="D18" s="9" t="s">
        <v>93</v>
      </c>
      <c r="E18" s="9" t="s">
        <v>93</v>
      </c>
      <c r="F18" s="9"/>
      <c r="G18" s="9"/>
      <c r="H18" s="9"/>
    </row>
    <row r="19" spans="2:8" ht="16" thickBot="1">
      <c r="B19" s="3" t="s">
        <v>11</v>
      </c>
      <c r="C19" s="4"/>
      <c r="D19" s="4"/>
      <c r="E19" s="4"/>
      <c r="F19" s="4"/>
      <c r="G19" s="4"/>
      <c r="H19" s="5"/>
    </row>
    <row r="20" spans="2:8" ht="16" thickBot="1">
      <c r="B20" s="1" t="s">
        <v>12</v>
      </c>
      <c r="C20" s="2">
        <v>0</v>
      </c>
      <c r="D20" s="2">
        <v>0</v>
      </c>
      <c r="E20" s="2">
        <v>0</v>
      </c>
      <c r="F20" s="2"/>
      <c r="G20" s="2"/>
      <c r="H20" s="2"/>
    </row>
    <row r="21" spans="2:8" ht="16" thickBot="1">
      <c r="B21" s="1" t="s">
        <v>14</v>
      </c>
      <c r="C21" s="2" t="s">
        <v>120</v>
      </c>
      <c r="D21" s="20" t="s">
        <v>227</v>
      </c>
      <c r="E21" s="20" t="s">
        <v>227</v>
      </c>
      <c r="F21" s="2"/>
      <c r="G21" s="2" t="s">
        <v>42</v>
      </c>
      <c r="H21" s="2">
        <v>3</v>
      </c>
    </row>
    <row r="22" spans="2:8" ht="16" thickBot="1">
      <c r="B22" s="1" t="s">
        <v>16</v>
      </c>
      <c r="C22" s="24">
        <v>0</v>
      </c>
      <c r="D22" s="24">
        <v>0</v>
      </c>
      <c r="E22" s="24">
        <v>0</v>
      </c>
      <c r="F22" s="2"/>
      <c r="G22" s="2"/>
      <c r="H22" s="2">
        <v>3</v>
      </c>
    </row>
    <row r="23" spans="2:8" ht="16" thickBot="1">
      <c r="B23" s="1" t="s">
        <v>17</v>
      </c>
      <c r="C23" s="24">
        <v>0</v>
      </c>
      <c r="D23" s="24">
        <v>0</v>
      </c>
      <c r="E23" s="24">
        <v>0</v>
      </c>
      <c r="F23" s="2"/>
      <c r="G23" s="2"/>
      <c r="H23" s="2"/>
    </row>
    <row r="24" spans="2:8" ht="16" thickBot="1">
      <c r="B24" s="1" t="s">
        <v>18</v>
      </c>
      <c r="C24" s="24">
        <v>0</v>
      </c>
      <c r="D24" s="24">
        <v>0</v>
      </c>
      <c r="E24" s="24">
        <v>0</v>
      </c>
      <c r="F24" s="2"/>
      <c r="G24" s="2"/>
      <c r="H24" s="2"/>
    </row>
    <row r="25" spans="2:8" ht="16" thickBot="1">
      <c r="B25" s="3" t="s">
        <v>20</v>
      </c>
      <c r="C25" s="4"/>
      <c r="D25" s="4"/>
      <c r="E25" s="4"/>
      <c r="F25" s="4"/>
      <c r="G25" s="4"/>
      <c r="H25" s="5"/>
    </row>
    <row r="26" spans="2:8">
      <c r="B26" s="6" t="s">
        <v>22</v>
      </c>
      <c r="C26" s="19" t="s">
        <v>228</v>
      </c>
      <c r="D26" s="21" t="s">
        <v>229</v>
      </c>
      <c r="E26" s="7">
        <v>5</v>
      </c>
      <c r="F26" s="7"/>
      <c r="G26" s="7"/>
      <c r="H26" s="7" t="s">
        <v>58</v>
      </c>
    </row>
    <row r="27" spans="2:8">
      <c r="B27" s="6" t="s">
        <v>24</v>
      </c>
      <c r="C27" s="7" t="s">
        <v>25</v>
      </c>
      <c r="D27" s="7">
        <v>70</v>
      </c>
      <c r="E27" s="7">
        <v>70</v>
      </c>
      <c r="F27" s="7"/>
      <c r="G27" s="7"/>
      <c r="H27" s="7"/>
    </row>
    <row r="28" spans="2:8" ht="16" thickBot="1">
      <c r="B28" s="1" t="s">
        <v>26</v>
      </c>
      <c r="C28" s="2" t="s">
        <v>27</v>
      </c>
      <c r="D28" s="2">
        <v>30</v>
      </c>
      <c r="E28" s="2">
        <v>30</v>
      </c>
      <c r="F28" s="2"/>
      <c r="G28" s="2"/>
      <c r="H28" s="2"/>
    </row>
    <row r="29" spans="2:8" ht="28" thickBot="1">
      <c r="B29" s="1" t="s">
        <v>28</v>
      </c>
      <c r="C29" s="2" t="s">
        <v>97</v>
      </c>
      <c r="D29" s="2" t="s">
        <v>97</v>
      </c>
      <c r="E29" s="2" t="s">
        <v>97</v>
      </c>
      <c r="F29" s="2"/>
      <c r="G29" s="2" t="s">
        <v>15</v>
      </c>
      <c r="H29" s="2"/>
    </row>
    <row r="30" spans="2:8" ht="16" thickBot="1">
      <c r="B30" s="1" t="s">
        <v>38</v>
      </c>
      <c r="C30" s="2" t="s">
        <v>47</v>
      </c>
      <c r="D30" s="2" t="s">
        <v>47</v>
      </c>
      <c r="E30" s="2" t="s">
        <v>47</v>
      </c>
      <c r="F30" s="2"/>
      <c r="G30" s="2"/>
      <c r="H30" s="2"/>
    </row>
    <row r="31" spans="2:8" ht="16" thickBot="1">
      <c r="B31" s="1" t="s">
        <v>29</v>
      </c>
      <c r="C31" s="2" t="s">
        <v>51</v>
      </c>
      <c r="D31" s="2" t="s">
        <v>51</v>
      </c>
      <c r="E31" s="2" t="s">
        <v>51</v>
      </c>
      <c r="F31" s="2"/>
      <c r="G31" s="2"/>
      <c r="H31" s="2">
        <v>3</v>
      </c>
    </row>
    <row r="35" spans="2:8" ht="16" thickBot="1"/>
    <row r="36" spans="2:8">
      <c r="B36" s="1311" t="s">
        <v>0</v>
      </c>
      <c r="C36" s="1260" t="s">
        <v>114</v>
      </c>
      <c r="D36" s="1261"/>
      <c r="E36" s="1261"/>
      <c r="F36" s="1261"/>
      <c r="G36" s="1261"/>
      <c r="H36" s="1262"/>
    </row>
    <row r="37" spans="2:8" ht="16" thickBot="1">
      <c r="B37" s="1312"/>
      <c r="C37" s="1263" t="s">
        <v>32</v>
      </c>
      <c r="D37" s="1264"/>
      <c r="E37" s="1264"/>
      <c r="F37" s="1264"/>
      <c r="G37" s="1264"/>
      <c r="H37" s="1265"/>
    </row>
    <row r="38" spans="2:8" ht="16" thickBot="1">
      <c r="B38" s="1"/>
      <c r="C38" s="2">
        <v>2015</v>
      </c>
      <c r="D38" s="2">
        <v>2020</v>
      </c>
      <c r="E38" s="2">
        <v>2030</v>
      </c>
      <c r="F38" s="2">
        <v>2050</v>
      </c>
      <c r="G38" s="2" t="s">
        <v>2</v>
      </c>
      <c r="H38" s="2" t="s">
        <v>3</v>
      </c>
    </row>
    <row r="39" spans="2:8" ht="16" thickBot="1">
      <c r="B39" s="3" t="s">
        <v>4</v>
      </c>
      <c r="C39" s="4"/>
      <c r="D39" s="4"/>
      <c r="E39" s="4"/>
      <c r="F39" s="4"/>
      <c r="G39" s="4"/>
      <c r="H39" s="5"/>
    </row>
    <row r="40" spans="2:8" ht="16" thickBot="1">
      <c r="B40" s="1" t="s">
        <v>5</v>
      </c>
      <c r="C40" s="22" t="s">
        <v>224</v>
      </c>
      <c r="D40" s="22" t="s">
        <v>225</v>
      </c>
      <c r="E40" s="22" t="s">
        <v>226</v>
      </c>
      <c r="F40" s="9"/>
      <c r="G40" s="9" t="s">
        <v>6</v>
      </c>
      <c r="H40" s="9"/>
    </row>
    <row r="41" spans="2:8" ht="16" thickBot="1">
      <c r="B41" s="1" t="s">
        <v>77</v>
      </c>
      <c r="C41" s="9">
        <v>1</v>
      </c>
      <c r="D41" s="9">
        <v>1</v>
      </c>
      <c r="E41" s="9">
        <v>1</v>
      </c>
      <c r="F41" s="9"/>
      <c r="G41" s="9"/>
      <c r="H41" s="9"/>
    </row>
    <row r="42" spans="2:8" ht="28" thickBot="1">
      <c r="B42" s="1" t="s">
        <v>7</v>
      </c>
      <c r="C42" s="9" t="s">
        <v>121</v>
      </c>
      <c r="D42" s="9" t="s">
        <v>121</v>
      </c>
      <c r="E42" s="9" t="s">
        <v>121</v>
      </c>
      <c r="F42" s="9"/>
      <c r="G42" s="9" t="s">
        <v>15</v>
      </c>
      <c r="H42" s="9"/>
    </row>
    <row r="43" spans="2:8" ht="28" thickBot="1">
      <c r="B43" s="1" t="s">
        <v>8</v>
      </c>
      <c r="C43" s="9" t="s">
        <v>122</v>
      </c>
      <c r="D43" s="9" t="s">
        <v>122</v>
      </c>
      <c r="E43" s="9" t="s">
        <v>122</v>
      </c>
      <c r="F43" s="9"/>
      <c r="G43" s="9" t="s">
        <v>15</v>
      </c>
      <c r="H43" s="9"/>
    </row>
    <row r="44" spans="2:8" ht="16" thickBot="1">
      <c r="B44" s="1" t="s">
        <v>82</v>
      </c>
      <c r="C44" s="9">
        <v>12</v>
      </c>
      <c r="D44" s="9">
        <v>14</v>
      </c>
      <c r="E44" s="9">
        <v>16</v>
      </c>
      <c r="F44" s="9"/>
      <c r="G44" s="9"/>
      <c r="H44" s="9">
        <v>-4</v>
      </c>
    </row>
    <row r="45" spans="2:8" ht="16" thickBot="1">
      <c r="B45" s="1" t="s">
        <v>86</v>
      </c>
      <c r="C45" s="9" t="s">
        <v>43</v>
      </c>
      <c r="D45" s="9" t="s">
        <v>116</v>
      </c>
      <c r="E45" s="9" t="s">
        <v>109</v>
      </c>
      <c r="F45" s="9"/>
      <c r="G45" s="9"/>
      <c r="H45" s="9">
        <v>-4</v>
      </c>
    </row>
    <row r="46" spans="2:8" ht="16" thickBot="1">
      <c r="B46" s="1" t="s">
        <v>9</v>
      </c>
      <c r="C46" s="9" t="s">
        <v>117</v>
      </c>
      <c r="D46" s="9" t="s">
        <v>118</v>
      </c>
      <c r="E46" s="9" t="s">
        <v>119</v>
      </c>
      <c r="F46" s="9"/>
      <c r="G46" s="9"/>
      <c r="H46" s="9">
        <v>-4</v>
      </c>
    </row>
    <row r="47" spans="2:8" ht="16" thickBot="1">
      <c r="B47" s="1" t="s">
        <v>10</v>
      </c>
      <c r="C47" s="9">
        <v>15</v>
      </c>
      <c r="D47" s="9" t="s">
        <v>123</v>
      </c>
      <c r="E47" s="9" t="s">
        <v>123</v>
      </c>
      <c r="F47" s="9"/>
      <c r="G47" s="9" t="s">
        <v>19</v>
      </c>
      <c r="H47" s="9"/>
    </row>
    <row r="48" spans="2:8" ht="16" thickBot="1">
      <c r="B48" s="3" t="s">
        <v>11</v>
      </c>
      <c r="C48" s="4"/>
      <c r="D48" s="4"/>
      <c r="E48" s="4"/>
      <c r="F48" s="4"/>
      <c r="G48" s="4"/>
      <c r="H48" s="5"/>
    </row>
    <row r="49" spans="2:8" ht="16" thickBot="1">
      <c r="B49" s="1" t="s">
        <v>12</v>
      </c>
      <c r="C49" s="2">
        <v>0</v>
      </c>
      <c r="D49" s="2">
        <v>0</v>
      </c>
      <c r="E49" s="2">
        <v>0</v>
      </c>
      <c r="F49" s="2"/>
      <c r="G49" s="2"/>
      <c r="H49" s="2"/>
    </row>
    <row r="50" spans="2:8" ht="16" thickBot="1">
      <c r="B50" s="1" t="s">
        <v>14</v>
      </c>
      <c r="C50" s="2" t="s">
        <v>120</v>
      </c>
      <c r="D50" s="20" t="s">
        <v>227</v>
      </c>
      <c r="E50" s="20" t="s">
        <v>227</v>
      </c>
      <c r="F50" s="2"/>
      <c r="G50" s="2" t="s">
        <v>42</v>
      </c>
      <c r="H50" s="2">
        <v>3</v>
      </c>
    </row>
    <row r="51" spans="2:8" ht="16" thickBot="1">
      <c r="B51" s="1" t="s">
        <v>16</v>
      </c>
      <c r="C51" s="2">
        <v>0</v>
      </c>
      <c r="D51" s="71">
        <v>0</v>
      </c>
      <c r="E51" s="71">
        <v>0</v>
      </c>
      <c r="F51" s="2"/>
      <c r="G51" s="2"/>
      <c r="H51" s="2">
        <v>3</v>
      </c>
    </row>
    <row r="52" spans="2:8" ht="16" thickBot="1">
      <c r="B52" s="1" t="s">
        <v>17</v>
      </c>
      <c r="C52" s="71">
        <v>0</v>
      </c>
      <c r="D52" s="71">
        <v>0</v>
      </c>
      <c r="E52" s="71">
        <v>0</v>
      </c>
      <c r="F52" s="2"/>
      <c r="G52" s="2"/>
      <c r="H52" s="2"/>
    </row>
    <row r="53" spans="2:8" ht="16" thickBot="1">
      <c r="B53" s="1" t="s">
        <v>18</v>
      </c>
      <c r="C53" s="71">
        <v>0</v>
      </c>
      <c r="D53" s="71">
        <v>0</v>
      </c>
      <c r="E53" s="71">
        <v>0</v>
      </c>
      <c r="F53" s="2"/>
      <c r="G53" s="2"/>
      <c r="H53" s="2"/>
    </row>
    <row r="54" spans="2:8" ht="16" thickBot="1">
      <c r="B54" s="3" t="s">
        <v>20</v>
      </c>
      <c r="C54" s="4"/>
      <c r="D54" s="4"/>
      <c r="E54" s="4"/>
      <c r="F54" s="4"/>
      <c r="G54" s="4"/>
      <c r="H54" s="5"/>
    </row>
    <row r="55" spans="2:8">
      <c r="B55" s="6" t="s">
        <v>22</v>
      </c>
      <c r="C55" s="19" t="s">
        <v>228</v>
      </c>
      <c r="D55" s="21" t="s">
        <v>229</v>
      </c>
      <c r="E55" s="7">
        <v>5</v>
      </c>
      <c r="F55" s="7"/>
      <c r="G55" s="7"/>
      <c r="H55" s="7" t="s">
        <v>58</v>
      </c>
    </row>
    <row r="56" spans="2:8">
      <c r="B56" s="6" t="s">
        <v>24</v>
      </c>
      <c r="C56" s="7" t="s">
        <v>25</v>
      </c>
      <c r="D56" s="7">
        <v>70</v>
      </c>
      <c r="E56" s="7">
        <v>70</v>
      </c>
      <c r="F56" s="7"/>
      <c r="G56" s="7"/>
      <c r="H56" s="7"/>
    </row>
    <row r="57" spans="2:8" ht="16" thickBot="1">
      <c r="B57" s="1" t="s">
        <v>26</v>
      </c>
      <c r="C57" s="2" t="s">
        <v>27</v>
      </c>
      <c r="D57" s="2">
        <v>30</v>
      </c>
      <c r="E57" s="2">
        <v>30</v>
      </c>
      <c r="F57" s="2"/>
      <c r="G57" s="2"/>
      <c r="H57" s="2"/>
    </row>
    <row r="58" spans="2:8" ht="28" thickBot="1">
      <c r="B58" s="1" t="s">
        <v>28</v>
      </c>
      <c r="C58" s="2" t="s">
        <v>97</v>
      </c>
      <c r="D58" s="2" t="s">
        <v>97</v>
      </c>
      <c r="E58" s="2" t="s">
        <v>97</v>
      </c>
      <c r="F58" s="2"/>
      <c r="G58" s="2" t="s">
        <v>15</v>
      </c>
      <c r="H58" s="2"/>
    </row>
    <row r="59" spans="2:8" ht="16" thickBot="1">
      <c r="B59" s="1" t="s">
        <v>38</v>
      </c>
      <c r="C59" s="2" t="s">
        <v>47</v>
      </c>
      <c r="D59" s="2" t="s">
        <v>47</v>
      </c>
      <c r="E59" s="2" t="s">
        <v>47</v>
      </c>
      <c r="F59" s="2"/>
      <c r="G59" s="2"/>
      <c r="H59" s="2"/>
    </row>
    <row r="60" spans="2:8" ht="16" thickBot="1">
      <c r="B60" s="1" t="s">
        <v>29</v>
      </c>
      <c r="C60" s="2" t="s">
        <v>51</v>
      </c>
      <c r="D60" s="2" t="s">
        <v>51</v>
      </c>
      <c r="E60" s="2" t="s">
        <v>51</v>
      </c>
      <c r="F60" s="2"/>
      <c r="G60" s="2"/>
      <c r="H60" s="2">
        <v>3</v>
      </c>
    </row>
    <row r="64" spans="2:8" ht="16" thickBot="1"/>
    <row r="65" spans="2:8">
      <c r="B65" s="1311" t="s">
        <v>0</v>
      </c>
      <c r="C65" s="1260" t="s">
        <v>124</v>
      </c>
      <c r="D65" s="1261"/>
      <c r="E65" s="1261"/>
      <c r="F65" s="1261"/>
      <c r="G65" s="1261"/>
      <c r="H65" s="1262"/>
    </row>
    <row r="66" spans="2:8" ht="15.75" customHeight="1" thickBot="1">
      <c r="B66" s="1312"/>
      <c r="C66" s="1331" t="s">
        <v>128</v>
      </c>
      <c r="D66" s="1332"/>
      <c r="E66" s="1332"/>
      <c r="F66" s="1332"/>
      <c r="G66" s="1332"/>
      <c r="H66" s="1333"/>
    </row>
    <row r="67" spans="2:8" ht="16" thickBot="1">
      <c r="B67" s="1"/>
      <c r="C67" s="2">
        <v>2015</v>
      </c>
      <c r="D67" s="2">
        <v>2020</v>
      </c>
      <c r="E67" s="2">
        <v>2030</v>
      </c>
      <c r="F67" s="2">
        <v>2050</v>
      </c>
      <c r="G67" s="2" t="s">
        <v>2</v>
      </c>
      <c r="H67" s="2" t="s">
        <v>3</v>
      </c>
    </row>
    <row r="68" spans="2:8" ht="16" thickBot="1">
      <c r="B68" s="3" t="s">
        <v>4</v>
      </c>
      <c r="C68" s="4"/>
      <c r="D68" s="4"/>
      <c r="E68" s="4"/>
      <c r="F68" s="4"/>
      <c r="G68" s="4"/>
      <c r="H68" s="5"/>
    </row>
    <row r="69" spans="2:8" ht="16" thickBot="1">
      <c r="B69" s="1" t="s">
        <v>5</v>
      </c>
      <c r="C69" s="9">
        <v>15</v>
      </c>
      <c r="D69" s="9">
        <v>14</v>
      </c>
      <c r="E69" s="9">
        <v>13</v>
      </c>
      <c r="F69" s="9"/>
      <c r="G69" s="9" t="s">
        <v>125</v>
      </c>
      <c r="H69" s="9"/>
    </row>
    <row r="70" spans="2:8" ht="16" thickBot="1">
      <c r="B70" s="1" t="s">
        <v>77</v>
      </c>
      <c r="C70" s="9">
        <v>7</v>
      </c>
      <c r="D70" s="9">
        <v>7</v>
      </c>
      <c r="E70" s="9">
        <v>7</v>
      </c>
      <c r="F70" s="9"/>
      <c r="G70" s="9" t="s">
        <v>6</v>
      </c>
      <c r="H70" s="9"/>
    </row>
    <row r="71" spans="2:8" ht="28" thickBot="1">
      <c r="B71" s="1" t="s">
        <v>7</v>
      </c>
      <c r="C71" s="9" t="s">
        <v>115</v>
      </c>
      <c r="D71" s="9" t="s">
        <v>115</v>
      </c>
      <c r="E71" s="9" t="s">
        <v>115</v>
      </c>
      <c r="F71" s="9"/>
      <c r="G71" s="9" t="s">
        <v>35</v>
      </c>
      <c r="H71" s="9"/>
    </row>
    <row r="72" spans="2:8" ht="28" thickBot="1">
      <c r="B72" s="1" t="s">
        <v>8</v>
      </c>
      <c r="C72" s="9" t="s">
        <v>126</v>
      </c>
      <c r="D72" s="9" t="s">
        <v>126</v>
      </c>
      <c r="E72" s="9" t="s">
        <v>126</v>
      </c>
      <c r="F72" s="9"/>
      <c r="G72" s="9" t="s">
        <v>35</v>
      </c>
      <c r="H72" s="9"/>
    </row>
    <row r="73" spans="2:8" ht="16" thickBot="1">
      <c r="B73" s="1" t="s">
        <v>82</v>
      </c>
      <c r="C73" s="9">
        <v>25</v>
      </c>
      <c r="D73" s="9">
        <v>27</v>
      </c>
      <c r="E73" s="9">
        <v>30</v>
      </c>
      <c r="F73" s="9"/>
      <c r="G73" s="9"/>
      <c r="H73" s="9">
        <v>1</v>
      </c>
    </row>
    <row r="74" spans="2:8" ht="16" thickBot="1">
      <c r="B74" s="1" t="s">
        <v>86</v>
      </c>
      <c r="C74" s="9">
        <v>55</v>
      </c>
      <c r="D74" s="9">
        <v>55</v>
      </c>
      <c r="E74" s="9">
        <v>55</v>
      </c>
      <c r="F74" s="9"/>
      <c r="G74" s="9"/>
      <c r="H74" s="9">
        <v>1</v>
      </c>
    </row>
    <row r="75" spans="2:8" ht="16" thickBot="1">
      <c r="B75" s="1" t="s">
        <v>9</v>
      </c>
      <c r="C75" s="9">
        <v>80</v>
      </c>
      <c r="D75" s="9">
        <v>82</v>
      </c>
      <c r="E75" s="9">
        <v>85</v>
      </c>
      <c r="F75" s="9"/>
      <c r="G75" s="9"/>
      <c r="H75" s="9">
        <v>1</v>
      </c>
    </row>
    <row r="76" spans="2:8" ht="16" thickBot="1">
      <c r="B76" s="1" t="s">
        <v>10</v>
      </c>
      <c r="C76" s="9">
        <v>10</v>
      </c>
      <c r="D76" s="9" t="s">
        <v>93</v>
      </c>
      <c r="E76" s="9" t="s">
        <v>93</v>
      </c>
      <c r="F76" s="9"/>
      <c r="G76" s="9"/>
      <c r="H76" s="9"/>
    </row>
    <row r="77" spans="2:8" ht="16" thickBot="1">
      <c r="B77" s="3" t="s">
        <v>11</v>
      </c>
      <c r="C77" s="4"/>
      <c r="D77" s="4"/>
      <c r="E77" s="4"/>
      <c r="F77" s="4"/>
      <c r="G77" s="4"/>
      <c r="H77" s="5"/>
    </row>
    <row r="78" spans="2:8" ht="16" thickBot="1">
      <c r="B78" s="1" t="s">
        <v>12</v>
      </c>
      <c r="C78" s="2">
        <v>0</v>
      </c>
      <c r="D78" s="2">
        <v>0</v>
      </c>
      <c r="E78" s="2">
        <v>0</v>
      </c>
      <c r="F78" s="2"/>
      <c r="G78" s="2"/>
      <c r="H78" s="2"/>
    </row>
    <row r="79" spans="2:8" ht="16" thickBot="1">
      <c r="B79" s="1" t="s">
        <v>14</v>
      </c>
      <c r="C79" s="2">
        <v>20</v>
      </c>
      <c r="D79" s="20" t="s">
        <v>227</v>
      </c>
      <c r="E79" s="20" t="s">
        <v>227</v>
      </c>
      <c r="F79" s="2"/>
      <c r="G79" s="2"/>
      <c r="H79" s="2">
        <v>1</v>
      </c>
    </row>
    <row r="80" spans="2:8" ht="16" thickBot="1">
      <c r="B80" s="1" t="s">
        <v>16</v>
      </c>
      <c r="C80" s="24">
        <v>1</v>
      </c>
      <c r="D80" s="24">
        <v>1</v>
      </c>
      <c r="E80" s="24">
        <v>1</v>
      </c>
      <c r="F80" s="2"/>
      <c r="G80" s="2"/>
      <c r="H80" s="2">
        <v>1</v>
      </c>
    </row>
    <row r="81" spans="2:8" ht="16" thickBot="1">
      <c r="B81" s="1" t="s">
        <v>17</v>
      </c>
      <c r="C81" s="24">
        <v>0</v>
      </c>
      <c r="D81" s="24">
        <v>0</v>
      </c>
      <c r="E81" s="24">
        <v>0</v>
      </c>
      <c r="F81" s="2"/>
      <c r="G81" s="2"/>
      <c r="H81" s="2"/>
    </row>
    <row r="82" spans="2:8" ht="16" thickBot="1">
      <c r="B82" s="1" t="s">
        <v>18</v>
      </c>
      <c r="C82" s="24">
        <v>0</v>
      </c>
      <c r="D82" s="24">
        <v>0</v>
      </c>
      <c r="E82" s="24">
        <v>0</v>
      </c>
      <c r="F82" s="2"/>
      <c r="G82" s="2"/>
      <c r="H82" s="2"/>
    </row>
    <row r="83" spans="2:8" ht="16" thickBot="1">
      <c r="B83" s="3" t="s">
        <v>20</v>
      </c>
      <c r="C83" s="4"/>
      <c r="D83" s="4"/>
      <c r="E83" s="4"/>
      <c r="F83" s="4"/>
      <c r="G83" s="4"/>
      <c r="H83" s="5"/>
    </row>
    <row r="84" spans="2:8">
      <c r="B84" s="6" t="s">
        <v>22</v>
      </c>
      <c r="C84" s="7">
        <v>20</v>
      </c>
      <c r="D84" s="7">
        <v>18</v>
      </c>
      <c r="E84" s="7">
        <v>15</v>
      </c>
      <c r="F84" s="7"/>
      <c r="G84" s="7"/>
      <c r="H84" s="7"/>
    </row>
    <row r="85" spans="2:8">
      <c r="B85" s="6" t="s">
        <v>24</v>
      </c>
      <c r="C85" s="7" t="s">
        <v>65</v>
      </c>
      <c r="D85" s="7">
        <v>75</v>
      </c>
      <c r="E85" s="7">
        <v>75</v>
      </c>
      <c r="F85" s="7"/>
      <c r="G85" s="7"/>
      <c r="H85" s="7"/>
    </row>
    <row r="86" spans="2:8" ht="16" thickBot="1">
      <c r="B86" s="1" t="s">
        <v>60</v>
      </c>
      <c r="C86" s="2" t="s">
        <v>66</v>
      </c>
      <c r="D86" s="2">
        <v>25</v>
      </c>
      <c r="E86" s="2">
        <v>25</v>
      </c>
      <c r="F86" s="2"/>
      <c r="G86" s="2"/>
      <c r="H86" s="2"/>
    </row>
    <row r="87" spans="2:8" ht="28" thickBot="1">
      <c r="B87" s="1" t="s">
        <v>64</v>
      </c>
      <c r="C87" s="2">
        <v>0.2</v>
      </c>
      <c r="D87" s="2">
        <v>0.2</v>
      </c>
      <c r="E87" s="2">
        <v>0.2</v>
      </c>
      <c r="F87" s="2"/>
      <c r="G87" s="2" t="s">
        <v>15</v>
      </c>
      <c r="H87" s="2"/>
    </row>
    <row r="88" spans="2:8" ht="16" thickBot="1">
      <c r="B88" s="1" t="s">
        <v>38</v>
      </c>
      <c r="C88" s="2" t="s">
        <v>47</v>
      </c>
      <c r="D88" s="2" t="s">
        <v>47</v>
      </c>
      <c r="E88" s="2" t="s">
        <v>47</v>
      </c>
      <c r="F88" s="2"/>
      <c r="G88" s="2"/>
      <c r="H88" s="2"/>
    </row>
    <row r="89" spans="2:8" ht="16" thickBot="1">
      <c r="B89" s="1" t="s">
        <v>29</v>
      </c>
      <c r="C89" s="2" t="s">
        <v>127</v>
      </c>
      <c r="D89" s="2" t="s">
        <v>127</v>
      </c>
      <c r="E89" s="2" t="s">
        <v>127</v>
      </c>
      <c r="F89" s="2"/>
      <c r="G89" s="2"/>
      <c r="H89" s="2">
        <v>2</v>
      </c>
    </row>
    <row r="92" spans="2:8">
      <c r="B92" s="16"/>
    </row>
  </sheetData>
  <mergeCells count="9">
    <mergeCell ref="B65:B66"/>
    <mergeCell ref="C65:H65"/>
    <mergeCell ref="C66:H66"/>
    <mergeCell ref="B7:B8"/>
    <mergeCell ref="C7:H7"/>
    <mergeCell ref="C8:H8"/>
    <mergeCell ref="B36:B37"/>
    <mergeCell ref="C36:H36"/>
    <mergeCell ref="C37:H37"/>
  </mergeCells>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theme="4"/>
  </sheetPr>
  <dimension ref="B3:H117"/>
  <sheetViews>
    <sheetView workbookViewId="0">
      <selection activeCell="C38" sqref="C38:H38"/>
    </sheetView>
  </sheetViews>
  <sheetFormatPr baseColWidth="10" defaultColWidth="8.83203125" defaultRowHeight="15"/>
  <cols>
    <col min="2" max="2" width="36.6640625" customWidth="1"/>
  </cols>
  <sheetData>
    <row r="3" spans="2:8">
      <c r="B3" s="8" t="s">
        <v>249</v>
      </c>
    </row>
    <row r="5" spans="2:8" ht="16" thickBot="1"/>
    <row r="6" spans="2:8">
      <c r="B6" s="1311" t="s">
        <v>0</v>
      </c>
      <c r="C6" s="1260" t="s">
        <v>129</v>
      </c>
      <c r="D6" s="1261"/>
      <c r="E6" s="1261"/>
      <c r="F6" s="1261"/>
      <c r="G6" s="1261"/>
      <c r="H6" s="1262"/>
    </row>
    <row r="7" spans="2:8" ht="16" thickBot="1">
      <c r="B7" s="1312"/>
      <c r="C7" s="1263" t="s">
        <v>1</v>
      </c>
      <c r="D7" s="1264"/>
      <c r="E7" s="1264"/>
      <c r="F7" s="1264"/>
      <c r="G7" s="1264"/>
      <c r="H7" s="1265"/>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9">
        <v>3.2</v>
      </c>
      <c r="D10" s="9">
        <v>3.2</v>
      </c>
      <c r="E10" s="9">
        <v>3.2</v>
      </c>
      <c r="F10" s="9"/>
      <c r="G10" s="9" t="s">
        <v>15</v>
      </c>
      <c r="H10" s="9">
        <v>2</v>
      </c>
    </row>
    <row r="11" spans="2:8" ht="16" thickBot="1">
      <c r="B11" s="1" t="s">
        <v>77</v>
      </c>
      <c r="C11" s="9">
        <v>1</v>
      </c>
      <c r="D11" s="9">
        <v>1</v>
      </c>
      <c r="E11" s="9">
        <v>1</v>
      </c>
      <c r="F11" s="9"/>
      <c r="G11" s="9"/>
      <c r="H11" s="9">
        <v>2</v>
      </c>
    </row>
    <row r="12" spans="2:8" ht="28" thickBot="1">
      <c r="B12" s="1" t="s">
        <v>7</v>
      </c>
      <c r="C12" s="9" t="s">
        <v>108</v>
      </c>
      <c r="D12" s="9" t="s">
        <v>130</v>
      </c>
      <c r="E12" s="9" t="s">
        <v>130</v>
      </c>
      <c r="F12" s="9"/>
      <c r="G12" s="9" t="s">
        <v>6</v>
      </c>
      <c r="H12" s="9"/>
    </row>
    <row r="13" spans="2:8" ht="28" thickBot="1">
      <c r="B13" s="1" t="s">
        <v>8</v>
      </c>
      <c r="C13" s="9" t="s">
        <v>131</v>
      </c>
      <c r="D13" s="9" t="s">
        <v>131</v>
      </c>
      <c r="E13" s="9" t="s">
        <v>132</v>
      </c>
      <c r="F13" s="9"/>
      <c r="G13" s="9" t="s">
        <v>6</v>
      </c>
      <c r="H13" s="9"/>
    </row>
    <row r="14" spans="2:8" ht="16" thickBot="1">
      <c r="B14" s="1" t="s">
        <v>82</v>
      </c>
      <c r="C14" s="9">
        <v>20</v>
      </c>
      <c r="D14" s="9">
        <v>22</v>
      </c>
      <c r="E14" s="9">
        <v>25</v>
      </c>
      <c r="F14" s="9"/>
      <c r="G14" s="9"/>
      <c r="H14" s="9">
        <v>2</v>
      </c>
    </row>
    <row r="15" spans="2:8" ht="16" thickBot="1">
      <c r="B15" s="1" t="s">
        <v>86</v>
      </c>
      <c r="C15" s="9">
        <v>65</v>
      </c>
      <c r="D15" s="9">
        <v>70</v>
      </c>
      <c r="E15" s="9" t="s">
        <v>133</v>
      </c>
      <c r="F15" s="9"/>
      <c r="G15" s="9"/>
      <c r="H15" s="9">
        <v>2</v>
      </c>
    </row>
    <row r="16" spans="2:8" ht="16" thickBot="1">
      <c r="B16" s="1" t="s">
        <v>9</v>
      </c>
      <c r="C16" s="9">
        <v>85</v>
      </c>
      <c r="D16" s="9">
        <v>92</v>
      </c>
      <c r="E16" s="9" t="s">
        <v>90</v>
      </c>
      <c r="F16" s="9"/>
      <c r="G16" s="9"/>
      <c r="H16" s="9">
        <v>2</v>
      </c>
    </row>
    <row r="17" spans="2:8" ht="16" thickBot="1">
      <c r="B17" s="1" t="s">
        <v>10</v>
      </c>
      <c r="C17" s="9">
        <v>10</v>
      </c>
      <c r="D17" s="9" t="s">
        <v>93</v>
      </c>
      <c r="E17" s="9" t="s">
        <v>93</v>
      </c>
      <c r="F17" s="9"/>
      <c r="G17" s="9"/>
      <c r="H17" s="9"/>
    </row>
    <row r="18" spans="2:8" ht="16" thickBot="1">
      <c r="B18" s="3" t="s">
        <v>11</v>
      </c>
      <c r="C18" s="4"/>
      <c r="D18" s="4"/>
      <c r="E18" s="4"/>
      <c r="F18" s="4"/>
      <c r="G18" s="4"/>
      <c r="H18" s="5"/>
    </row>
    <row r="19" spans="2:8" ht="16" thickBot="1">
      <c r="B19" s="1" t="s">
        <v>12</v>
      </c>
      <c r="C19" s="2">
        <v>0</v>
      </c>
      <c r="D19" s="2">
        <v>0</v>
      </c>
      <c r="E19" s="2">
        <v>0</v>
      </c>
      <c r="F19" s="2"/>
      <c r="G19" s="2"/>
      <c r="H19" s="2"/>
    </row>
    <row r="20" spans="2:8" ht="16" thickBot="1">
      <c r="B20" s="1" t="s">
        <v>14</v>
      </c>
      <c r="C20" s="2">
        <v>25</v>
      </c>
      <c r="D20" s="2">
        <v>15</v>
      </c>
      <c r="E20" s="2">
        <v>10</v>
      </c>
      <c r="F20" s="2"/>
      <c r="G20" s="2" t="s">
        <v>42</v>
      </c>
      <c r="H20" s="2">
        <v>1</v>
      </c>
    </row>
    <row r="21" spans="2:8" ht="16" thickBot="1">
      <c r="B21" s="1" t="s">
        <v>16</v>
      </c>
      <c r="C21" s="24">
        <v>5</v>
      </c>
      <c r="D21" s="24">
        <v>5</v>
      </c>
      <c r="E21" s="24">
        <v>5</v>
      </c>
      <c r="F21" s="2"/>
      <c r="G21" s="2"/>
      <c r="H21" s="2">
        <v>1</v>
      </c>
    </row>
    <row r="22" spans="2:8" ht="16" thickBot="1">
      <c r="B22" s="1" t="s">
        <v>17</v>
      </c>
      <c r="C22" s="24">
        <v>0</v>
      </c>
      <c r="D22" s="24">
        <v>0</v>
      </c>
      <c r="E22" s="24">
        <v>0</v>
      </c>
      <c r="F22" s="2"/>
      <c r="G22" s="2"/>
      <c r="H22" s="2"/>
    </row>
    <row r="23" spans="2:8" ht="16" thickBot="1">
      <c r="B23" s="1" t="s">
        <v>18</v>
      </c>
      <c r="C23" s="24">
        <v>0</v>
      </c>
      <c r="D23" s="24">
        <v>0</v>
      </c>
      <c r="E23" s="24">
        <v>0</v>
      </c>
      <c r="F23" s="2"/>
      <c r="G23" s="2"/>
      <c r="H23" s="2"/>
    </row>
    <row r="24" spans="2:8" ht="16" thickBot="1">
      <c r="B24" s="3" t="s">
        <v>20</v>
      </c>
      <c r="C24" s="4"/>
      <c r="D24" s="4"/>
      <c r="E24" s="4"/>
      <c r="F24" s="4"/>
      <c r="G24" s="4"/>
      <c r="H24" s="5"/>
    </row>
    <row r="25" spans="2:8">
      <c r="B25" s="6" t="s">
        <v>22</v>
      </c>
      <c r="C25" s="7">
        <v>15</v>
      </c>
      <c r="D25" s="7">
        <v>12</v>
      </c>
      <c r="E25" s="7">
        <v>10</v>
      </c>
      <c r="F25" s="7"/>
      <c r="G25" s="7"/>
      <c r="H25" s="7" t="s">
        <v>58</v>
      </c>
    </row>
    <row r="26" spans="2:8">
      <c r="B26" s="6" t="s">
        <v>24</v>
      </c>
      <c r="C26" s="7" t="s">
        <v>25</v>
      </c>
      <c r="D26" s="7">
        <v>70</v>
      </c>
      <c r="E26" s="7">
        <v>70</v>
      </c>
      <c r="F26" s="7"/>
      <c r="G26" s="7"/>
      <c r="H26" s="7"/>
    </row>
    <row r="27" spans="2:8" ht="16" thickBot="1">
      <c r="B27" s="1" t="s">
        <v>26</v>
      </c>
      <c r="C27" s="2" t="s">
        <v>27</v>
      </c>
      <c r="D27" s="2">
        <v>30</v>
      </c>
      <c r="E27" s="2">
        <v>30</v>
      </c>
      <c r="F27" s="2"/>
      <c r="G27" s="2"/>
      <c r="H27" s="2"/>
    </row>
    <row r="28" spans="2:8" ht="28" thickBot="1">
      <c r="B28" s="1" t="s">
        <v>28</v>
      </c>
      <c r="C28" s="2" t="s">
        <v>97</v>
      </c>
      <c r="D28" s="2" t="s">
        <v>97</v>
      </c>
      <c r="E28" s="2" t="s">
        <v>97</v>
      </c>
      <c r="F28" s="2"/>
      <c r="G28" s="2" t="s">
        <v>6</v>
      </c>
      <c r="H28" s="2"/>
    </row>
    <row r="29" spans="2:8" ht="16" thickBot="1">
      <c r="B29" s="1" t="s">
        <v>38</v>
      </c>
      <c r="C29" s="2" t="s">
        <v>47</v>
      </c>
      <c r="D29" s="2" t="s">
        <v>47</v>
      </c>
      <c r="E29" s="2" t="s">
        <v>47</v>
      </c>
      <c r="F29" s="2"/>
      <c r="G29" s="2"/>
      <c r="H29" s="2"/>
    </row>
    <row r="30" spans="2:8" ht="16" thickBot="1">
      <c r="B30" s="1" t="s">
        <v>29</v>
      </c>
      <c r="C30" s="2" t="s">
        <v>134</v>
      </c>
      <c r="D30" s="2" t="s">
        <v>134</v>
      </c>
      <c r="E30" s="2" t="s">
        <v>134</v>
      </c>
      <c r="F30" s="2"/>
      <c r="G30" s="2"/>
      <c r="H30" s="2">
        <v>3</v>
      </c>
    </row>
    <row r="34" spans="2:8" ht="16" thickBot="1"/>
    <row r="35" spans="2:8">
      <c r="B35" s="1311" t="s">
        <v>0</v>
      </c>
      <c r="C35" s="1260" t="s">
        <v>135</v>
      </c>
      <c r="D35" s="1261"/>
      <c r="E35" s="1261"/>
      <c r="F35" s="1261"/>
      <c r="G35" s="1261"/>
      <c r="H35" s="1262"/>
    </row>
    <row r="36" spans="2:8" ht="16" thickBot="1">
      <c r="B36" s="1312"/>
      <c r="C36" s="1263" t="s">
        <v>30</v>
      </c>
      <c r="D36" s="1264"/>
      <c r="E36" s="1264"/>
      <c r="F36" s="1264"/>
      <c r="G36" s="1264"/>
      <c r="H36" s="1265"/>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5</v>
      </c>
      <c r="C39" s="9" t="s">
        <v>136</v>
      </c>
      <c r="D39" s="9" t="s">
        <v>136</v>
      </c>
      <c r="E39" s="9" t="s">
        <v>136</v>
      </c>
      <c r="F39" s="9"/>
      <c r="G39" s="9"/>
      <c r="H39" s="9">
        <v>1</v>
      </c>
    </row>
    <row r="40" spans="2:8" ht="16" thickBot="1">
      <c r="B40" s="1" t="s">
        <v>77</v>
      </c>
      <c r="C40" s="9" t="s">
        <v>137</v>
      </c>
      <c r="D40" s="9" t="s">
        <v>138</v>
      </c>
      <c r="E40" s="9" t="s">
        <v>139</v>
      </c>
      <c r="F40" s="9"/>
      <c r="G40" s="9"/>
      <c r="H40" s="9">
        <v>1</v>
      </c>
    </row>
    <row r="41" spans="2:8" ht="28" thickBot="1">
      <c r="B41" s="1" t="s">
        <v>7</v>
      </c>
      <c r="C41" s="9" t="s">
        <v>140</v>
      </c>
      <c r="D41" s="9" t="s">
        <v>140</v>
      </c>
      <c r="E41" s="9" t="s">
        <v>140</v>
      </c>
      <c r="F41" s="9"/>
      <c r="G41" s="9" t="s">
        <v>6</v>
      </c>
      <c r="H41" s="9">
        <v>3</v>
      </c>
    </row>
    <row r="42" spans="2:8" ht="28" thickBot="1">
      <c r="B42" s="1" t="s">
        <v>8</v>
      </c>
      <c r="C42" s="9" t="s">
        <v>99</v>
      </c>
      <c r="D42" s="9" t="s">
        <v>99</v>
      </c>
      <c r="E42" s="9" t="s">
        <v>99</v>
      </c>
      <c r="F42" s="9"/>
      <c r="G42" s="9" t="s">
        <v>6</v>
      </c>
      <c r="H42" s="9"/>
    </row>
    <row r="43" spans="2:8" ht="16" thickBot="1">
      <c r="B43" s="1" t="s">
        <v>82</v>
      </c>
      <c r="C43" s="9" t="s">
        <v>141</v>
      </c>
      <c r="D43" s="9" t="s">
        <v>142</v>
      </c>
      <c r="E43" s="9" t="s">
        <v>143</v>
      </c>
      <c r="F43" s="9"/>
      <c r="G43" s="9"/>
      <c r="H43" s="9">
        <v>-1</v>
      </c>
    </row>
    <row r="44" spans="2:8" ht="16" thickBot="1">
      <c r="B44" s="1" t="s">
        <v>86</v>
      </c>
      <c r="C44" s="9" t="s">
        <v>144</v>
      </c>
      <c r="D44" s="9" t="s">
        <v>145</v>
      </c>
      <c r="E44" s="9" t="s">
        <v>146</v>
      </c>
      <c r="F44" s="9"/>
      <c r="G44" s="9"/>
      <c r="H44" s="9">
        <v>-1</v>
      </c>
    </row>
    <row r="45" spans="2:8" ht="16" thickBot="1">
      <c r="B45" s="1" t="s">
        <v>9</v>
      </c>
      <c r="C45" s="9" t="s">
        <v>147</v>
      </c>
      <c r="D45" s="9" t="s">
        <v>148</v>
      </c>
      <c r="E45" s="9" t="s">
        <v>149</v>
      </c>
      <c r="F45" s="9"/>
      <c r="G45" s="9"/>
      <c r="H45" s="9">
        <v>-1</v>
      </c>
    </row>
    <row r="46" spans="2:8" ht="16" thickBot="1">
      <c r="B46" s="1" t="s">
        <v>10</v>
      </c>
      <c r="C46" s="18" t="s">
        <v>230</v>
      </c>
      <c r="D46" s="18" t="s">
        <v>230</v>
      </c>
      <c r="E46" s="18" t="s">
        <v>230</v>
      </c>
      <c r="F46" s="9"/>
      <c r="G46" s="9"/>
      <c r="H46" s="9"/>
    </row>
    <row r="47" spans="2:8" ht="16" thickBot="1">
      <c r="B47" s="3" t="s">
        <v>11</v>
      </c>
      <c r="C47" s="4"/>
      <c r="D47" s="4"/>
      <c r="E47" s="4"/>
      <c r="F47" s="4"/>
      <c r="G47" s="4"/>
      <c r="H47" s="5"/>
    </row>
    <row r="48" spans="2:8" ht="16" thickBot="1">
      <c r="B48" s="1" t="s">
        <v>12</v>
      </c>
      <c r="C48" s="2">
        <v>0</v>
      </c>
      <c r="D48" s="2">
        <v>0</v>
      </c>
      <c r="E48" s="2">
        <v>0</v>
      </c>
      <c r="F48" s="2"/>
      <c r="G48" s="2"/>
      <c r="H48" s="2"/>
    </row>
    <row r="49" spans="2:8" ht="16" thickBot="1">
      <c r="B49" s="1" t="s">
        <v>14</v>
      </c>
      <c r="C49" s="2" t="s">
        <v>150</v>
      </c>
      <c r="D49" s="10">
        <v>29495</v>
      </c>
      <c r="E49" s="10">
        <v>18537</v>
      </c>
      <c r="F49" s="2"/>
      <c r="G49" s="2"/>
      <c r="H49" s="2"/>
    </row>
    <row r="50" spans="2:8" ht="16" thickBot="1">
      <c r="B50" s="1" t="s">
        <v>16</v>
      </c>
      <c r="C50" s="2" t="s">
        <v>151</v>
      </c>
      <c r="D50" s="2" t="s">
        <v>152</v>
      </c>
      <c r="E50" s="2" t="s">
        <v>153</v>
      </c>
      <c r="F50" s="2"/>
      <c r="G50" s="2"/>
      <c r="H50" s="2">
        <v>2</v>
      </c>
    </row>
    <row r="51" spans="2:8" ht="16" thickBot="1">
      <c r="B51" s="1" t="s">
        <v>17</v>
      </c>
      <c r="C51" s="2" t="s">
        <v>154</v>
      </c>
      <c r="D51" s="2" t="s">
        <v>155</v>
      </c>
      <c r="E51" s="2" t="s">
        <v>155</v>
      </c>
      <c r="F51" s="2"/>
      <c r="G51" s="2"/>
      <c r="H51" s="2">
        <v>2</v>
      </c>
    </row>
    <row r="52" spans="2:8" ht="16" thickBot="1">
      <c r="B52" s="1" t="s">
        <v>18</v>
      </c>
      <c r="C52" s="24">
        <v>0</v>
      </c>
      <c r="D52" s="24">
        <v>0</v>
      </c>
      <c r="E52" s="24">
        <v>0</v>
      </c>
      <c r="F52" s="2"/>
      <c r="G52" s="2"/>
      <c r="H52" s="2">
        <v>2</v>
      </c>
    </row>
    <row r="53" spans="2:8" ht="16" thickBot="1">
      <c r="B53" s="3" t="s">
        <v>20</v>
      </c>
      <c r="C53" s="4"/>
      <c r="D53" s="4"/>
      <c r="E53" s="4"/>
      <c r="F53" s="4"/>
      <c r="G53" s="4"/>
      <c r="H53" s="5"/>
    </row>
    <row r="54" spans="2:8">
      <c r="B54" s="6" t="s">
        <v>22</v>
      </c>
      <c r="C54" s="7" t="s">
        <v>156</v>
      </c>
      <c r="D54" s="7" t="s">
        <v>156</v>
      </c>
      <c r="E54" s="7" t="s">
        <v>156</v>
      </c>
      <c r="F54" s="7"/>
      <c r="G54" s="7"/>
      <c r="H54" s="7">
        <v>-1</v>
      </c>
    </row>
    <row r="55" spans="2:8">
      <c r="B55" s="6" t="s">
        <v>24</v>
      </c>
      <c r="C55" s="7" t="s">
        <v>157</v>
      </c>
      <c r="D55" s="7" t="s">
        <v>157</v>
      </c>
      <c r="E55" s="7" t="s">
        <v>157</v>
      </c>
      <c r="F55" s="7"/>
      <c r="G55" s="7"/>
      <c r="H55" s="7"/>
    </row>
    <row r="56" spans="2:8" ht="16" thickBot="1">
      <c r="B56" s="1" t="s">
        <v>26</v>
      </c>
      <c r="C56" s="2" t="s">
        <v>158</v>
      </c>
      <c r="D56" s="2" t="s">
        <v>158</v>
      </c>
      <c r="E56" s="2" t="s">
        <v>158</v>
      </c>
      <c r="F56" s="2"/>
      <c r="G56" s="2"/>
      <c r="H56" s="2"/>
    </row>
    <row r="57" spans="2:8" ht="28" thickBot="1">
      <c r="B57" s="1" t="s">
        <v>64</v>
      </c>
      <c r="C57" s="2">
        <v>0.2</v>
      </c>
      <c r="D57" s="2">
        <v>0.2</v>
      </c>
      <c r="E57" s="2">
        <v>0.2</v>
      </c>
      <c r="F57" s="2"/>
      <c r="G57" s="2" t="s">
        <v>6</v>
      </c>
      <c r="H57" s="2"/>
    </row>
    <row r="58" spans="2:8" ht="16" thickBot="1">
      <c r="B58" s="1" t="s">
        <v>38</v>
      </c>
      <c r="C58" s="2" t="s">
        <v>47</v>
      </c>
      <c r="D58" s="2" t="s">
        <v>47</v>
      </c>
      <c r="E58" s="2" t="s">
        <v>47</v>
      </c>
      <c r="F58" s="2"/>
      <c r="G58" s="2"/>
      <c r="H58" s="2"/>
    </row>
    <row r="59" spans="2:8" ht="16" thickBot="1">
      <c r="B59" s="1" t="s">
        <v>29</v>
      </c>
      <c r="C59" s="2" t="s">
        <v>159</v>
      </c>
      <c r="D59" s="2" t="s">
        <v>159</v>
      </c>
      <c r="E59" s="2" t="s">
        <v>159</v>
      </c>
      <c r="F59" s="2"/>
      <c r="G59" s="2" t="s">
        <v>42</v>
      </c>
      <c r="H59" s="2">
        <v>4</v>
      </c>
    </row>
    <row r="63" spans="2:8" ht="16" thickBot="1"/>
    <row r="64" spans="2:8">
      <c r="B64" s="1311" t="s">
        <v>0</v>
      </c>
      <c r="C64" s="1260" t="s">
        <v>129</v>
      </c>
      <c r="D64" s="1261"/>
      <c r="E64" s="1261"/>
      <c r="F64" s="1261"/>
      <c r="G64" s="1261"/>
      <c r="H64" s="1262"/>
    </row>
    <row r="65" spans="2:8" ht="16" thickBot="1">
      <c r="B65" s="1312"/>
      <c r="C65" s="1263" t="s">
        <v>32</v>
      </c>
      <c r="D65" s="1264"/>
      <c r="E65" s="1264"/>
      <c r="F65" s="1264"/>
      <c r="G65" s="1264"/>
      <c r="H65" s="1265"/>
    </row>
    <row r="66" spans="2:8" ht="16" thickBot="1">
      <c r="B66" s="1"/>
      <c r="C66" s="2">
        <v>2015</v>
      </c>
      <c r="D66" s="2">
        <v>2020</v>
      </c>
      <c r="E66" s="2">
        <v>2030</v>
      </c>
      <c r="F66" s="2">
        <v>2050</v>
      </c>
      <c r="G66" s="2" t="s">
        <v>2</v>
      </c>
      <c r="H66" s="2" t="s">
        <v>3</v>
      </c>
    </row>
    <row r="67" spans="2:8" ht="16" thickBot="1">
      <c r="B67" s="3" t="s">
        <v>4</v>
      </c>
      <c r="C67" s="4"/>
      <c r="D67" s="4"/>
      <c r="E67" s="4"/>
      <c r="F67" s="4"/>
      <c r="G67" s="4"/>
      <c r="H67" s="5"/>
    </row>
    <row r="68" spans="2:8" ht="16" thickBot="1">
      <c r="B68" s="1" t="s">
        <v>5</v>
      </c>
      <c r="C68" s="2">
        <v>3.2</v>
      </c>
      <c r="D68" s="2">
        <v>3.2</v>
      </c>
      <c r="E68" s="2">
        <v>3</v>
      </c>
      <c r="F68" s="2"/>
      <c r="G68" s="2" t="s">
        <v>15</v>
      </c>
      <c r="H68" s="2">
        <v>2</v>
      </c>
    </row>
    <row r="69" spans="2:8" ht="16" thickBot="1">
      <c r="B69" s="1" t="s">
        <v>77</v>
      </c>
      <c r="C69" s="2">
        <v>1</v>
      </c>
      <c r="D69" s="2">
        <v>1</v>
      </c>
      <c r="E69" s="2">
        <v>1</v>
      </c>
      <c r="F69" s="2"/>
      <c r="G69" s="2"/>
      <c r="H69" s="2">
        <v>2</v>
      </c>
    </row>
    <row r="70" spans="2:8" ht="28" thickBot="1">
      <c r="B70" s="1" t="s">
        <v>7</v>
      </c>
      <c r="C70" s="2" t="s">
        <v>115</v>
      </c>
      <c r="D70" s="2" t="s">
        <v>160</v>
      </c>
      <c r="E70" s="2" t="s">
        <v>121</v>
      </c>
      <c r="F70" s="2"/>
      <c r="G70" s="2" t="s">
        <v>6</v>
      </c>
      <c r="H70" s="2"/>
    </row>
    <row r="71" spans="2:8" ht="28" thickBot="1">
      <c r="B71" s="1" t="s">
        <v>8</v>
      </c>
      <c r="C71" s="2" t="s">
        <v>161</v>
      </c>
      <c r="D71" s="2" t="s">
        <v>162</v>
      </c>
      <c r="E71" s="2" t="s">
        <v>79</v>
      </c>
      <c r="F71" s="2"/>
      <c r="G71" s="2" t="s">
        <v>6</v>
      </c>
      <c r="H71" s="2"/>
    </row>
    <row r="72" spans="2:8" ht="16" thickBot="1">
      <c r="B72" s="1" t="s">
        <v>82</v>
      </c>
      <c r="C72" s="2">
        <v>20</v>
      </c>
      <c r="D72" s="2">
        <v>22</v>
      </c>
      <c r="E72" s="2">
        <v>25</v>
      </c>
      <c r="F72" s="2"/>
      <c r="G72" s="2"/>
      <c r="H72" s="2"/>
    </row>
    <row r="73" spans="2:8" ht="16" thickBot="1">
      <c r="B73" s="1" t="s">
        <v>86</v>
      </c>
      <c r="C73" s="2">
        <v>65</v>
      </c>
      <c r="D73" s="2">
        <v>70</v>
      </c>
      <c r="E73" s="2" t="s">
        <v>133</v>
      </c>
      <c r="F73" s="2"/>
      <c r="G73" s="2"/>
      <c r="H73" s="2">
        <v>2</v>
      </c>
    </row>
    <row r="74" spans="2:8" ht="16" thickBot="1">
      <c r="B74" s="1" t="s">
        <v>163</v>
      </c>
      <c r="C74" s="2">
        <v>85</v>
      </c>
      <c r="D74" s="2">
        <v>92</v>
      </c>
      <c r="E74" s="2" t="s">
        <v>90</v>
      </c>
      <c r="F74" s="2"/>
      <c r="G74" s="2"/>
      <c r="H74" s="2">
        <v>2</v>
      </c>
    </row>
    <row r="75" spans="2:8" ht="16" thickBot="1">
      <c r="B75" s="1" t="s">
        <v>10</v>
      </c>
      <c r="C75" s="2">
        <v>10</v>
      </c>
      <c r="D75" s="2" t="s">
        <v>93</v>
      </c>
      <c r="E75" s="2" t="s">
        <v>93</v>
      </c>
      <c r="F75" s="2"/>
      <c r="G75" s="2"/>
      <c r="H75" s="2"/>
    </row>
    <row r="76" spans="2:8" ht="16" thickBot="1">
      <c r="B76" s="3" t="s">
        <v>11</v>
      </c>
      <c r="C76" s="4"/>
      <c r="D76" s="4"/>
      <c r="E76" s="4"/>
      <c r="F76" s="4"/>
      <c r="G76" s="4"/>
      <c r="H76" s="5"/>
    </row>
    <row r="77" spans="2:8" ht="16" thickBot="1">
      <c r="B77" s="1" t="s">
        <v>12</v>
      </c>
      <c r="C77" s="2">
        <v>0</v>
      </c>
      <c r="D77" s="2">
        <v>0</v>
      </c>
      <c r="E77" s="2">
        <v>0</v>
      </c>
      <c r="F77" s="2"/>
      <c r="G77" s="2"/>
      <c r="H77" s="2"/>
    </row>
    <row r="78" spans="2:8" ht="16" thickBot="1">
      <c r="B78" s="1" t="s">
        <v>14</v>
      </c>
      <c r="C78" s="2">
        <v>25</v>
      </c>
      <c r="D78" s="2">
        <v>15</v>
      </c>
      <c r="E78" s="2">
        <v>10</v>
      </c>
      <c r="F78" s="2"/>
      <c r="G78" s="2" t="s">
        <v>42</v>
      </c>
      <c r="H78" s="2">
        <v>1</v>
      </c>
    </row>
    <row r="79" spans="2:8" ht="16" thickBot="1">
      <c r="B79" s="1" t="s">
        <v>16</v>
      </c>
      <c r="C79" s="24">
        <v>5</v>
      </c>
      <c r="D79" s="24">
        <v>5</v>
      </c>
      <c r="E79" s="24">
        <v>5</v>
      </c>
      <c r="F79" s="2"/>
      <c r="G79" s="2"/>
      <c r="H79" s="2">
        <v>1</v>
      </c>
    </row>
    <row r="80" spans="2:8" ht="16" thickBot="1">
      <c r="B80" s="1" t="s">
        <v>17</v>
      </c>
      <c r="C80" s="24">
        <v>0</v>
      </c>
      <c r="D80" s="24">
        <v>0</v>
      </c>
      <c r="E80" s="24">
        <v>0</v>
      </c>
      <c r="F80" s="2"/>
      <c r="G80" s="2"/>
      <c r="H80" s="2"/>
    </row>
    <row r="81" spans="2:8" ht="16" thickBot="1">
      <c r="B81" s="1" t="s">
        <v>18</v>
      </c>
      <c r="C81" s="24">
        <v>0</v>
      </c>
      <c r="D81" s="24">
        <v>0</v>
      </c>
      <c r="E81" s="24">
        <v>0</v>
      </c>
      <c r="F81" s="2"/>
      <c r="G81" s="2"/>
      <c r="H81" s="2"/>
    </row>
    <row r="82" spans="2:8" ht="16" thickBot="1">
      <c r="B82" s="3" t="s">
        <v>20</v>
      </c>
      <c r="C82" s="4"/>
      <c r="D82" s="4"/>
      <c r="E82" s="4"/>
      <c r="F82" s="4"/>
      <c r="G82" s="4"/>
      <c r="H82" s="5"/>
    </row>
    <row r="83" spans="2:8">
      <c r="B83" s="6" t="s">
        <v>22</v>
      </c>
      <c r="C83" s="7">
        <v>15</v>
      </c>
      <c r="D83" s="7">
        <v>12</v>
      </c>
      <c r="E83" s="7">
        <v>10</v>
      </c>
      <c r="F83" s="7"/>
      <c r="G83" s="7"/>
      <c r="H83" s="7" t="s">
        <v>58</v>
      </c>
    </row>
    <row r="84" spans="2:8">
      <c r="B84" s="6" t="s">
        <v>24</v>
      </c>
      <c r="C84" s="7" t="s">
        <v>25</v>
      </c>
      <c r="D84" s="7">
        <v>70</v>
      </c>
      <c r="E84" s="7">
        <v>70</v>
      </c>
      <c r="F84" s="7"/>
      <c r="G84" s="7"/>
      <c r="H84" s="7"/>
    </row>
    <row r="85" spans="2:8" ht="16" thickBot="1">
      <c r="B85" s="1" t="s">
        <v>26</v>
      </c>
      <c r="C85" s="2" t="s">
        <v>27</v>
      </c>
      <c r="D85" s="2">
        <v>30</v>
      </c>
      <c r="E85" s="2">
        <v>30</v>
      </c>
      <c r="F85" s="2"/>
      <c r="G85" s="2"/>
      <c r="H85" s="2"/>
    </row>
    <row r="86" spans="2:8" ht="28" thickBot="1">
      <c r="B86" s="1" t="s">
        <v>28</v>
      </c>
      <c r="C86" s="2" t="s">
        <v>97</v>
      </c>
      <c r="D86" s="2" t="s">
        <v>97</v>
      </c>
      <c r="E86" s="2" t="s">
        <v>97</v>
      </c>
      <c r="F86" s="2"/>
      <c r="G86" s="2" t="s">
        <v>6</v>
      </c>
      <c r="H86" s="2"/>
    </row>
    <row r="87" spans="2:8" ht="16" thickBot="1">
      <c r="B87" s="1" t="s">
        <v>38</v>
      </c>
      <c r="C87" s="2" t="s">
        <v>47</v>
      </c>
      <c r="D87" s="2" t="s">
        <v>47</v>
      </c>
      <c r="E87" s="2" t="s">
        <v>47</v>
      </c>
      <c r="F87" s="2"/>
      <c r="G87" s="2"/>
      <c r="H87" s="2"/>
    </row>
    <row r="88" spans="2:8" ht="16" thickBot="1">
      <c r="B88" s="1" t="s">
        <v>29</v>
      </c>
      <c r="C88" s="2" t="s">
        <v>134</v>
      </c>
      <c r="D88" s="2" t="s">
        <v>134</v>
      </c>
      <c r="E88" s="2" t="s">
        <v>134</v>
      </c>
      <c r="F88" s="2"/>
      <c r="G88" s="2"/>
      <c r="H88" s="2">
        <v>3</v>
      </c>
    </row>
    <row r="92" spans="2:8" ht="16" thickBot="1"/>
    <row r="93" spans="2:8">
      <c r="B93" s="1311" t="s">
        <v>0</v>
      </c>
      <c r="C93" s="1260" t="s">
        <v>135</v>
      </c>
      <c r="D93" s="1261"/>
      <c r="E93" s="1261"/>
      <c r="F93" s="1261"/>
      <c r="G93" s="1261"/>
      <c r="H93" s="1262"/>
    </row>
    <row r="94" spans="2:8" ht="16" thickBot="1">
      <c r="B94" s="1312"/>
      <c r="C94" s="1263" t="s">
        <v>33</v>
      </c>
      <c r="D94" s="1264"/>
      <c r="E94" s="1264"/>
      <c r="F94" s="1264"/>
      <c r="G94" s="1264"/>
      <c r="H94" s="1265"/>
    </row>
    <row r="95" spans="2:8" ht="16" thickBot="1">
      <c r="B95" s="1"/>
      <c r="C95" s="2">
        <v>2015</v>
      </c>
      <c r="D95" s="2">
        <v>2020</v>
      </c>
      <c r="E95" s="2">
        <v>2030</v>
      </c>
      <c r="F95" s="2">
        <v>2050</v>
      </c>
      <c r="G95" s="2" t="s">
        <v>2</v>
      </c>
      <c r="H95" s="2" t="s">
        <v>3</v>
      </c>
    </row>
    <row r="96" spans="2:8" ht="16" thickBot="1">
      <c r="B96" s="3" t="s">
        <v>4</v>
      </c>
      <c r="C96" s="4"/>
      <c r="D96" s="4"/>
      <c r="E96" s="4"/>
      <c r="F96" s="4"/>
      <c r="G96" s="4"/>
      <c r="H96" s="5"/>
    </row>
    <row r="97" spans="2:8" ht="16" thickBot="1">
      <c r="B97" s="1" t="s">
        <v>5</v>
      </c>
      <c r="C97" s="2" t="s">
        <v>164</v>
      </c>
      <c r="D97" s="2" t="s">
        <v>164</v>
      </c>
      <c r="E97" s="2" t="s">
        <v>164</v>
      </c>
      <c r="F97" s="2"/>
      <c r="G97" s="2"/>
      <c r="H97" s="2">
        <v>1</v>
      </c>
    </row>
    <row r="98" spans="2:8" ht="16" thickBot="1">
      <c r="B98" s="1" t="s">
        <v>77</v>
      </c>
      <c r="C98" s="2" t="s">
        <v>165</v>
      </c>
      <c r="D98" s="2" t="s">
        <v>166</v>
      </c>
      <c r="E98" s="2" t="s">
        <v>167</v>
      </c>
      <c r="F98" s="2"/>
      <c r="G98" s="2"/>
      <c r="H98" s="2">
        <v>1</v>
      </c>
    </row>
    <row r="99" spans="2:8" ht="28" thickBot="1">
      <c r="B99" s="1" t="s">
        <v>7</v>
      </c>
      <c r="C99" s="2" t="s">
        <v>109</v>
      </c>
      <c r="D99" s="2" t="s">
        <v>109</v>
      </c>
      <c r="E99" s="2" t="s">
        <v>109</v>
      </c>
      <c r="F99" s="2"/>
      <c r="G99" s="2" t="s">
        <v>6</v>
      </c>
      <c r="H99" s="2"/>
    </row>
    <row r="100" spans="2:8" ht="28" thickBot="1">
      <c r="B100" s="1" t="s">
        <v>8</v>
      </c>
      <c r="C100" s="2" t="s">
        <v>99</v>
      </c>
      <c r="D100" s="2" t="s">
        <v>99</v>
      </c>
      <c r="E100" s="2" t="s">
        <v>99</v>
      </c>
      <c r="F100" s="2"/>
      <c r="G100" s="2" t="s">
        <v>6</v>
      </c>
      <c r="H100" s="2"/>
    </row>
    <row r="101" spans="2:8" ht="16" thickBot="1">
      <c r="B101" s="1" t="s">
        <v>82</v>
      </c>
      <c r="C101" s="2" t="s">
        <v>168</v>
      </c>
      <c r="D101" s="2" t="s">
        <v>169</v>
      </c>
      <c r="E101" s="2" t="s">
        <v>170</v>
      </c>
      <c r="F101" s="2"/>
      <c r="G101" s="2"/>
      <c r="H101" s="2">
        <v>-1</v>
      </c>
    </row>
    <row r="102" spans="2:8" ht="16" thickBot="1">
      <c r="B102" s="1" t="s">
        <v>86</v>
      </c>
      <c r="C102" s="2" t="s">
        <v>171</v>
      </c>
      <c r="D102" s="2" t="s">
        <v>172</v>
      </c>
      <c r="E102" s="2" t="s">
        <v>173</v>
      </c>
      <c r="F102" s="2"/>
      <c r="G102" s="2"/>
      <c r="H102" s="2">
        <v>-1</v>
      </c>
    </row>
    <row r="103" spans="2:8" ht="16" thickBot="1">
      <c r="B103" s="1" t="s">
        <v>9</v>
      </c>
      <c r="C103" s="2" t="s">
        <v>174</v>
      </c>
      <c r="D103" s="2" t="s">
        <v>175</v>
      </c>
      <c r="E103" s="2" t="s">
        <v>176</v>
      </c>
      <c r="F103" s="2"/>
      <c r="G103" s="2"/>
      <c r="H103" s="2">
        <v>-1</v>
      </c>
    </row>
    <row r="104" spans="2:8" ht="16" thickBot="1">
      <c r="B104" s="1" t="s">
        <v>10</v>
      </c>
      <c r="C104" s="20" t="s">
        <v>230</v>
      </c>
      <c r="D104" s="20" t="s">
        <v>230</v>
      </c>
      <c r="E104" s="20" t="s">
        <v>230</v>
      </c>
      <c r="F104" s="2"/>
      <c r="G104" s="2"/>
      <c r="H104" s="2"/>
    </row>
    <row r="105" spans="2:8" ht="16" thickBot="1">
      <c r="B105" s="3" t="s">
        <v>11</v>
      </c>
      <c r="C105" s="4"/>
      <c r="D105" s="4"/>
      <c r="E105" s="4"/>
      <c r="F105" s="4"/>
      <c r="G105" s="4"/>
      <c r="H105" s="5"/>
    </row>
    <row r="106" spans="2:8" ht="16" thickBot="1">
      <c r="B106" s="1" t="s">
        <v>12</v>
      </c>
      <c r="C106" s="2">
        <v>0</v>
      </c>
      <c r="D106" s="2">
        <v>0</v>
      </c>
      <c r="E106" s="2">
        <v>0</v>
      </c>
      <c r="F106" s="2"/>
      <c r="G106" s="2"/>
      <c r="H106" s="2"/>
    </row>
    <row r="107" spans="2:8" ht="16" thickBot="1">
      <c r="B107" s="1" t="s">
        <v>14</v>
      </c>
      <c r="C107" s="2" t="s">
        <v>150</v>
      </c>
      <c r="D107" s="20" t="s">
        <v>231</v>
      </c>
      <c r="E107" s="20" t="s">
        <v>232</v>
      </c>
      <c r="F107" s="2"/>
      <c r="G107" s="2"/>
      <c r="H107" s="2">
        <v>1</v>
      </c>
    </row>
    <row r="108" spans="2:8" ht="16" thickBot="1">
      <c r="B108" s="1" t="s">
        <v>16</v>
      </c>
      <c r="C108" s="2" t="s">
        <v>151</v>
      </c>
      <c r="D108" s="2" t="s">
        <v>152</v>
      </c>
      <c r="E108" s="2" t="s">
        <v>153</v>
      </c>
      <c r="F108" s="2"/>
      <c r="G108" s="2"/>
      <c r="H108" s="2">
        <v>2</v>
      </c>
    </row>
    <row r="109" spans="2:8" ht="16" thickBot="1">
      <c r="B109" s="1" t="s">
        <v>17</v>
      </c>
      <c r="C109" s="2" t="s">
        <v>154</v>
      </c>
      <c r="D109" s="2" t="s">
        <v>155</v>
      </c>
      <c r="E109" s="2" t="s">
        <v>155</v>
      </c>
      <c r="F109" s="2"/>
      <c r="G109" s="2"/>
      <c r="H109" s="2">
        <v>2</v>
      </c>
    </row>
    <row r="110" spans="2:8" ht="16" thickBot="1">
      <c r="B110" s="1" t="s">
        <v>18</v>
      </c>
      <c r="C110" s="24">
        <v>0</v>
      </c>
      <c r="D110" s="24">
        <v>0</v>
      </c>
      <c r="E110" s="24">
        <v>0</v>
      </c>
      <c r="F110" s="2"/>
      <c r="G110" s="2"/>
      <c r="H110" s="2">
        <v>2</v>
      </c>
    </row>
    <row r="111" spans="2:8" ht="16" thickBot="1">
      <c r="B111" s="3" t="s">
        <v>20</v>
      </c>
      <c r="C111" s="4"/>
      <c r="D111" s="4"/>
      <c r="E111" s="4"/>
      <c r="F111" s="4"/>
      <c r="G111" s="4"/>
      <c r="H111" s="5"/>
    </row>
    <row r="112" spans="2:8">
      <c r="B112" s="6" t="s">
        <v>22</v>
      </c>
      <c r="C112" s="7" t="s">
        <v>177</v>
      </c>
      <c r="D112" s="7" t="s">
        <v>177</v>
      </c>
      <c r="E112" s="7" t="s">
        <v>177</v>
      </c>
      <c r="F112" s="7"/>
      <c r="G112" s="7"/>
      <c r="H112" s="7">
        <v>1</v>
      </c>
    </row>
    <row r="113" spans="2:8">
      <c r="B113" s="6" t="s">
        <v>24</v>
      </c>
      <c r="C113" s="7" t="s">
        <v>25</v>
      </c>
      <c r="D113" s="7">
        <v>70</v>
      </c>
      <c r="E113" s="7">
        <v>70</v>
      </c>
      <c r="F113" s="7"/>
      <c r="G113" s="7"/>
      <c r="H113" s="7"/>
    </row>
    <row r="114" spans="2:8" ht="16" thickBot="1">
      <c r="B114" s="1" t="s">
        <v>26</v>
      </c>
      <c r="C114" s="2" t="s">
        <v>27</v>
      </c>
      <c r="D114" s="2">
        <v>30</v>
      </c>
      <c r="E114" s="2">
        <v>30</v>
      </c>
      <c r="F114" s="2"/>
      <c r="G114" s="2"/>
      <c r="H114" s="2"/>
    </row>
    <row r="115" spans="2:8" ht="28" thickBot="1">
      <c r="B115" s="1" t="s">
        <v>64</v>
      </c>
      <c r="C115" s="2">
        <v>0.2</v>
      </c>
      <c r="D115" s="2">
        <v>0.2</v>
      </c>
      <c r="E115" s="2">
        <v>0.2</v>
      </c>
      <c r="F115" s="2"/>
      <c r="G115" s="2" t="s">
        <v>6</v>
      </c>
      <c r="H115" s="2"/>
    </row>
    <row r="116" spans="2:8" ht="16" thickBot="1">
      <c r="B116" s="1" t="s">
        <v>38</v>
      </c>
      <c r="C116" s="2" t="s">
        <v>47</v>
      </c>
      <c r="D116" s="2" t="s">
        <v>47</v>
      </c>
      <c r="E116" s="2" t="s">
        <v>47</v>
      </c>
      <c r="F116" s="2"/>
      <c r="G116" s="2"/>
      <c r="H116" s="2"/>
    </row>
    <row r="117" spans="2:8" ht="16" thickBot="1">
      <c r="B117" s="1" t="s">
        <v>29</v>
      </c>
      <c r="C117" s="2" t="s">
        <v>159</v>
      </c>
      <c r="D117" s="2" t="s">
        <v>159</v>
      </c>
      <c r="E117" s="2" t="s">
        <v>159</v>
      </c>
      <c r="F117" s="2"/>
      <c r="G117" s="2" t="s">
        <v>42</v>
      </c>
      <c r="H117" s="2">
        <v>3</v>
      </c>
    </row>
  </sheetData>
  <mergeCells count="12">
    <mergeCell ref="B6:B7"/>
    <mergeCell ref="C6:H6"/>
    <mergeCell ref="C7:H7"/>
    <mergeCell ref="B35:B36"/>
    <mergeCell ref="C35:H35"/>
    <mergeCell ref="C36:H36"/>
    <mergeCell ref="B64:B65"/>
    <mergeCell ref="C64:H64"/>
    <mergeCell ref="C65:H65"/>
    <mergeCell ref="B93:B94"/>
    <mergeCell ref="C93:H93"/>
    <mergeCell ref="C94:H94"/>
  </mergeCells>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theme="4"/>
  </sheetPr>
  <dimension ref="B1:H62"/>
  <sheetViews>
    <sheetView workbookViewId="0">
      <selection activeCell="B2" sqref="B2"/>
    </sheetView>
  </sheetViews>
  <sheetFormatPr baseColWidth="10" defaultColWidth="8.83203125" defaultRowHeight="15"/>
  <cols>
    <col min="2" max="2" width="36.6640625" customWidth="1"/>
  </cols>
  <sheetData>
    <row r="1" spans="2:8" s="111" customFormat="1"/>
    <row r="2" spans="2:8">
      <c r="B2" s="43" t="s">
        <v>685</v>
      </c>
    </row>
    <row r="4" spans="2:8">
      <c r="B4" s="8" t="s">
        <v>250</v>
      </c>
    </row>
    <row r="6" spans="2:8" ht="16" thickBot="1"/>
    <row r="7" spans="2:8" ht="16" thickBot="1">
      <c r="B7" s="17" t="s">
        <v>0</v>
      </c>
      <c r="C7" s="1334" t="s">
        <v>178</v>
      </c>
      <c r="D7" s="1335"/>
      <c r="E7" s="1335"/>
      <c r="F7" s="1335"/>
      <c r="G7" s="1335"/>
      <c r="H7" s="13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179</v>
      </c>
      <c r="C10" s="2">
        <v>120</v>
      </c>
      <c r="D10" s="2">
        <v>120</v>
      </c>
      <c r="E10" s="2">
        <v>120</v>
      </c>
      <c r="F10" s="2">
        <v>120</v>
      </c>
      <c r="G10" s="2" t="s">
        <v>6</v>
      </c>
      <c r="H10" s="2">
        <v>1</v>
      </c>
    </row>
    <row r="11" spans="2:8" ht="16" thickBot="1">
      <c r="B11" s="1" t="s">
        <v>180</v>
      </c>
      <c r="C11" s="2">
        <v>15</v>
      </c>
      <c r="D11" s="2">
        <v>15</v>
      </c>
      <c r="E11" s="2">
        <v>15</v>
      </c>
      <c r="F11" s="2">
        <v>15</v>
      </c>
      <c r="G11" s="2" t="s">
        <v>42</v>
      </c>
      <c r="H11" s="2">
        <v>1</v>
      </c>
    </row>
    <row r="12" spans="2:8" ht="16" thickBot="1">
      <c r="B12" s="1" t="s">
        <v>181</v>
      </c>
      <c r="C12" s="2">
        <v>141</v>
      </c>
      <c r="D12" s="2">
        <v>141</v>
      </c>
      <c r="E12" s="2">
        <v>141</v>
      </c>
      <c r="F12" s="2">
        <v>141</v>
      </c>
      <c r="G12" s="2" t="s">
        <v>6</v>
      </c>
      <c r="H12" s="2">
        <v>1</v>
      </c>
    </row>
    <row r="13" spans="2:8" ht="16" thickBot="1">
      <c r="B13" s="1" t="s">
        <v>182</v>
      </c>
      <c r="C13" s="2" t="s">
        <v>183</v>
      </c>
      <c r="D13" s="2" t="s">
        <v>183</v>
      </c>
      <c r="E13" s="2" t="s">
        <v>183</v>
      </c>
      <c r="F13" s="2" t="s">
        <v>183</v>
      </c>
      <c r="G13" s="2"/>
      <c r="H13" s="2">
        <v>2</v>
      </c>
    </row>
    <row r="14" spans="2:8" ht="16" thickBot="1">
      <c r="B14" s="1" t="s">
        <v>10</v>
      </c>
      <c r="C14" s="2" t="s">
        <v>126</v>
      </c>
      <c r="D14" s="2" t="s">
        <v>126</v>
      </c>
      <c r="E14" s="2" t="s">
        <v>126</v>
      </c>
      <c r="F14" s="2" t="s">
        <v>126</v>
      </c>
      <c r="G14" s="2"/>
      <c r="H14" s="2">
        <v>3</v>
      </c>
    </row>
    <row r="15" spans="2:8" ht="16" thickBot="1">
      <c r="B15" s="3" t="s">
        <v>20</v>
      </c>
      <c r="C15" s="4"/>
      <c r="D15" s="4"/>
      <c r="E15" s="4"/>
      <c r="F15" s="4"/>
      <c r="G15" s="4"/>
      <c r="H15" s="5"/>
    </row>
    <row r="16" spans="2:8" ht="16" thickBot="1">
      <c r="B16" s="1" t="s">
        <v>184</v>
      </c>
      <c r="C16" s="2" t="s">
        <v>185</v>
      </c>
      <c r="D16" s="2" t="s">
        <v>185</v>
      </c>
      <c r="E16" s="2" t="s">
        <v>185</v>
      </c>
      <c r="F16" s="2" t="s">
        <v>185</v>
      </c>
      <c r="G16" s="2" t="s">
        <v>15</v>
      </c>
      <c r="H16" s="2">
        <v>1</v>
      </c>
    </row>
    <row r="17" spans="2:8" ht="16" thickBot="1">
      <c r="B17" s="1" t="s">
        <v>186</v>
      </c>
      <c r="C17" s="2">
        <v>250</v>
      </c>
      <c r="D17" s="2">
        <v>250</v>
      </c>
      <c r="E17" s="2">
        <v>250</v>
      </c>
      <c r="F17" s="2">
        <v>250</v>
      </c>
      <c r="G17" s="2"/>
      <c r="H17" s="2">
        <v>4</v>
      </c>
    </row>
    <row r="21" spans="2:8" ht="16" thickBot="1"/>
    <row r="22" spans="2:8" ht="16" thickBot="1">
      <c r="B22" s="17" t="s">
        <v>0</v>
      </c>
      <c r="C22" s="1334" t="s">
        <v>187</v>
      </c>
      <c r="D22" s="1335"/>
      <c r="E22" s="1335"/>
      <c r="F22" s="1335"/>
      <c r="G22" s="1335"/>
      <c r="H22" s="1336"/>
    </row>
    <row r="23" spans="2:8" ht="16" thickBot="1">
      <c r="B23" s="1"/>
      <c r="C23" s="2">
        <v>2015</v>
      </c>
      <c r="D23" s="2">
        <v>2020</v>
      </c>
      <c r="E23" s="2">
        <v>2030</v>
      </c>
      <c r="F23" s="2">
        <v>2050</v>
      </c>
      <c r="G23" s="2" t="s">
        <v>2</v>
      </c>
      <c r="H23" s="2" t="s">
        <v>3</v>
      </c>
    </row>
    <row r="24" spans="2:8" ht="16" thickBot="1">
      <c r="B24" s="3" t="s">
        <v>4</v>
      </c>
      <c r="C24" s="4"/>
      <c r="D24" s="4"/>
      <c r="E24" s="4"/>
      <c r="F24" s="4"/>
      <c r="G24" s="4"/>
      <c r="H24" s="5"/>
    </row>
    <row r="25" spans="2:8" ht="16" thickBot="1">
      <c r="B25" s="1" t="s">
        <v>179</v>
      </c>
      <c r="C25" s="2" t="s">
        <v>100</v>
      </c>
      <c r="D25" s="2" t="s">
        <v>100</v>
      </c>
      <c r="E25" s="2" t="s">
        <v>100</v>
      </c>
      <c r="F25" s="2" t="s">
        <v>100</v>
      </c>
      <c r="G25" s="2" t="s">
        <v>6</v>
      </c>
      <c r="H25" s="2">
        <v>1</v>
      </c>
    </row>
    <row r="26" spans="2:8" ht="16" thickBot="1">
      <c r="B26" s="1" t="s">
        <v>180</v>
      </c>
      <c r="C26" s="2" t="s">
        <v>188</v>
      </c>
      <c r="D26" s="2" t="s">
        <v>188</v>
      </c>
      <c r="E26" s="2" t="s">
        <v>188</v>
      </c>
      <c r="F26" s="2" t="s">
        <v>188</v>
      </c>
      <c r="G26" s="2" t="s">
        <v>42</v>
      </c>
      <c r="H26" s="2" t="s">
        <v>58</v>
      </c>
    </row>
    <row r="27" spans="2:8" ht="16" thickBot="1">
      <c r="B27" s="1" t="s">
        <v>181</v>
      </c>
      <c r="C27" s="2" t="s">
        <v>189</v>
      </c>
      <c r="D27" s="2" t="s">
        <v>189</v>
      </c>
      <c r="E27" s="2" t="s">
        <v>189</v>
      </c>
      <c r="F27" s="2" t="s">
        <v>189</v>
      </c>
      <c r="G27" s="2" t="s">
        <v>6</v>
      </c>
      <c r="H27" s="2">
        <v>1</v>
      </c>
    </row>
    <row r="28" spans="2:8" ht="16" thickBot="1">
      <c r="B28" s="1" t="s">
        <v>182</v>
      </c>
      <c r="C28" s="23" t="s">
        <v>233</v>
      </c>
      <c r="D28" s="23" t="s">
        <v>233</v>
      </c>
      <c r="E28" s="23" t="s">
        <v>233</v>
      </c>
      <c r="F28" s="23" t="s">
        <v>233</v>
      </c>
      <c r="G28" s="2" t="s">
        <v>15</v>
      </c>
      <c r="H28" s="2" t="s">
        <v>58</v>
      </c>
    </row>
    <row r="29" spans="2:8" ht="16" thickBot="1">
      <c r="B29" s="1" t="s">
        <v>10</v>
      </c>
      <c r="C29" s="2" t="s">
        <v>126</v>
      </c>
      <c r="D29" s="2" t="s">
        <v>126</v>
      </c>
      <c r="E29" s="2" t="s">
        <v>126</v>
      </c>
      <c r="F29" s="2" t="s">
        <v>126</v>
      </c>
      <c r="G29" s="2"/>
      <c r="H29" s="2">
        <v>3</v>
      </c>
    </row>
    <row r="30" spans="2:8" ht="16" thickBot="1">
      <c r="B30" s="3" t="s">
        <v>20</v>
      </c>
      <c r="C30" s="4"/>
      <c r="D30" s="4"/>
      <c r="E30" s="4"/>
      <c r="F30" s="4"/>
      <c r="G30" s="4"/>
      <c r="H30" s="5"/>
    </row>
    <row r="31" spans="2:8" ht="16" thickBot="1">
      <c r="B31" s="1" t="s">
        <v>184</v>
      </c>
      <c r="C31" s="2" t="s">
        <v>190</v>
      </c>
      <c r="D31" s="2" t="s">
        <v>190</v>
      </c>
      <c r="E31" s="2" t="s">
        <v>190</v>
      </c>
      <c r="F31" s="2" t="s">
        <v>190</v>
      </c>
      <c r="G31" s="2" t="s">
        <v>52</v>
      </c>
      <c r="H31" s="2">
        <v>1</v>
      </c>
    </row>
    <row r="32" spans="2:8" ht="16" thickBot="1">
      <c r="B32" s="1" t="s">
        <v>186</v>
      </c>
      <c r="C32" s="2" t="s">
        <v>191</v>
      </c>
      <c r="D32" s="2" t="s">
        <v>191</v>
      </c>
      <c r="E32" s="2" t="s">
        <v>191</v>
      </c>
      <c r="F32" s="2" t="s">
        <v>191</v>
      </c>
      <c r="G32" s="2"/>
      <c r="H32" s="2">
        <v>4</v>
      </c>
    </row>
    <row r="36" spans="2:8" ht="16" thickBot="1"/>
    <row r="37" spans="2:8" ht="16" thickBot="1">
      <c r="B37" s="17" t="s">
        <v>0</v>
      </c>
      <c r="C37" s="1334" t="s">
        <v>192</v>
      </c>
      <c r="D37" s="1335"/>
      <c r="E37" s="1335"/>
      <c r="F37" s="1335"/>
      <c r="G37" s="1335"/>
      <c r="H37" s="1336"/>
    </row>
    <row r="38" spans="2:8" ht="16" thickBot="1">
      <c r="B38" s="1"/>
      <c r="C38" s="2">
        <v>2015</v>
      </c>
      <c r="D38" s="2">
        <v>2020</v>
      </c>
      <c r="E38" s="2">
        <v>2030</v>
      </c>
      <c r="F38" s="2">
        <v>2050</v>
      </c>
      <c r="G38" s="2" t="s">
        <v>2</v>
      </c>
      <c r="H38" s="2" t="s">
        <v>3</v>
      </c>
    </row>
    <row r="39" spans="2:8" ht="16" thickBot="1">
      <c r="B39" s="3" t="s">
        <v>4</v>
      </c>
      <c r="C39" s="4"/>
      <c r="D39" s="4"/>
      <c r="E39" s="4"/>
      <c r="F39" s="4"/>
      <c r="G39" s="4"/>
      <c r="H39" s="5"/>
    </row>
    <row r="40" spans="2:8" ht="16" thickBot="1">
      <c r="B40" s="1" t="s">
        <v>179</v>
      </c>
      <c r="C40" s="2" t="s">
        <v>193</v>
      </c>
      <c r="D40" s="2" t="s">
        <v>193</v>
      </c>
      <c r="E40" s="2" t="s">
        <v>193</v>
      </c>
      <c r="F40" s="2" t="s">
        <v>193</v>
      </c>
      <c r="G40" s="2" t="s">
        <v>6</v>
      </c>
      <c r="H40" s="2" t="s">
        <v>58</v>
      </c>
    </row>
    <row r="41" spans="2:8" ht="16" thickBot="1">
      <c r="B41" s="1" t="s">
        <v>180</v>
      </c>
      <c r="C41" s="2" t="s">
        <v>194</v>
      </c>
      <c r="D41" s="2" t="s">
        <v>194</v>
      </c>
      <c r="E41" s="2" t="s">
        <v>194</v>
      </c>
      <c r="F41" s="2" t="s">
        <v>194</v>
      </c>
      <c r="G41" s="2" t="s">
        <v>42</v>
      </c>
      <c r="H41" s="2" t="s">
        <v>58</v>
      </c>
    </row>
    <row r="42" spans="2:8" ht="16" thickBot="1">
      <c r="B42" s="1" t="s">
        <v>181</v>
      </c>
      <c r="C42" s="2" t="s">
        <v>195</v>
      </c>
      <c r="D42" s="2" t="s">
        <v>195</v>
      </c>
      <c r="E42" s="2" t="s">
        <v>195</v>
      </c>
      <c r="F42" s="2" t="s">
        <v>195</v>
      </c>
      <c r="G42" s="2" t="s">
        <v>6</v>
      </c>
      <c r="H42" s="2" t="s">
        <v>58</v>
      </c>
    </row>
    <row r="43" spans="2:8" ht="16" thickBot="1">
      <c r="B43" s="1" t="s">
        <v>182</v>
      </c>
      <c r="C43" s="2" t="s">
        <v>196</v>
      </c>
      <c r="D43" s="2" t="s">
        <v>196</v>
      </c>
      <c r="E43" s="2" t="s">
        <v>196</v>
      </c>
      <c r="F43" s="2" t="s">
        <v>196</v>
      </c>
      <c r="G43" s="2" t="s">
        <v>15</v>
      </c>
      <c r="H43" s="2" t="s">
        <v>58</v>
      </c>
    </row>
    <row r="44" spans="2:8" ht="16" thickBot="1">
      <c r="B44" s="1" t="s">
        <v>10</v>
      </c>
      <c r="C44" s="2" t="s">
        <v>126</v>
      </c>
      <c r="D44" s="2" t="s">
        <v>126</v>
      </c>
      <c r="E44" s="2" t="s">
        <v>126</v>
      </c>
      <c r="F44" s="2" t="s">
        <v>126</v>
      </c>
      <c r="G44" s="2"/>
      <c r="H44" s="2">
        <v>3</v>
      </c>
    </row>
    <row r="45" spans="2:8" ht="16" thickBot="1">
      <c r="B45" s="3" t="s">
        <v>20</v>
      </c>
      <c r="C45" s="4"/>
      <c r="D45" s="4"/>
      <c r="E45" s="4"/>
      <c r="F45" s="4"/>
      <c r="G45" s="4"/>
      <c r="H45" s="5"/>
    </row>
    <row r="46" spans="2:8" ht="16" thickBot="1">
      <c r="B46" s="1" t="s">
        <v>184</v>
      </c>
      <c r="C46" s="2" t="s">
        <v>197</v>
      </c>
      <c r="D46" s="2" t="s">
        <v>197</v>
      </c>
      <c r="E46" s="2" t="s">
        <v>197</v>
      </c>
      <c r="F46" s="2" t="s">
        <v>197</v>
      </c>
      <c r="G46" s="2" t="s">
        <v>52</v>
      </c>
      <c r="H46" s="2" t="s">
        <v>58</v>
      </c>
    </row>
    <row r="47" spans="2:8" ht="16" thickBot="1">
      <c r="B47" s="1" t="s">
        <v>186</v>
      </c>
      <c r="C47" s="2" t="s">
        <v>198</v>
      </c>
      <c r="D47" s="2" t="s">
        <v>198</v>
      </c>
      <c r="E47" s="2" t="s">
        <v>198</v>
      </c>
      <c r="F47" s="2" t="s">
        <v>198</v>
      </c>
      <c r="G47" s="2"/>
      <c r="H47" s="2">
        <v>4</v>
      </c>
    </row>
    <row r="51" spans="2:8" ht="16" thickBot="1"/>
    <row r="52" spans="2:8" ht="16" thickBot="1">
      <c r="B52" s="17" t="s">
        <v>0</v>
      </c>
      <c r="C52" s="1334" t="s">
        <v>199</v>
      </c>
      <c r="D52" s="1335"/>
      <c r="E52" s="1335"/>
      <c r="F52" s="1335"/>
      <c r="G52" s="1335"/>
      <c r="H52" s="1336"/>
    </row>
    <row r="53" spans="2:8" ht="16" thickBot="1">
      <c r="B53" s="1"/>
      <c r="C53" s="2">
        <v>2015</v>
      </c>
      <c r="D53" s="2">
        <v>2020</v>
      </c>
      <c r="E53" s="2">
        <v>2030</v>
      </c>
      <c r="F53" s="2">
        <v>2050</v>
      </c>
      <c r="G53" s="2" t="s">
        <v>2</v>
      </c>
      <c r="H53" s="2" t="s">
        <v>3</v>
      </c>
    </row>
    <row r="54" spans="2:8" ht="16" thickBot="1">
      <c r="B54" s="3" t="s">
        <v>4</v>
      </c>
      <c r="C54" s="4"/>
      <c r="D54" s="4"/>
      <c r="E54" s="4"/>
      <c r="F54" s="4"/>
      <c r="G54" s="4"/>
      <c r="H54" s="5"/>
    </row>
    <row r="55" spans="2:8" ht="16" thickBot="1">
      <c r="B55" s="1" t="s">
        <v>179</v>
      </c>
      <c r="C55" s="2" t="s">
        <v>193</v>
      </c>
      <c r="D55" s="2" t="s">
        <v>193</v>
      </c>
      <c r="E55" s="2" t="s">
        <v>193</v>
      </c>
      <c r="F55" s="2" t="s">
        <v>193</v>
      </c>
      <c r="G55" s="2" t="s">
        <v>6</v>
      </c>
      <c r="H55" s="2" t="s">
        <v>58</v>
      </c>
    </row>
    <row r="56" spans="2:8" ht="16" thickBot="1">
      <c r="B56" s="1" t="s">
        <v>180</v>
      </c>
      <c r="C56" s="2" t="s">
        <v>200</v>
      </c>
      <c r="D56" s="2" t="s">
        <v>200</v>
      </c>
      <c r="E56" s="2" t="s">
        <v>200</v>
      </c>
      <c r="F56" s="2" t="s">
        <v>200</v>
      </c>
      <c r="G56" s="2" t="s">
        <v>42</v>
      </c>
      <c r="H56" s="2" t="s">
        <v>58</v>
      </c>
    </row>
    <row r="57" spans="2:8" ht="16" thickBot="1">
      <c r="B57" s="1" t="s">
        <v>181</v>
      </c>
      <c r="C57" s="2" t="s">
        <v>201</v>
      </c>
      <c r="D57" s="2" t="s">
        <v>201</v>
      </c>
      <c r="E57" s="2" t="s">
        <v>201</v>
      </c>
      <c r="F57" s="2" t="s">
        <v>201</v>
      </c>
      <c r="G57" s="2" t="s">
        <v>6</v>
      </c>
      <c r="H57" s="2" t="s">
        <v>58</v>
      </c>
    </row>
    <row r="58" spans="2:8" ht="16" thickBot="1">
      <c r="B58" s="1" t="s">
        <v>182</v>
      </c>
      <c r="C58" s="12" t="s">
        <v>196</v>
      </c>
      <c r="D58" s="23" t="s">
        <v>196</v>
      </c>
      <c r="E58" s="23" t="s">
        <v>196</v>
      </c>
      <c r="F58" s="23" t="s">
        <v>196</v>
      </c>
      <c r="G58" s="2" t="s">
        <v>15</v>
      </c>
      <c r="H58" s="2">
        <v>1</v>
      </c>
    </row>
    <row r="59" spans="2:8" ht="16" thickBot="1">
      <c r="B59" s="1" t="s">
        <v>10</v>
      </c>
      <c r="C59" s="2" t="s">
        <v>126</v>
      </c>
      <c r="D59" s="2" t="s">
        <v>126</v>
      </c>
      <c r="E59" s="2" t="s">
        <v>126</v>
      </c>
      <c r="F59" s="2" t="s">
        <v>126</v>
      </c>
      <c r="G59" s="2"/>
      <c r="H59" s="2">
        <v>3</v>
      </c>
    </row>
    <row r="60" spans="2:8" ht="16" thickBot="1">
      <c r="B60" s="3" t="s">
        <v>20</v>
      </c>
      <c r="C60" s="4"/>
      <c r="D60" s="4"/>
      <c r="E60" s="4"/>
      <c r="F60" s="4"/>
      <c r="G60" s="4"/>
      <c r="H60" s="5"/>
    </row>
    <row r="61" spans="2:8" ht="16" thickBot="1">
      <c r="B61" s="1" t="s">
        <v>184</v>
      </c>
      <c r="C61" s="2" t="s">
        <v>202</v>
      </c>
      <c r="D61" s="2" t="s">
        <v>202</v>
      </c>
      <c r="E61" s="2" t="s">
        <v>202</v>
      </c>
      <c r="F61" s="2" t="s">
        <v>202</v>
      </c>
      <c r="G61" s="2" t="s">
        <v>52</v>
      </c>
      <c r="H61" s="2" t="s">
        <v>58</v>
      </c>
    </row>
    <row r="62" spans="2:8" ht="16" thickBot="1">
      <c r="B62" s="1" t="s">
        <v>186</v>
      </c>
      <c r="C62" s="2" t="s">
        <v>203</v>
      </c>
      <c r="D62" s="2" t="s">
        <v>203</v>
      </c>
      <c r="E62" s="2" t="s">
        <v>203</v>
      </c>
      <c r="F62" s="2" t="s">
        <v>203</v>
      </c>
      <c r="G62" s="2"/>
      <c r="H62" s="2">
        <v>4</v>
      </c>
    </row>
  </sheetData>
  <mergeCells count="4">
    <mergeCell ref="C7:H7"/>
    <mergeCell ref="C22:H22"/>
    <mergeCell ref="C37:H37"/>
    <mergeCell ref="C52:H52"/>
  </mergeCells>
  <pageMargins left="0.7" right="0.7" top="0.75" bottom="0.75" header="0.3" footer="0.3"/>
  <pageSetup paperSize="9"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theme="4"/>
  </sheetPr>
  <dimension ref="B1:H19"/>
  <sheetViews>
    <sheetView workbookViewId="0">
      <selection activeCell="C38" sqref="C38:H38"/>
    </sheetView>
  </sheetViews>
  <sheetFormatPr baseColWidth="10" defaultColWidth="8.83203125" defaultRowHeight="15"/>
  <cols>
    <col min="2" max="2" width="36.6640625" customWidth="1"/>
  </cols>
  <sheetData>
    <row r="1" spans="2:8" s="111" customFormat="1"/>
    <row r="4" spans="2:8">
      <c r="B4" s="8" t="s">
        <v>251</v>
      </c>
    </row>
    <row r="6" spans="2:8" ht="16" thickBot="1"/>
    <row r="7" spans="2:8" ht="16" thickBot="1">
      <c r="B7" s="17" t="s">
        <v>0</v>
      </c>
      <c r="C7" s="1334" t="s">
        <v>204</v>
      </c>
      <c r="D7" s="1335"/>
      <c r="E7" s="1335"/>
      <c r="F7" s="1335"/>
      <c r="G7" s="1335"/>
      <c r="H7" s="1336"/>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205</v>
      </c>
      <c r="C10" s="2" t="s">
        <v>206</v>
      </c>
      <c r="D10" s="2" t="s">
        <v>206</v>
      </c>
      <c r="E10" s="2" t="s">
        <v>206</v>
      </c>
      <c r="F10" s="2" t="s">
        <v>206</v>
      </c>
      <c r="G10" s="2"/>
      <c r="H10" s="2"/>
    </row>
    <row r="11" spans="2:8" ht="16" thickBot="1">
      <c r="B11" s="1" t="s">
        <v>207</v>
      </c>
      <c r="C11" s="2" t="s">
        <v>208</v>
      </c>
      <c r="D11" s="2" t="s">
        <v>208</v>
      </c>
      <c r="E11" s="2" t="s">
        <v>208</v>
      </c>
      <c r="F11" s="2" t="s">
        <v>208</v>
      </c>
      <c r="G11" s="2"/>
      <c r="H11" s="2"/>
    </row>
    <row r="12" spans="2:8" ht="16" thickBot="1">
      <c r="B12" s="1" t="s">
        <v>209</v>
      </c>
      <c r="C12" s="2" t="s">
        <v>210</v>
      </c>
      <c r="D12" s="2" t="s">
        <v>210</v>
      </c>
      <c r="E12" s="2" t="s">
        <v>210</v>
      </c>
      <c r="F12" s="2" t="s">
        <v>210</v>
      </c>
      <c r="G12" s="2"/>
      <c r="H12" s="2"/>
    </row>
    <row r="13" spans="2:8" ht="16" thickBot="1">
      <c r="B13" s="1" t="s">
        <v>211</v>
      </c>
      <c r="C13" s="2" t="s">
        <v>79</v>
      </c>
      <c r="D13" s="2" t="s">
        <v>79</v>
      </c>
      <c r="E13" s="2" t="s">
        <v>79</v>
      </c>
      <c r="F13" s="2" t="s">
        <v>79</v>
      </c>
      <c r="G13" s="2"/>
      <c r="H13" s="2"/>
    </row>
    <row r="14" spans="2:8" ht="28" thickBot="1">
      <c r="B14" s="1" t="s">
        <v>212</v>
      </c>
      <c r="C14" s="2">
        <v>7</v>
      </c>
      <c r="D14" s="2">
        <v>7</v>
      </c>
      <c r="E14" s="2">
        <v>6</v>
      </c>
      <c r="F14" s="2">
        <v>6</v>
      </c>
      <c r="G14" s="2" t="s">
        <v>42</v>
      </c>
      <c r="H14" s="2"/>
    </row>
    <row r="15" spans="2:8" ht="16" thickBot="1">
      <c r="B15" s="1" t="s">
        <v>10</v>
      </c>
      <c r="C15" s="2" t="s">
        <v>84</v>
      </c>
      <c r="D15" s="2" t="s">
        <v>84</v>
      </c>
      <c r="E15" s="2" t="s">
        <v>84</v>
      </c>
      <c r="F15" s="2" t="s">
        <v>84</v>
      </c>
      <c r="G15" s="2"/>
      <c r="H15" s="2"/>
    </row>
    <row r="16" spans="2:8" ht="16" thickBot="1">
      <c r="B16" s="1" t="s">
        <v>213</v>
      </c>
      <c r="C16" s="23" t="s">
        <v>234</v>
      </c>
      <c r="D16" s="23" t="s">
        <v>234</v>
      </c>
      <c r="E16" s="23" t="s">
        <v>234</v>
      </c>
      <c r="F16" s="23" t="s">
        <v>234</v>
      </c>
      <c r="G16" s="2"/>
      <c r="H16" s="2"/>
    </row>
    <row r="17" spans="2:8" ht="16" thickBot="1">
      <c r="B17" s="3" t="s">
        <v>20</v>
      </c>
      <c r="C17" s="4"/>
      <c r="D17" s="4"/>
      <c r="E17" s="4"/>
      <c r="F17" s="4"/>
      <c r="G17" s="4"/>
      <c r="H17" s="5"/>
    </row>
    <row r="18" spans="2:8" ht="16" thickBot="1">
      <c r="B18" s="1" t="s">
        <v>214</v>
      </c>
      <c r="C18" s="2" t="s">
        <v>215</v>
      </c>
      <c r="D18" s="2" t="s">
        <v>215</v>
      </c>
      <c r="E18" s="2" t="s">
        <v>215</v>
      </c>
      <c r="F18" s="2" t="s">
        <v>215</v>
      </c>
      <c r="G18" s="2" t="s">
        <v>6</v>
      </c>
      <c r="H18" s="2">
        <v>1</v>
      </c>
    </row>
    <row r="19" spans="2:8" ht="16" thickBot="1">
      <c r="B19" s="1" t="s">
        <v>216</v>
      </c>
      <c r="C19" s="2" t="s">
        <v>47</v>
      </c>
      <c r="D19" s="2" t="s">
        <v>47</v>
      </c>
      <c r="E19" s="2" t="s">
        <v>47</v>
      </c>
      <c r="F19" s="2" t="s">
        <v>47</v>
      </c>
      <c r="G19" s="2"/>
      <c r="H19" s="2"/>
    </row>
  </sheetData>
  <mergeCells count="1">
    <mergeCell ref="C7:H7"/>
  </mergeCells>
  <pageMargins left="0.7" right="0.7" top="0.75" bottom="0.75" header="0.3" footer="0.3"/>
  <pageSetup paperSize="9" orientation="portrait"/>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U61"/>
  <sheetViews>
    <sheetView workbookViewId="0">
      <pane xSplit="3" ySplit="3" topLeftCell="D4" activePane="bottomRight" state="frozen"/>
      <selection pane="topRight" activeCell="D1" sqref="D1"/>
      <selection pane="bottomLeft" activeCell="A4" sqref="A4"/>
      <selection pane="bottomRight" activeCell="M12" sqref="M12"/>
    </sheetView>
  </sheetViews>
  <sheetFormatPr baseColWidth="10" defaultColWidth="8.83203125" defaultRowHeight="15"/>
  <cols>
    <col min="1" max="1" width="9.1640625" style="764"/>
    <col min="2" max="2" width="38.33203125" customWidth="1"/>
    <col min="3" max="11" width="9.33203125" bestFit="1" customWidth="1"/>
    <col min="12" max="12" width="9.83203125" bestFit="1" customWidth="1"/>
    <col min="13" max="13" width="9.5" bestFit="1" customWidth="1"/>
    <col min="14" max="14" width="10.6640625" bestFit="1" customWidth="1"/>
    <col min="15" max="18" width="9.33203125" bestFit="1" customWidth="1"/>
  </cols>
  <sheetData>
    <row r="1" spans="2:21" ht="16" thickBot="1">
      <c r="B1" s="31"/>
      <c r="C1" s="31"/>
      <c r="D1" s="31" t="s">
        <v>617</v>
      </c>
      <c r="E1" s="31" t="s">
        <v>615</v>
      </c>
      <c r="F1" s="31" t="s">
        <v>616</v>
      </c>
      <c r="G1" s="31" t="s">
        <v>617</v>
      </c>
      <c r="H1" s="31" t="s">
        <v>615</v>
      </c>
      <c r="I1" s="31" t="s">
        <v>616</v>
      </c>
      <c r="J1" s="31" t="s">
        <v>617</v>
      </c>
      <c r="K1" s="31" t="s">
        <v>615</v>
      </c>
      <c r="L1" s="31" t="s">
        <v>616</v>
      </c>
      <c r="M1" s="31" t="s">
        <v>617</v>
      </c>
      <c r="N1" s="31" t="s">
        <v>615</v>
      </c>
      <c r="O1" s="31" t="s">
        <v>616</v>
      </c>
      <c r="P1" s="31" t="s">
        <v>617</v>
      </c>
      <c r="Q1" s="31" t="s">
        <v>615</v>
      </c>
      <c r="R1" s="31" t="s">
        <v>616</v>
      </c>
    </row>
    <row r="2" spans="2:21" ht="16" thickBot="1">
      <c r="B2" s="27" t="str">
        <f>'HOU_Deta Boil'!D3</f>
        <v>*TechDesc</v>
      </c>
      <c r="C2" s="27" t="str">
        <f>'HOU_Deta Boil'!H3</f>
        <v>YEAR</v>
      </c>
      <c r="D2" s="27" t="str">
        <f>'HOU_Deta Boil'!J3</f>
        <v>EFF</v>
      </c>
      <c r="E2" s="27"/>
      <c r="F2" s="27"/>
      <c r="G2" s="630" t="str">
        <f>'HOU_Deta Boil'!K3</f>
        <v>LIFE</v>
      </c>
      <c r="H2" s="631"/>
      <c r="I2" s="632"/>
      <c r="J2" s="630" t="str">
        <f>'HOU_Deta Boil'!L3</f>
        <v>INVCOST</v>
      </c>
      <c r="K2" s="631"/>
      <c r="L2" s="632"/>
      <c r="M2" s="630" t="str">
        <f>'HOU_Deta Boil'!M3</f>
        <v>FIXOM</v>
      </c>
      <c r="N2" s="631"/>
      <c r="O2" s="632"/>
      <c r="P2" s="630" t="str">
        <f>'HOU_Deta Boil'!N3</f>
        <v>VAROM</v>
      </c>
      <c r="Q2" s="631"/>
      <c r="R2" s="632"/>
      <c r="S2" s="562"/>
    </row>
    <row r="3" spans="2:21">
      <c r="C3" s="38"/>
      <c r="D3" s="639"/>
      <c r="E3" s="640"/>
      <c r="F3" s="641"/>
      <c r="G3" s="633"/>
      <c r="H3" s="38"/>
      <c r="I3" s="634"/>
      <c r="J3" s="633" t="str">
        <f>'HOU_Deta Boil'!L5</f>
        <v>Mkr/MW</v>
      </c>
      <c r="K3" s="38"/>
      <c r="L3" s="634"/>
      <c r="M3" s="633" t="str">
        <f>'HOU_Deta Boil'!M5</f>
        <v>Mkr/MW/year</v>
      </c>
      <c r="N3" s="38"/>
      <c r="O3" s="634"/>
      <c r="P3" s="633" t="str">
        <f>'HOU_Deta Boil'!N5</f>
        <v>Mkr/PJ</v>
      </c>
      <c r="Q3" s="38"/>
      <c r="R3" s="634"/>
      <c r="S3" s="113"/>
    </row>
    <row r="4" spans="2:21">
      <c r="B4" s="736" t="s">
        <v>643</v>
      </c>
      <c r="C4" s="626">
        <f>'HOU_Deta Boil'!H6</f>
        <v>2012</v>
      </c>
      <c r="D4" s="635">
        <f>'HOU_Deta Boil'!J6</f>
        <v>0.94</v>
      </c>
      <c r="E4" s="627">
        <v>1.02</v>
      </c>
      <c r="F4" s="636">
        <f>1-E4/D4</f>
        <v>-8.5106382978723527E-2</v>
      </c>
      <c r="G4" s="635">
        <f>'HOU_Deta Boil'!K6</f>
        <v>20</v>
      </c>
      <c r="H4" s="627">
        <v>22</v>
      </c>
      <c r="I4" s="636">
        <f>1-H4/G4</f>
        <v>-0.10000000000000009</v>
      </c>
      <c r="J4" s="638">
        <f>'HOU_Deta Boil'!L6</f>
        <v>2.3839999999999999</v>
      </c>
      <c r="K4" s="629">
        <v>2.9800000000000004</v>
      </c>
      <c r="L4" s="636">
        <f>1-K4/J4</f>
        <v>-0.25000000000000022</v>
      </c>
      <c r="M4" s="637">
        <f>'HOU_Deta Boil'!M6</f>
        <v>0.15604025000000002</v>
      </c>
      <c r="N4" s="628">
        <v>0.100575</v>
      </c>
      <c r="O4" s="636">
        <f>1-N4/M4</f>
        <v>0.355454762473144</v>
      </c>
      <c r="P4" s="635">
        <f>'HOU_Deta Boil'!N6</f>
        <v>0</v>
      </c>
      <c r="Q4" s="627">
        <v>14.9</v>
      </c>
      <c r="R4" s="636" t="e">
        <f>1-Q4/P4</f>
        <v>#DIV/0!</v>
      </c>
      <c r="S4" s="623"/>
      <c r="U4">
        <f>Q4/3.6</f>
        <v>4.1388888888888893</v>
      </c>
    </row>
    <row r="5" spans="2:21">
      <c r="B5" s="736"/>
      <c r="C5" s="626">
        <f>'HOU_Deta Boil'!H7</f>
        <v>2020</v>
      </c>
      <c r="D5" s="635">
        <f>'HOU_Deta Boil'!J7</f>
        <v>0.94</v>
      </c>
      <c r="E5" s="627">
        <v>1.02</v>
      </c>
      <c r="F5" s="636">
        <f>1-E5/D5</f>
        <v>-8.5106382978723527E-2</v>
      </c>
      <c r="G5" s="635">
        <f t="shared" ref="G5:H7" si="0">G4</f>
        <v>20</v>
      </c>
      <c r="H5" s="627">
        <f t="shared" si="0"/>
        <v>22</v>
      </c>
      <c r="I5" s="636">
        <f>1-H5/G5</f>
        <v>-0.10000000000000009</v>
      </c>
      <c r="J5" s="638">
        <f>'HOU_Deta Boil'!L7</f>
        <v>2.3249930274425501</v>
      </c>
      <c r="K5" s="629">
        <v>2.9800000000000004</v>
      </c>
      <c r="L5" s="636">
        <f>1-K5/J5</f>
        <v>-0.28172427393382171</v>
      </c>
      <c r="M5" s="637">
        <f>'HOU_Deta Boil'!M7</f>
        <v>0.15250876421515935</v>
      </c>
      <c r="N5" s="628">
        <v>0.100575</v>
      </c>
      <c r="O5" s="636">
        <f>1-N5/M5</f>
        <v>0.34052970321030995</v>
      </c>
      <c r="P5" s="635">
        <f>'HOU_Deta Boil'!N7</f>
        <v>0</v>
      </c>
      <c r="Q5" s="627">
        <v>14.9</v>
      </c>
      <c r="R5" s="636" t="e">
        <f>1-Q5/P5</f>
        <v>#DIV/0!</v>
      </c>
      <c r="S5" s="148"/>
    </row>
    <row r="6" spans="2:21">
      <c r="B6" s="736"/>
      <c r="C6" s="626">
        <f>'HOU_Deta Boil'!H8</f>
        <v>2030</v>
      </c>
      <c r="D6" s="635">
        <f>'HOU_Deta Boil'!J8</f>
        <v>0.95</v>
      </c>
      <c r="E6" s="627">
        <v>1.02</v>
      </c>
      <c r="F6" s="636">
        <f>1-E6/D6</f>
        <v>-7.3684210526315796E-2</v>
      </c>
      <c r="G6" s="635">
        <f t="shared" si="0"/>
        <v>20</v>
      </c>
      <c r="H6" s="627">
        <f t="shared" si="0"/>
        <v>22</v>
      </c>
      <c r="I6" s="636">
        <f>1-H6/G6</f>
        <v>-0.10000000000000009</v>
      </c>
      <c r="J6" s="638">
        <f>'HOU_Deta Boil'!L8</f>
        <v>2.2113244216628942</v>
      </c>
      <c r="K6" s="629">
        <v>2.9800000000000004</v>
      </c>
      <c r="L6" s="636">
        <f>1-K6/J6</f>
        <v>-0.34760868681541979</v>
      </c>
      <c r="M6" s="637">
        <f>'HOU_Deta Boil'!M8</f>
        <v>0.14798962635393087</v>
      </c>
      <c r="N6" s="628">
        <v>0.100575</v>
      </c>
      <c r="O6" s="636">
        <f>1-N6/M6</f>
        <v>0.32039155393591179</v>
      </c>
      <c r="P6" s="635">
        <f>'HOU_Deta Boil'!N8</f>
        <v>0</v>
      </c>
      <c r="Q6" s="627">
        <v>14.9</v>
      </c>
      <c r="R6" s="636" t="e">
        <f>1-Q6/P6</f>
        <v>#DIV/0!</v>
      </c>
      <c r="S6" s="150"/>
    </row>
    <row r="7" spans="2:21">
      <c r="B7" s="736"/>
      <c r="C7" s="626">
        <f>'HOU_Deta Boil'!H9</f>
        <v>2050</v>
      </c>
      <c r="D7" s="635">
        <f>'HOU_Deta Boil'!J9</f>
        <v>0.96</v>
      </c>
      <c r="E7" s="627">
        <v>1.02</v>
      </c>
      <c r="F7" s="636">
        <f>1-E7/D7</f>
        <v>-6.25E-2</v>
      </c>
      <c r="G7" s="635">
        <f t="shared" si="0"/>
        <v>20</v>
      </c>
      <c r="H7" s="627">
        <f t="shared" si="0"/>
        <v>22</v>
      </c>
      <c r="I7" s="636">
        <f>1-H7/G7</f>
        <v>-0.10000000000000009</v>
      </c>
      <c r="J7" s="638">
        <f>'HOU_Deta Boil'!L9</f>
        <v>2.0003872471234621</v>
      </c>
      <c r="K7" s="629">
        <v>2.9800000000000004</v>
      </c>
      <c r="L7" s="636">
        <f>1-K7/J7</f>
        <v>-0.48971155674243194</v>
      </c>
      <c r="M7" s="637">
        <f>'HOU_Deta Boil'!M9</f>
        <v>0.1346123529452164</v>
      </c>
      <c r="N7" s="628">
        <v>0.100575</v>
      </c>
      <c r="O7" s="636">
        <f>1-N7/M7</f>
        <v>0.25285460212606703</v>
      </c>
      <c r="P7" s="635">
        <f>'HOU_Deta Boil'!N9</f>
        <v>0</v>
      </c>
      <c r="Q7" s="627">
        <v>14.9</v>
      </c>
      <c r="R7" s="636" t="e">
        <f>1-Q7/P7</f>
        <v>#DIV/0!</v>
      </c>
      <c r="S7" s="623"/>
    </row>
    <row r="8" spans="2:21">
      <c r="B8" s="736" t="s">
        <v>644</v>
      </c>
      <c r="C8" s="643">
        <f>'HOU_Deta Boil'!H10</f>
        <v>2012</v>
      </c>
      <c r="D8" s="644">
        <f>'HOU_Deta Boil'!J10</f>
        <v>0.89</v>
      </c>
      <c r="E8" s="645">
        <v>1</v>
      </c>
      <c r="F8" s="646">
        <f t="shared" ref="F8:F42" si="1">1-E8/D8</f>
        <v>-0.12359550561797761</v>
      </c>
      <c r="G8" s="644">
        <f>'HOU_Deta Boil'!K10</f>
        <v>20</v>
      </c>
      <c r="H8" s="645">
        <v>20</v>
      </c>
      <c r="I8" s="646">
        <f t="shared" ref="I8:I42" si="2">1-H8/G8</f>
        <v>0</v>
      </c>
      <c r="J8" s="647">
        <f>'HOU_Deta Boil'!L10</f>
        <v>2.9800000000000004</v>
      </c>
      <c r="K8" s="648">
        <v>2.2349999999999999</v>
      </c>
      <c r="L8" s="646">
        <f t="shared" ref="L8:L42" si="3">1-K8/J8</f>
        <v>0.25000000000000011</v>
      </c>
      <c r="M8" s="649">
        <f>'HOU_Deta Boil'!M10</f>
        <v>0.12389349999999999</v>
      </c>
      <c r="N8" s="650">
        <v>9.1431818181818184E-2</v>
      </c>
      <c r="O8" s="646">
        <f t="shared" ref="O8:O42" si="4">1-N8/M8</f>
        <v>0.26201279177827574</v>
      </c>
      <c r="P8" s="644">
        <f>'HOU_Deta Boil'!N10</f>
        <v>0</v>
      </c>
      <c r="Q8" s="645">
        <v>0</v>
      </c>
      <c r="R8" s="651" t="e">
        <f t="shared" ref="R8:R42" si="5">1-Q8/P8</f>
        <v>#DIV/0!</v>
      </c>
    </row>
    <row r="9" spans="2:21">
      <c r="B9" s="736"/>
      <c r="C9" s="626">
        <f>'HOU_Deta Boil'!H11</f>
        <v>2020</v>
      </c>
      <c r="D9" s="635">
        <f>'HOU_Deta Boil'!J11</f>
        <v>0.89</v>
      </c>
      <c r="E9" s="627">
        <v>1</v>
      </c>
      <c r="F9" s="636">
        <f t="shared" si="1"/>
        <v>-0.12359550561797761</v>
      </c>
      <c r="G9" s="635">
        <f t="shared" ref="G9:H11" si="6">G8</f>
        <v>20</v>
      </c>
      <c r="H9" s="627">
        <f t="shared" si="6"/>
        <v>20</v>
      </c>
      <c r="I9" s="636">
        <f t="shared" si="2"/>
        <v>0</v>
      </c>
      <c r="J9" s="638">
        <f>'HOU_Deta Boil'!L11</f>
        <v>2.9062412843031877</v>
      </c>
      <c r="K9" s="629">
        <v>2.2349999999999999</v>
      </c>
      <c r="L9" s="636">
        <f t="shared" si="3"/>
        <v>0.23096543563970717</v>
      </c>
      <c r="M9" s="637">
        <f>'HOU_Deta Boil'!M11</f>
        <v>0.12104745137212751</v>
      </c>
      <c r="N9" s="628">
        <v>9.1431818181818184E-2</v>
      </c>
      <c r="O9" s="636">
        <f t="shared" si="4"/>
        <v>0.24466135267287958</v>
      </c>
      <c r="P9" s="635">
        <f>'HOU_Deta Boil'!N11</f>
        <v>0</v>
      </c>
      <c r="Q9" s="627">
        <v>0</v>
      </c>
      <c r="R9" s="653" t="e">
        <f t="shared" si="5"/>
        <v>#DIV/0!</v>
      </c>
    </row>
    <row r="10" spans="2:21">
      <c r="B10" s="736"/>
      <c r="C10" s="626">
        <f>'HOU_Deta Boil'!H12</f>
        <v>2030</v>
      </c>
      <c r="D10" s="635">
        <f>'HOU_Deta Boil'!J12</f>
        <v>0.9</v>
      </c>
      <c r="E10" s="627">
        <v>1</v>
      </c>
      <c r="F10" s="636">
        <f t="shared" si="1"/>
        <v>-0.11111111111111116</v>
      </c>
      <c r="G10" s="635">
        <f t="shared" si="6"/>
        <v>20</v>
      </c>
      <c r="H10" s="627">
        <f t="shared" si="6"/>
        <v>20</v>
      </c>
      <c r="I10" s="636">
        <f t="shared" si="2"/>
        <v>0</v>
      </c>
      <c r="J10" s="638">
        <f>'HOU_Deta Boil'!L12</f>
        <v>2.7641555270786178</v>
      </c>
      <c r="K10" s="629">
        <v>2.2349999999999999</v>
      </c>
      <c r="L10" s="636">
        <f t="shared" si="3"/>
        <v>0.19143478791074831</v>
      </c>
      <c r="M10" s="637">
        <f>'HOU_Deta Boil'!M12</f>
        <v>0.11708745441647805</v>
      </c>
      <c r="N10" s="628">
        <v>9.1431818181818184E-2</v>
      </c>
      <c r="O10" s="636">
        <f t="shared" si="4"/>
        <v>0.21911515936970682</v>
      </c>
      <c r="P10" s="635">
        <f>'HOU_Deta Boil'!N12</f>
        <v>0</v>
      </c>
      <c r="Q10" s="627">
        <v>0</v>
      </c>
      <c r="R10" s="653" t="e">
        <f t="shared" si="5"/>
        <v>#DIV/0!</v>
      </c>
      <c r="S10" s="562"/>
      <c r="T10" s="562"/>
    </row>
    <row r="11" spans="2:21">
      <c r="B11" s="781"/>
      <c r="C11" s="656">
        <f>'HOU_Deta Boil'!H13</f>
        <v>2050</v>
      </c>
      <c r="D11" s="657">
        <f>'HOU_Deta Boil'!J13</f>
        <v>0.91999999999999993</v>
      </c>
      <c r="E11" s="658">
        <v>1</v>
      </c>
      <c r="F11" s="659">
        <f t="shared" si="1"/>
        <v>-8.6956521739130599E-2</v>
      </c>
      <c r="G11" s="657">
        <f t="shared" si="6"/>
        <v>20</v>
      </c>
      <c r="H11" s="658">
        <f t="shared" si="6"/>
        <v>20</v>
      </c>
      <c r="I11" s="659">
        <f t="shared" si="2"/>
        <v>0</v>
      </c>
      <c r="J11" s="660">
        <f>'HOU_Deta Boil'!L13</f>
        <v>2.5004840589043273</v>
      </c>
      <c r="K11" s="661">
        <v>2.2349999999999999</v>
      </c>
      <c r="L11" s="659">
        <f t="shared" si="3"/>
        <v>0.10617306595454101</v>
      </c>
      <c r="M11" s="662">
        <f>'HOU_Deta Boil'!M13</f>
        <v>0.10641146235617312</v>
      </c>
      <c r="N11" s="663">
        <v>9.1431818181818184E-2</v>
      </c>
      <c r="O11" s="659">
        <f t="shared" si="4"/>
        <v>0.14077096435547609</v>
      </c>
      <c r="P11" s="657">
        <f>'HOU_Deta Boil'!N13</f>
        <v>0</v>
      </c>
      <c r="Q11" s="658">
        <v>0</v>
      </c>
      <c r="R11" s="664" t="e">
        <f t="shared" si="5"/>
        <v>#DIV/0!</v>
      </c>
    </row>
    <row r="12" spans="2:21">
      <c r="B12" s="736" t="s">
        <v>645</v>
      </c>
      <c r="C12" s="643">
        <f>'HOU_Deta Boil'!H14</f>
        <v>2012</v>
      </c>
      <c r="D12" s="644">
        <f>'HOU_Deta Boil'!J14</f>
        <v>0.77</v>
      </c>
      <c r="E12" s="645">
        <v>0.8</v>
      </c>
      <c r="F12" s="646">
        <f t="shared" si="1"/>
        <v>-3.8961038961039085E-2</v>
      </c>
      <c r="G12" s="644">
        <f>'HOU_Deta Boil'!K14</f>
        <v>20</v>
      </c>
      <c r="H12" s="645">
        <v>20</v>
      </c>
      <c r="I12" s="646">
        <f t="shared" si="2"/>
        <v>0</v>
      </c>
      <c r="J12" s="647">
        <f>'HOU_Deta Boil'!L14</f>
        <v>4.3458333333333341</v>
      </c>
      <c r="K12" s="648">
        <v>3.600833333333334</v>
      </c>
      <c r="L12" s="646">
        <f t="shared" si="3"/>
        <v>0.17142857142857137</v>
      </c>
      <c r="M12" s="649">
        <f>'HOU_Deta Boil'!M14</f>
        <v>0.12389349999999999</v>
      </c>
      <c r="N12" s="650">
        <v>1.49E-2</v>
      </c>
      <c r="O12" s="646">
        <f t="shared" si="4"/>
        <v>0.87973541791942278</v>
      </c>
      <c r="P12" s="644">
        <f>'HOU_Deta Boil'!N14</f>
        <v>0</v>
      </c>
      <c r="Q12" s="645">
        <v>0</v>
      </c>
      <c r="R12" s="651" t="e">
        <f t="shared" si="5"/>
        <v>#DIV/0!</v>
      </c>
    </row>
    <row r="13" spans="2:21">
      <c r="B13" s="736"/>
      <c r="C13" s="626">
        <f>'HOU_Deta Boil'!H15</f>
        <v>2020</v>
      </c>
      <c r="D13" s="635">
        <f>'HOU_Deta Boil'!J15</f>
        <v>0.84</v>
      </c>
      <c r="E13" s="627">
        <v>0.87</v>
      </c>
      <c r="F13" s="636">
        <f t="shared" si="1"/>
        <v>-3.5714285714285809E-2</v>
      </c>
      <c r="G13" s="635">
        <f t="shared" ref="G13:H15" si="7">G12</f>
        <v>20</v>
      </c>
      <c r="H13" s="627">
        <f t="shared" si="7"/>
        <v>20</v>
      </c>
      <c r="I13" s="636">
        <f t="shared" si="2"/>
        <v>0</v>
      </c>
      <c r="J13" s="638">
        <f>'HOU_Deta Boil'!L15</f>
        <v>5.0859222475305792</v>
      </c>
      <c r="K13" s="629">
        <v>3.9112500000000003</v>
      </c>
      <c r="L13" s="636">
        <f t="shared" si="3"/>
        <v>0.23096543563970717</v>
      </c>
      <c r="M13" s="637">
        <f>'HOU_Deta Boil'!M15</f>
        <v>0.12104745137212751</v>
      </c>
      <c r="N13" s="628">
        <v>1.49E-2</v>
      </c>
      <c r="O13" s="636">
        <f t="shared" si="4"/>
        <v>0.8769077759911359</v>
      </c>
      <c r="P13" s="635">
        <f>'HOU_Deta Boil'!N15</f>
        <v>0</v>
      </c>
      <c r="Q13" s="627">
        <v>0</v>
      </c>
      <c r="R13" s="653" t="e">
        <f t="shared" si="5"/>
        <v>#DIV/0!</v>
      </c>
    </row>
    <row r="14" spans="2:21">
      <c r="B14" s="736"/>
      <c r="C14" s="626">
        <f>'HOU_Deta Boil'!H16</f>
        <v>2030</v>
      </c>
      <c r="D14" s="635">
        <f>'HOU_Deta Boil'!J16</f>
        <v>0.88</v>
      </c>
      <c r="E14" s="627">
        <v>0.91</v>
      </c>
      <c r="F14" s="636">
        <f t="shared" si="1"/>
        <v>-3.4090909090909172E-2</v>
      </c>
      <c r="G14" s="635">
        <f t="shared" si="7"/>
        <v>20</v>
      </c>
      <c r="H14" s="627">
        <f t="shared" si="7"/>
        <v>20</v>
      </c>
      <c r="I14" s="636">
        <f t="shared" si="2"/>
        <v>0</v>
      </c>
      <c r="J14" s="638">
        <f>'HOU_Deta Boil'!L16</f>
        <v>4.8372721723875811</v>
      </c>
      <c r="K14" s="629">
        <v>4.8425000000000002</v>
      </c>
      <c r="L14" s="636">
        <f t="shared" si="3"/>
        <v>-1.0807387771689658E-3</v>
      </c>
      <c r="M14" s="637">
        <f>'HOU_Deta Boil'!M16</f>
        <v>0.11708745441647805</v>
      </c>
      <c r="N14" s="628">
        <v>2.2350000000000002E-2</v>
      </c>
      <c r="O14" s="636">
        <f t="shared" si="4"/>
        <v>0.80911703895703946</v>
      </c>
      <c r="P14" s="635">
        <f>'HOU_Deta Boil'!N16</f>
        <v>0</v>
      </c>
      <c r="Q14" s="627">
        <v>0</v>
      </c>
      <c r="R14" s="653" t="e">
        <f t="shared" si="5"/>
        <v>#DIV/0!</v>
      </c>
    </row>
    <row r="15" spans="2:21">
      <c r="B15" s="781"/>
      <c r="C15" s="656">
        <f>'HOU_Deta Boil'!H17</f>
        <v>2050</v>
      </c>
      <c r="D15" s="657">
        <f>'HOU_Deta Boil'!J17</f>
        <v>0.91999999999999993</v>
      </c>
      <c r="E15" s="658">
        <v>0.95</v>
      </c>
      <c r="F15" s="659">
        <f t="shared" si="1"/>
        <v>-3.2608695652173836E-2</v>
      </c>
      <c r="G15" s="657">
        <f t="shared" si="7"/>
        <v>20</v>
      </c>
      <c r="H15" s="658">
        <f t="shared" si="7"/>
        <v>20</v>
      </c>
      <c r="I15" s="659">
        <f t="shared" si="2"/>
        <v>0</v>
      </c>
      <c r="J15" s="660">
        <f>'HOU_Deta Boil'!L17</f>
        <v>4.375847103082573</v>
      </c>
      <c r="K15" s="661">
        <v>4.8425000000000002</v>
      </c>
      <c r="L15" s="659">
        <f t="shared" si="3"/>
        <v>-0.10664287072294942</v>
      </c>
      <c r="M15" s="662">
        <f>'HOU_Deta Boil'!M17</f>
        <v>0.10641146235617312</v>
      </c>
      <c r="N15" s="663">
        <v>2.2350000000000002E-2</v>
      </c>
      <c r="O15" s="659">
        <f t="shared" si="4"/>
        <v>0.78996623573133862</v>
      </c>
      <c r="P15" s="657">
        <f>'HOU_Deta Boil'!N17</f>
        <v>0</v>
      </c>
      <c r="Q15" s="658">
        <v>0</v>
      </c>
      <c r="R15" s="664" t="e">
        <f t="shared" si="5"/>
        <v>#DIV/0!</v>
      </c>
    </row>
    <row r="16" spans="2:21">
      <c r="B16" s="736" t="s">
        <v>646</v>
      </c>
      <c r="C16" s="643">
        <f>'HOU_Deta Boil'!H22</f>
        <v>2012</v>
      </c>
      <c r="D16" s="644">
        <f>'HOU_Deta Boil'!J22</f>
        <v>0.97</v>
      </c>
      <c r="E16" s="645">
        <v>1</v>
      </c>
      <c r="F16" s="646">
        <f t="shared" si="1"/>
        <v>-3.0927835051546504E-2</v>
      </c>
      <c r="G16" s="644">
        <f>'HOU_Deta Boil'!K22</f>
        <v>30</v>
      </c>
      <c r="H16" s="645">
        <v>30</v>
      </c>
      <c r="I16" s="646">
        <f t="shared" si="2"/>
        <v>0</v>
      </c>
      <c r="J16" s="647">
        <f>'HOU_Deta Boil'!L22</f>
        <v>2.2349999999999999</v>
      </c>
      <c r="K16" s="648">
        <v>5.96</v>
      </c>
      <c r="L16" s="646">
        <f t="shared" si="3"/>
        <v>-1.666666666666667</v>
      </c>
      <c r="M16" s="649">
        <f>'HOU_Deta Boil'!M22</f>
        <v>3.7249999999999998E-2</v>
      </c>
      <c r="N16" s="650">
        <v>1.49E-2</v>
      </c>
      <c r="O16" s="646">
        <f t="shared" si="4"/>
        <v>0.6</v>
      </c>
      <c r="P16" s="644">
        <f>'HOU_Deta Boil'!N22</f>
        <v>0</v>
      </c>
      <c r="Q16" s="645">
        <v>0</v>
      </c>
      <c r="R16" s="651" t="e">
        <f t="shared" si="5"/>
        <v>#DIV/0!</v>
      </c>
    </row>
    <row r="17" spans="2:18">
      <c r="B17" s="736"/>
      <c r="C17" s="626">
        <f>'HOU_Deta Boil'!H23</f>
        <v>2020</v>
      </c>
      <c r="D17" s="635">
        <f>'HOU_Deta Boil'!J23</f>
        <v>0.97</v>
      </c>
      <c r="E17" s="627">
        <v>1</v>
      </c>
      <c r="F17" s="636">
        <f t="shared" si="1"/>
        <v>-3.0927835051546504E-2</v>
      </c>
      <c r="G17" s="635">
        <f t="shared" ref="G17:H19" si="8">G16</f>
        <v>30</v>
      </c>
      <c r="H17" s="627">
        <f t="shared" si="8"/>
        <v>30</v>
      </c>
      <c r="I17" s="636">
        <f t="shared" si="2"/>
        <v>0</v>
      </c>
      <c r="J17" s="638">
        <f>'HOU_Deta Boil'!L23</f>
        <v>2.179680963227391</v>
      </c>
      <c r="K17" s="629">
        <v>5.96</v>
      </c>
      <c r="L17" s="636">
        <f t="shared" si="3"/>
        <v>-1.7343451177254856</v>
      </c>
      <c r="M17" s="637">
        <f>'HOU_Deta Boil'!M23</f>
        <v>3.6328016053789852E-2</v>
      </c>
      <c r="N17" s="628">
        <v>7.4499999999999997E-2</v>
      </c>
      <c r="O17" s="636">
        <f t="shared" si="4"/>
        <v>-1.0507588382941138</v>
      </c>
      <c r="P17" s="635">
        <f>'HOU_Deta Boil'!N23</f>
        <v>0</v>
      </c>
      <c r="Q17" s="627">
        <v>0</v>
      </c>
      <c r="R17" s="653" t="e">
        <f t="shared" si="5"/>
        <v>#DIV/0!</v>
      </c>
    </row>
    <row r="18" spans="2:18">
      <c r="B18" s="736"/>
      <c r="C18" s="626">
        <f>'HOU_Deta Boil'!H24</f>
        <v>2030</v>
      </c>
      <c r="D18" s="635">
        <f>'HOU_Deta Boil'!J24</f>
        <v>0.97</v>
      </c>
      <c r="E18" s="627">
        <v>1</v>
      </c>
      <c r="F18" s="636">
        <f t="shared" si="1"/>
        <v>-3.0927835051546504E-2</v>
      </c>
      <c r="G18" s="635">
        <f t="shared" si="8"/>
        <v>30</v>
      </c>
      <c r="H18" s="627">
        <f t="shared" si="8"/>
        <v>30</v>
      </c>
      <c r="I18" s="636">
        <f t="shared" si="2"/>
        <v>0</v>
      </c>
      <c r="J18" s="638">
        <f>'HOU_Deta Boil'!L24</f>
        <v>2.0731166453089633</v>
      </c>
      <c r="K18" s="629">
        <v>5.96</v>
      </c>
      <c r="L18" s="636">
        <f t="shared" si="3"/>
        <v>-1.874898531872895</v>
      </c>
      <c r="M18" s="637">
        <f>'HOU_Deta Boil'!M24</f>
        <v>3.4551944088482722E-2</v>
      </c>
      <c r="N18" s="628">
        <v>7.4499999999999997E-2</v>
      </c>
      <c r="O18" s="636">
        <f t="shared" si="4"/>
        <v>-1.156173898904671</v>
      </c>
      <c r="P18" s="635">
        <f>'HOU_Deta Boil'!N24</f>
        <v>0</v>
      </c>
      <c r="Q18" s="627">
        <v>0</v>
      </c>
      <c r="R18" s="653" t="e">
        <f t="shared" si="5"/>
        <v>#DIV/0!</v>
      </c>
    </row>
    <row r="19" spans="2:18">
      <c r="B19" s="781"/>
      <c r="C19" s="656">
        <f>'HOU_Deta Boil'!H25</f>
        <v>2050</v>
      </c>
      <c r="D19" s="657">
        <f>'HOU_Deta Boil'!J25</f>
        <v>0.97</v>
      </c>
      <c r="E19" s="658">
        <v>1</v>
      </c>
      <c r="F19" s="659">
        <f t="shared" si="1"/>
        <v>-3.0927835051546504E-2</v>
      </c>
      <c r="G19" s="657">
        <f t="shared" si="8"/>
        <v>30</v>
      </c>
      <c r="H19" s="658">
        <f t="shared" si="8"/>
        <v>30</v>
      </c>
      <c r="I19" s="659">
        <f t="shared" si="2"/>
        <v>0</v>
      </c>
      <c r="J19" s="660">
        <f>'HOU_Deta Boil'!L25</f>
        <v>1.8753630441782456</v>
      </c>
      <c r="K19" s="661">
        <v>5.96</v>
      </c>
      <c r="L19" s="659">
        <f t="shared" si="3"/>
        <v>-2.1780513210505208</v>
      </c>
      <c r="M19" s="662">
        <f>'HOU_Deta Boil'!M25</f>
        <v>3.1256050736304095E-2</v>
      </c>
      <c r="N19" s="663">
        <v>7.4499999999999997E-2</v>
      </c>
      <c r="O19" s="659">
        <f t="shared" si="4"/>
        <v>-1.3835384907878905</v>
      </c>
      <c r="P19" s="657">
        <f>'HOU_Deta Boil'!N25</f>
        <v>0</v>
      </c>
      <c r="Q19" s="658">
        <v>0</v>
      </c>
      <c r="R19" s="664" t="e">
        <f t="shared" si="5"/>
        <v>#DIV/0!</v>
      </c>
    </row>
    <row r="20" spans="2:18">
      <c r="B20" s="782" t="s">
        <v>647</v>
      </c>
      <c r="C20" s="626">
        <f>'HOU_Deta Boil'!H26</f>
        <v>2012</v>
      </c>
      <c r="D20" s="637">
        <f>'HOU_Deta Boil'!AA26</f>
        <v>5</v>
      </c>
      <c r="E20" s="628">
        <v>3</v>
      </c>
      <c r="F20" s="636">
        <f t="shared" si="1"/>
        <v>0.4</v>
      </c>
      <c r="G20" s="668">
        <f>'HOU_Deta Boil'!K26</f>
        <v>12</v>
      </c>
      <c r="H20" s="665">
        <v>20</v>
      </c>
      <c r="I20" s="636">
        <f t="shared" si="2"/>
        <v>-0.66666666666666674</v>
      </c>
      <c r="J20" s="638">
        <f>'HOU_Deta Boil'!L26</f>
        <v>3.3525</v>
      </c>
      <c r="K20" s="629">
        <v>4.0230000000000006</v>
      </c>
      <c r="L20" s="636">
        <f t="shared" si="3"/>
        <v>-0.20000000000000018</v>
      </c>
      <c r="M20" s="637">
        <f>'HOU_Deta Boil'!M26</f>
        <v>0.31662500000000005</v>
      </c>
      <c r="N20" s="628">
        <v>6.2580000000000011E-2</v>
      </c>
      <c r="O20" s="636">
        <f t="shared" si="4"/>
        <v>0.8023529411764706</v>
      </c>
      <c r="P20" s="638">
        <f>'HOU_Deta Boil'!N26</f>
        <v>0</v>
      </c>
      <c r="Q20" s="628">
        <v>0</v>
      </c>
      <c r="R20" s="636" t="e">
        <f t="shared" si="5"/>
        <v>#DIV/0!</v>
      </c>
    </row>
    <row r="21" spans="2:18">
      <c r="B21" s="736" t="s">
        <v>650</v>
      </c>
      <c r="C21" s="626">
        <f>'HOU_Deta Boil'!H27</f>
        <v>2020</v>
      </c>
      <c r="D21" s="637">
        <f>'HOU_Deta Boil'!AA27</f>
        <v>5.0999999999999996</v>
      </c>
      <c r="E21" s="628">
        <v>3.2</v>
      </c>
      <c r="F21" s="636">
        <f t="shared" si="1"/>
        <v>0.37254901960784303</v>
      </c>
      <c r="G21" s="668">
        <f t="shared" ref="G21:H23" si="9">G20</f>
        <v>12</v>
      </c>
      <c r="H21" s="665">
        <f t="shared" si="9"/>
        <v>20</v>
      </c>
      <c r="I21" s="636">
        <f t="shared" si="2"/>
        <v>-0.66666666666666674</v>
      </c>
      <c r="J21" s="638">
        <f>'HOU_Deta Boil'!L27</f>
        <v>3.1662499999999998</v>
      </c>
      <c r="K21" s="629">
        <v>3.8740000000000001</v>
      </c>
      <c r="L21" s="636">
        <f t="shared" si="3"/>
        <v>-0.22352941176470598</v>
      </c>
      <c r="M21" s="637">
        <f>'HOU_Deta Boil'!M27</f>
        <v>0.30110722454958749</v>
      </c>
      <c r="N21" s="628">
        <v>6.2580000000000011E-2</v>
      </c>
      <c r="O21" s="636">
        <f t="shared" si="4"/>
        <v>0.79216705911453777</v>
      </c>
      <c r="P21" s="638">
        <f>'HOU_Deta Boil'!N27</f>
        <v>0</v>
      </c>
      <c r="Q21" s="628">
        <v>0</v>
      </c>
      <c r="R21" s="636" t="e">
        <f t="shared" si="5"/>
        <v>#DIV/0!</v>
      </c>
    </row>
    <row r="22" spans="2:18">
      <c r="B22" s="736"/>
      <c r="C22" s="626">
        <f>'HOU_Deta Boil'!H28</f>
        <v>2030</v>
      </c>
      <c r="D22" s="637">
        <f>'HOU_Deta Boil'!AA28</f>
        <v>4.0999999999999996</v>
      </c>
      <c r="E22" s="628">
        <v>3.7</v>
      </c>
      <c r="F22" s="636">
        <f t="shared" si="1"/>
        <v>9.7560975609755962E-2</v>
      </c>
      <c r="G22" s="668">
        <f t="shared" si="9"/>
        <v>12</v>
      </c>
      <c r="H22" s="665">
        <f t="shared" si="9"/>
        <v>20</v>
      </c>
      <c r="I22" s="636">
        <f t="shared" si="2"/>
        <v>-0.66666666666666674</v>
      </c>
      <c r="J22" s="638">
        <f>'HOU_Deta Boil'!L28</f>
        <v>2.3591666666666664</v>
      </c>
      <c r="K22" s="629">
        <v>3.5760000000000001</v>
      </c>
      <c r="L22" s="636">
        <f t="shared" si="3"/>
        <v>-0.5157894736842108</v>
      </c>
      <c r="M22" s="637">
        <f>'HOU_Deta Boil'!M28</f>
        <v>0.18154398435886526</v>
      </c>
      <c r="N22" s="628">
        <v>6.2580000000000011E-2</v>
      </c>
      <c r="O22" s="636">
        <f t="shared" si="4"/>
        <v>0.65529014788892359</v>
      </c>
      <c r="P22" s="638">
        <f>'HOU_Deta Boil'!N28</f>
        <v>0</v>
      </c>
      <c r="Q22" s="628">
        <v>0</v>
      </c>
      <c r="R22" s="636" t="e">
        <f t="shared" si="5"/>
        <v>#DIV/0!</v>
      </c>
    </row>
    <row r="23" spans="2:18">
      <c r="B23" s="736"/>
      <c r="C23" s="626">
        <f>'HOU_Deta Boil'!H29</f>
        <v>2050</v>
      </c>
      <c r="D23" s="637">
        <f>'HOU_Deta Boil'!AA29</f>
        <v>4.2</v>
      </c>
      <c r="E23" s="628">
        <v>4</v>
      </c>
      <c r="F23" s="636">
        <f t="shared" si="1"/>
        <v>4.7619047619047672E-2</v>
      </c>
      <c r="G23" s="668">
        <f t="shared" si="9"/>
        <v>12</v>
      </c>
      <c r="H23" s="665">
        <f t="shared" si="9"/>
        <v>20</v>
      </c>
      <c r="I23" s="636">
        <f t="shared" si="2"/>
        <v>-0.66666666666666674</v>
      </c>
      <c r="J23" s="638">
        <f>'HOU_Deta Boil'!L29</f>
        <v>2.2349999999999999</v>
      </c>
      <c r="K23" s="629">
        <v>3.4269999999999996</v>
      </c>
      <c r="L23" s="636">
        <f t="shared" si="3"/>
        <v>-0.53333333333333321</v>
      </c>
      <c r="M23" s="637">
        <f>'HOU_Deta Boil'!M29</f>
        <v>0.16422659088184083</v>
      </c>
      <c r="N23" s="628">
        <v>6.2580000000000011E-2</v>
      </c>
      <c r="O23" s="636">
        <f t="shared" si="4"/>
        <v>0.61894112479613239</v>
      </c>
      <c r="P23" s="638">
        <f>'HOU_Deta Boil'!N29</f>
        <v>0</v>
      </c>
      <c r="Q23" s="628">
        <v>0</v>
      </c>
      <c r="R23" s="636" t="e">
        <f t="shared" si="5"/>
        <v>#DIV/0!</v>
      </c>
    </row>
    <row r="24" spans="2:18">
      <c r="B24" s="736" t="s">
        <v>648</v>
      </c>
      <c r="C24" s="643">
        <f>'HOU_Deta Boil'!H30</f>
        <v>2012</v>
      </c>
      <c r="D24" s="649">
        <f>'HOU_Deta Boil'!AA30</f>
        <v>3.6749999999999998</v>
      </c>
      <c r="E24" s="650">
        <v>3</v>
      </c>
      <c r="F24" s="646">
        <f t="shared" si="1"/>
        <v>0.18367346938775508</v>
      </c>
      <c r="G24" s="669">
        <f>'HOU_Deta Boil'!K30</f>
        <v>18</v>
      </c>
      <c r="H24" s="666">
        <v>20</v>
      </c>
      <c r="I24" s="646">
        <f t="shared" si="2"/>
        <v>-0.11111111111111116</v>
      </c>
      <c r="J24" s="647">
        <f>'HOU_Deta Boil'!L30</f>
        <v>7.45</v>
      </c>
      <c r="K24" s="648">
        <v>9.6850000000000005</v>
      </c>
      <c r="L24" s="646">
        <f t="shared" si="3"/>
        <v>-0.30000000000000004</v>
      </c>
      <c r="M24" s="649">
        <f>'HOU_Deta Boil'!M30</f>
        <v>0.21679500000000002</v>
      </c>
      <c r="N24" s="650">
        <v>0.100575</v>
      </c>
      <c r="O24" s="646">
        <f t="shared" si="4"/>
        <v>0.53608247422680422</v>
      </c>
      <c r="P24" s="647">
        <f>'HOU_Deta Boil'!N30</f>
        <v>0</v>
      </c>
      <c r="Q24" s="628">
        <v>0</v>
      </c>
      <c r="R24" s="651" t="e">
        <f t="shared" si="5"/>
        <v>#DIV/0!</v>
      </c>
    </row>
    <row r="25" spans="2:18">
      <c r="B25" s="736"/>
      <c r="C25" s="626">
        <f>'HOU_Deta Boil'!H31</f>
        <v>2020</v>
      </c>
      <c r="D25" s="637">
        <f>'HOU_Deta Boil'!AA31</f>
        <v>3.875</v>
      </c>
      <c r="E25" s="628">
        <v>3.3</v>
      </c>
      <c r="F25" s="636">
        <f t="shared" si="1"/>
        <v>0.14838709677419359</v>
      </c>
      <c r="G25" s="668">
        <f t="shared" ref="G25:H27" si="10">G24</f>
        <v>18</v>
      </c>
      <c r="H25" s="665">
        <f t="shared" si="10"/>
        <v>20</v>
      </c>
      <c r="I25" s="636">
        <f t="shared" si="2"/>
        <v>-0.11111111111111116</v>
      </c>
      <c r="J25" s="638">
        <f>'HOU_Deta Boil'!L31</f>
        <v>7.0029999999999992</v>
      </c>
      <c r="K25" s="629">
        <v>8.94</v>
      </c>
      <c r="L25" s="636">
        <f t="shared" si="3"/>
        <v>-0.27659574468085113</v>
      </c>
      <c r="M25" s="637">
        <f>'HOU_Deta Boil'!M31</f>
        <v>0.20713396234501746</v>
      </c>
      <c r="N25" s="628">
        <v>0.100575</v>
      </c>
      <c r="O25" s="636">
        <f t="shared" si="4"/>
        <v>0.51444466729953764</v>
      </c>
      <c r="P25" s="638">
        <f>'HOU_Deta Boil'!N31</f>
        <v>0</v>
      </c>
      <c r="Q25" s="628">
        <v>0</v>
      </c>
      <c r="R25" s="653" t="e">
        <f t="shared" si="5"/>
        <v>#DIV/0!</v>
      </c>
    </row>
    <row r="26" spans="2:18">
      <c r="B26" s="736"/>
      <c r="C26" s="626">
        <f>'HOU_Deta Boil'!H32</f>
        <v>2030</v>
      </c>
      <c r="D26" s="637">
        <f>'HOU_Deta Boil'!AA32</f>
        <v>4.05</v>
      </c>
      <c r="E26" s="628">
        <v>3.7</v>
      </c>
      <c r="F26" s="636">
        <f t="shared" si="1"/>
        <v>8.6419753086419693E-2</v>
      </c>
      <c r="G26" s="668">
        <f t="shared" si="10"/>
        <v>18</v>
      </c>
      <c r="H26" s="665">
        <f t="shared" si="10"/>
        <v>20</v>
      </c>
      <c r="I26" s="636">
        <f t="shared" si="2"/>
        <v>-0.11111111111111116</v>
      </c>
      <c r="J26" s="638">
        <f>'HOU_Deta Boil'!L32</f>
        <v>6.3324999999999996</v>
      </c>
      <c r="K26" s="629">
        <v>8.94</v>
      </c>
      <c r="L26" s="636">
        <f t="shared" si="3"/>
        <v>-0.41176470588235303</v>
      </c>
      <c r="M26" s="637">
        <f>'HOU_Deta Boil'!M32</f>
        <v>0.19006189014921157</v>
      </c>
      <c r="N26" s="628">
        <v>0.100575</v>
      </c>
      <c r="O26" s="636">
        <f t="shared" si="4"/>
        <v>0.47083026523075322</v>
      </c>
      <c r="P26" s="638">
        <f>'HOU_Deta Boil'!N32</f>
        <v>0</v>
      </c>
      <c r="Q26" s="628">
        <v>0</v>
      </c>
      <c r="R26" s="653" t="e">
        <f t="shared" si="5"/>
        <v>#DIV/0!</v>
      </c>
    </row>
    <row r="27" spans="2:18">
      <c r="B27" s="781"/>
      <c r="C27" s="656">
        <f>'HOU_Deta Boil'!H33</f>
        <v>2050</v>
      </c>
      <c r="D27" s="662">
        <f>'HOU_Deta Boil'!AA33</f>
        <v>0</v>
      </c>
      <c r="E27" s="663">
        <v>4</v>
      </c>
      <c r="F27" s="659" t="e">
        <f t="shared" si="1"/>
        <v>#DIV/0!</v>
      </c>
      <c r="G27" s="670">
        <f t="shared" si="10"/>
        <v>18</v>
      </c>
      <c r="H27" s="667">
        <f t="shared" si="10"/>
        <v>20</v>
      </c>
      <c r="I27" s="659">
        <f t="shared" si="2"/>
        <v>-0.11111111111111116</v>
      </c>
      <c r="J27" s="660">
        <f>'HOU_Deta Boil'!L33</f>
        <v>5.6619999999999999</v>
      </c>
      <c r="K27" s="661">
        <v>8.1950000000000003</v>
      </c>
      <c r="L27" s="659">
        <f t="shared" si="3"/>
        <v>-0.44736842105263164</v>
      </c>
      <c r="M27" s="662">
        <f>'HOU_Deta Boil'!M33</f>
        <v>0.17785762965173399</v>
      </c>
      <c r="N27" s="663">
        <v>0.100575</v>
      </c>
      <c r="O27" s="659">
        <f t="shared" si="4"/>
        <v>0.43451962000765676</v>
      </c>
      <c r="P27" s="660">
        <f>'HOU_Deta Boil'!N33</f>
        <v>0</v>
      </c>
      <c r="Q27" s="628">
        <v>0</v>
      </c>
      <c r="R27" s="664" t="e">
        <f t="shared" si="5"/>
        <v>#DIV/0!</v>
      </c>
    </row>
    <row r="28" spans="2:18">
      <c r="B28" s="736" t="s">
        <v>649</v>
      </c>
      <c r="C28" s="643">
        <f>'HOU_Deta Boil'!H34</f>
        <v>2012</v>
      </c>
      <c r="D28" s="649">
        <f>'HOU_Deta Boil'!AA34</f>
        <v>3.6</v>
      </c>
      <c r="E28" s="650">
        <v>3.3</v>
      </c>
      <c r="F28" s="646">
        <f t="shared" si="1"/>
        <v>8.333333333333337E-2</v>
      </c>
      <c r="G28" s="669">
        <f>'HOU_Deta Boil'!K34</f>
        <v>20</v>
      </c>
      <c r="H28" s="666">
        <v>30</v>
      </c>
      <c r="I28" s="646">
        <f t="shared" si="2"/>
        <v>-0.5</v>
      </c>
      <c r="J28" s="647">
        <f>'HOU_Deta Boil'!L34</f>
        <v>11.920000000000002</v>
      </c>
      <c r="K28" s="648">
        <v>12.664999999999999</v>
      </c>
      <c r="L28" s="646">
        <f t="shared" si="3"/>
        <v>-6.2499999999999778E-2</v>
      </c>
      <c r="M28" s="649">
        <f>'HOU_Deta Boil'!M34</f>
        <v>0.21679500000000002</v>
      </c>
      <c r="N28" s="650">
        <v>0.100575</v>
      </c>
      <c r="O28" s="646">
        <f t="shared" si="4"/>
        <v>0.53608247422680422</v>
      </c>
      <c r="P28" s="647">
        <f>'HOU_Deta Boil'!N34</f>
        <v>0</v>
      </c>
      <c r="Q28" s="628">
        <v>0</v>
      </c>
      <c r="R28" s="651" t="e">
        <f t="shared" si="5"/>
        <v>#DIV/0!</v>
      </c>
    </row>
    <row r="29" spans="2:18">
      <c r="B29" s="736"/>
      <c r="C29" s="626">
        <f>'HOU_Deta Boil'!H35</f>
        <v>2020</v>
      </c>
      <c r="D29" s="637">
        <f>'HOU_Deta Boil'!AA35</f>
        <v>3.7</v>
      </c>
      <c r="E29" s="628">
        <v>3.5</v>
      </c>
      <c r="F29" s="636">
        <f t="shared" si="1"/>
        <v>5.4054054054054057E-2</v>
      </c>
      <c r="G29" s="668">
        <f t="shared" ref="G29:H31" si="11">G28</f>
        <v>20</v>
      </c>
      <c r="H29" s="665">
        <f t="shared" si="11"/>
        <v>30</v>
      </c>
      <c r="I29" s="636">
        <f t="shared" si="2"/>
        <v>-0.5</v>
      </c>
      <c r="J29" s="638">
        <f>'HOU_Deta Boil'!L35</f>
        <v>11.175000000000001</v>
      </c>
      <c r="K29" s="629">
        <v>11.920000000000002</v>
      </c>
      <c r="L29" s="636">
        <f t="shared" si="3"/>
        <v>-6.6666666666666652E-2</v>
      </c>
      <c r="M29" s="637">
        <f>'HOU_Deta Boil'!M35</f>
        <v>0.20713396234501746</v>
      </c>
      <c r="N29" s="628">
        <v>0.100575</v>
      </c>
      <c r="O29" s="636">
        <f t="shared" si="4"/>
        <v>0.51444466729953764</v>
      </c>
      <c r="P29" s="638">
        <f>'HOU_Deta Boil'!N35</f>
        <v>0</v>
      </c>
      <c r="Q29" s="628">
        <v>0</v>
      </c>
      <c r="R29" s="653" t="e">
        <f t="shared" si="5"/>
        <v>#DIV/0!</v>
      </c>
    </row>
    <row r="30" spans="2:18">
      <c r="B30" s="736"/>
      <c r="C30" s="626">
        <f>'HOU_Deta Boil'!H36</f>
        <v>2030</v>
      </c>
      <c r="D30" s="637">
        <f>'HOU_Deta Boil'!AA36</f>
        <v>3.8</v>
      </c>
      <c r="E30" s="628">
        <v>4</v>
      </c>
      <c r="F30" s="636">
        <f t="shared" si="1"/>
        <v>-5.2631578947368363E-2</v>
      </c>
      <c r="G30" s="668">
        <f t="shared" si="11"/>
        <v>20</v>
      </c>
      <c r="H30" s="665">
        <f t="shared" si="11"/>
        <v>30</v>
      </c>
      <c r="I30" s="636">
        <f t="shared" si="2"/>
        <v>-0.5</v>
      </c>
      <c r="J30" s="638">
        <f>'HOU_Deta Boil'!L36</f>
        <v>10.43</v>
      </c>
      <c r="K30" s="629">
        <v>11.175000000000001</v>
      </c>
      <c r="L30" s="636">
        <f t="shared" si="3"/>
        <v>-7.1428571428571619E-2</v>
      </c>
      <c r="M30" s="637">
        <f>'HOU_Deta Boil'!M36</f>
        <v>0.19006189014921157</v>
      </c>
      <c r="N30" s="628">
        <v>0.100575</v>
      </c>
      <c r="O30" s="636">
        <f t="shared" si="4"/>
        <v>0.47083026523075322</v>
      </c>
      <c r="P30" s="638">
        <f>'HOU_Deta Boil'!N36</f>
        <v>0</v>
      </c>
      <c r="Q30" s="628">
        <v>0</v>
      </c>
      <c r="R30" s="653" t="e">
        <f t="shared" si="5"/>
        <v>#DIV/0!</v>
      </c>
    </row>
    <row r="31" spans="2:18">
      <c r="B31" s="781"/>
      <c r="C31" s="656">
        <f>'HOU_Deta Boil'!H37</f>
        <v>2050</v>
      </c>
      <c r="D31" s="662">
        <f>'HOU_Deta Boil'!AA37</f>
        <v>3.95</v>
      </c>
      <c r="E31" s="663">
        <v>4.5</v>
      </c>
      <c r="F31" s="659">
        <f t="shared" si="1"/>
        <v>-0.13924050632911378</v>
      </c>
      <c r="G31" s="670">
        <f t="shared" si="11"/>
        <v>20</v>
      </c>
      <c r="H31" s="667">
        <f t="shared" si="11"/>
        <v>30</v>
      </c>
      <c r="I31" s="659">
        <f t="shared" si="2"/>
        <v>-0.5</v>
      </c>
      <c r="J31" s="660">
        <f>'HOU_Deta Boil'!L37</f>
        <v>8.94</v>
      </c>
      <c r="K31" s="661">
        <v>10.43</v>
      </c>
      <c r="L31" s="659">
        <f t="shared" si="3"/>
        <v>-0.16666666666666674</v>
      </c>
      <c r="M31" s="662">
        <f>'HOU_Deta Boil'!M37</f>
        <v>0.17785762965173399</v>
      </c>
      <c r="N31" s="663">
        <v>0.100575</v>
      </c>
      <c r="O31" s="659">
        <f t="shared" si="4"/>
        <v>0.43451962000765676</v>
      </c>
      <c r="P31" s="660">
        <f>'HOU_Deta Boil'!N37</f>
        <v>0</v>
      </c>
      <c r="Q31" s="628">
        <v>0</v>
      </c>
      <c r="R31" s="664" t="e">
        <f t="shared" si="5"/>
        <v>#DIV/0!</v>
      </c>
    </row>
    <row r="32" spans="2:18">
      <c r="B32" s="736" t="s">
        <v>651</v>
      </c>
      <c r="C32" s="643">
        <f>'HOU_Deta Boil'!H50</f>
        <v>2012</v>
      </c>
      <c r="D32" s="644">
        <f>'HOU_Deta Boil'!J50</f>
        <v>0.97</v>
      </c>
      <c r="E32" s="645">
        <v>1</v>
      </c>
      <c r="F32" s="646">
        <f t="shared" si="1"/>
        <v>-3.0927835051546504E-2</v>
      </c>
      <c r="G32" s="644">
        <f>'HOU_Deta Boil'!K50</f>
        <v>20</v>
      </c>
      <c r="H32" s="645">
        <v>20</v>
      </c>
      <c r="I32" s="646">
        <f t="shared" si="2"/>
        <v>0</v>
      </c>
      <c r="J32" s="647">
        <f>'HOU_Deta Boil'!L50</f>
        <v>7.1428571428571415</v>
      </c>
      <c r="K32" s="648">
        <v>9.5785714285714292</v>
      </c>
      <c r="L32" s="646">
        <f t="shared" si="3"/>
        <v>-0.34100000000000041</v>
      </c>
      <c r="M32" s="649">
        <f>'HOU_Deta Boil'!M50</f>
        <v>0.10642857142857143</v>
      </c>
      <c r="N32" s="650">
        <v>7.0952380952380947E-2</v>
      </c>
      <c r="O32" s="646">
        <f t="shared" si="4"/>
        <v>0.33333333333333337</v>
      </c>
      <c r="P32" s="647">
        <f>'HOU_Deta Boil'!N50</f>
        <v>8.3233536957951024</v>
      </c>
      <c r="Q32" s="628">
        <v>12.629064570812144</v>
      </c>
      <c r="R32" s="651">
        <f t="shared" si="5"/>
        <v>-0.51730480673820889</v>
      </c>
    </row>
    <row r="33" spans="2:18">
      <c r="B33" s="736"/>
      <c r="C33" s="626">
        <f>'HOU_Deta Boil'!H51</f>
        <v>2020</v>
      </c>
      <c r="D33" s="635">
        <f>'HOU_Deta Boil'!J51</f>
        <v>0.97</v>
      </c>
      <c r="E33" s="627">
        <v>1</v>
      </c>
      <c r="F33" s="636">
        <f t="shared" si="1"/>
        <v>-3.0927835051546504E-2</v>
      </c>
      <c r="G33" s="635">
        <f>'HOU_Deta Boil'!K51</f>
        <v>25</v>
      </c>
      <c r="H33" s="627">
        <v>25</v>
      </c>
      <c r="I33" s="636">
        <f t="shared" si="2"/>
        <v>0</v>
      </c>
      <c r="J33" s="638">
        <f>'HOU_Deta Boil'!L51</f>
        <v>6.4285714285714279</v>
      </c>
      <c r="K33" s="629">
        <v>9.0464285714285708</v>
      </c>
      <c r="L33" s="636">
        <f t="shared" si="3"/>
        <v>-0.40722222222222237</v>
      </c>
      <c r="M33" s="637">
        <f>'HOU_Deta Boil'!M51</f>
        <v>0.1037943315822567</v>
      </c>
      <c r="N33" s="628">
        <v>7.0952380952380947E-2</v>
      </c>
      <c r="O33" s="636">
        <f t="shared" si="4"/>
        <v>0.3164137205686286</v>
      </c>
      <c r="P33" s="638">
        <f>'HOU_Deta Boil'!N51</f>
        <v>8.6189851432178486</v>
      </c>
      <c r="Q33" s="628">
        <v>12.629064570812144</v>
      </c>
      <c r="R33" s="653">
        <f t="shared" si="5"/>
        <v>-0.46526120662242554</v>
      </c>
    </row>
    <row r="34" spans="2:18">
      <c r="B34" s="736"/>
      <c r="C34" s="626">
        <f>'HOU_Deta Boil'!H52</f>
        <v>2030</v>
      </c>
      <c r="D34" s="635">
        <f>'HOU_Deta Boil'!J52</f>
        <v>0.97</v>
      </c>
      <c r="E34" s="627">
        <v>1</v>
      </c>
      <c r="F34" s="636">
        <f t="shared" si="1"/>
        <v>-3.0927835051546504E-2</v>
      </c>
      <c r="G34" s="635">
        <f>'HOU_Deta Boil'!K52</f>
        <v>30</v>
      </c>
      <c r="H34" s="627">
        <v>30</v>
      </c>
      <c r="I34" s="636">
        <f t="shared" si="2"/>
        <v>0</v>
      </c>
      <c r="J34" s="638">
        <f>'HOU_Deta Boil'!L52</f>
        <v>5.9523809523809526</v>
      </c>
      <c r="K34" s="629">
        <v>8.1595238095238081</v>
      </c>
      <c r="L34" s="636">
        <f t="shared" si="3"/>
        <v>-0.3707999999999998</v>
      </c>
      <c r="M34" s="637">
        <f>'HOU_Deta Boil'!M52</f>
        <v>9.8719840252807778E-2</v>
      </c>
      <c r="N34" s="628">
        <v>7.0952380952380947E-2</v>
      </c>
      <c r="O34" s="636">
        <f t="shared" si="4"/>
        <v>0.28127536703177625</v>
      </c>
      <c r="P34" s="638">
        <f>'HOU_Deta Boil'!N52</f>
        <v>11.742630769541696</v>
      </c>
      <c r="Q34" s="628">
        <v>12.629064570812144</v>
      </c>
      <c r="R34" s="653">
        <f t="shared" si="5"/>
        <v>-7.5488518600933974E-2</v>
      </c>
    </row>
    <row r="35" spans="2:18">
      <c r="B35" s="781"/>
      <c r="C35" s="656">
        <f>'HOU_Deta Boil'!H53</f>
        <v>2050</v>
      </c>
      <c r="D35" s="657">
        <f>'HOU_Deta Boil'!J53</f>
        <v>0.97</v>
      </c>
      <c r="E35" s="658">
        <v>1</v>
      </c>
      <c r="F35" s="659">
        <f t="shared" si="1"/>
        <v>-3.0927835051546504E-2</v>
      </c>
      <c r="G35" s="657">
        <f>'HOU_Deta Boil'!K53</f>
        <v>30</v>
      </c>
      <c r="H35" s="658">
        <v>30</v>
      </c>
      <c r="I35" s="659">
        <f t="shared" si="2"/>
        <v>0</v>
      </c>
      <c r="J35" s="660">
        <f>'HOU_Deta Boil'!L53</f>
        <v>4.7619047619047619</v>
      </c>
      <c r="K35" s="661">
        <v>6.5630952380952374</v>
      </c>
      <c r="L35" s="659">
        <f t="shared" si="3"/>
        <v>-0.37824999999999998</v>
      </c>
      <c r="M35" s="662">
        <f>'HOU_Deta Boil'!M53</f>
        <v>8.9303002103725979E-2</v>
      </c>
      <c r="N35" s="663">
        <v>7.0952380952380947E-2</v>
      </c>
      <c r="O35" s="659">
        <f t="shared" si="4"/>
        <v>0.2054871697373698</v>
      </c>
      <c r="P35" s="660">
        <f>'HOU_Deta Boil'!N53</f>
        <v>17.103168588720809</v>
      </c>
      <c r="Q35" s="628">
        <v>12.629064570812144</v>
      </c>
      <c r="R35" s="664">
        <f t="shared" si="5"/>
        <v>0.26159503689037167</v>
      </c>
    </row>
    <row r="36" spans="2:18">
      <c r="B36" s="736" t="s">
        <v>652</v>
      </c>
      <c r="C36" s="643">
        <f>'HOU_Deta Boil'!H54</f>
        <v>2012</v>
      </c>
      <c r="D36" s="644">
        <f>'HOU_Deta Boil'!AA54</f>
        <v>1.35</v>
      </c>
      <c r="E36" s="645">
        <v>1.35</v>
      </c>
      <c r="F36" s="646">
        <f t="shared" si="1"/>
        <v>0</v>
      </c>
      <c r="G36" s="644">
        <f>'HOU_Deta Boil'!K54</f>
        <v>20</v>
      </c>
      <c r="H36" s="645">
        <v>22</v>
      </c>
      <c r="I36" s="646">
        <f t="shared" si="2"/>
        <v>-0.10000000000000009</v>
      </c>
      <c r="J36" s="647">
        <f>'HOU_Deta Boil'!L54</f>
        <v>9.6850000000000005</v>
      </c>
      <c r="K36" s="648">
        <v>5.3805555555555564</v>
      </c>
      <c r="L36" s="646">
        <f t="shared" si="3"/>
        <v>0.44444444444444442</v>
      </c>
      <c r="M36" s="649">
        <f>'HOU_Deta Boil'!M54</f>
        <v>0.17507500000000001</v>
      </c>
      <c r="N36" s="650">
        <v>9.9333333333333329E-2</v>
      </c>
      <c r="O36" s="646">
        <f t="shared" si="4"/>
        <v>0.43262411347517737</v>
      </c>
      <c r="P36" s="647">
        <f>'HOU_Deta Boil'!N54</f>
        <v>0</v>
      </c>
      <c r="Q36" s="628">
        <v>14.9</v>
      </c>
      <c r="R36" s="651" t="e">
        <f t="shared" si="5"/>
        <v>#DIV/0!</v>
      </c>
    </row>
    <row r="37" spans="2:18">
      <c r="B37" s="736"/>
      <c r="C37" s="626">
        <f>'HOU_Deta Boil'!H55</f>
        <v>2020</v>
      </c>
      <c r="D37" s="635">
        <f>'HOU_Deta Boil'!AA55</f>
        <v>1.45</v>
      </c>
      <c r="E37" s="627">
        <v>1.45</v>
      </c>
      <c r="F37" s="636">
        <f t="shared" si="1"/>
        <v>0</v>
      </c>
      <c r="G37" s="635">
        <f t="shared" ref="G37:H39" si="12">G36</f>
        <v>20</v>
      </c>
      <c r="H37" s="627">
        <f t="shared" si="12"/>
        <v>22</v>
      </c>
      <c r="I37" s="636">
        <f t="shared" si="2"/>
        <v>-0.10000000000000009</v>
      </c>
      <c r="J37" s="638">
        <f>'HOU_Deta Boil'!L55</f>
        <v>9.1038999999999994</v>
      </c>
      <c r="K37" s="629">
        <v>2.98</v>
      </c>
      <c r="L37" s="636">
        <f t="shared" si="3"/>
        <v>0.67266775777414067</v>
      </c>
      <c r="M37" s="637">
        <f>'HOU_Deta Boil'!M55</f>
        <v>0.17507500000000001</v>
      </c>
      <c r="N37" s="628">
        <v>5.96E-2</v>
      </c>
      <c r="O37" s="636">
        <f t="shared" si="4"/>
        <v>0.65957446808510634</v>
      </c>
      <c r="P37" s="638">
        <f>'HOU_Deta Boil'!N55</f>
        <v>0</v>
      </c>
      <c r="Q37" s="628">
        <v>14.9</v>
      </c>
      <c r="R37" s="653" t="e">
        <f t="shared" si="5"/>
        <v>#DIV/0!</v>
      </c>
    </row>
    <row r="38" spans="2:18">
      <c r="B38" s="736"/>
      <c r="C38" s="626">
        <f>'HOU_Deta Boil'!H56</f>
        <v>2030</v>
      </c>
      <c r="D38" s="635">
        <f>'HOU_Deta Boil'!AA56</f>
        <v>1.7</v>
      </c>
      <c r="E38" s="627">
        <v>1.7</v>
      </c>
      <c r="F38" s="636">
        <f t="shared" si="1"/>
        <v>0</v>
      </c>
      <c r="G38" s="635">
        <f t="shared" si="12"/>
        <v>20</v>
      </c>
      <c r="H38" s="627">
        <f t="shared" si="12"/>
        <v>22</v>
      </c>
      <c r="I38" s="636">
        <f t="shared" si="2"/>
        <v>-0.10000000000000009</v>
      </c>
      <c r="J38" s="638">
        <f>'HOU_Deta Boil'!L56</f>
        <v>8.1935099999999998</v>
      </c>
      <c r="K38" s="629">
        <v>2.4833333333333334</v>
      </c>
      <c r="L38" s="636">
        <f t="shared" si="3"/>
        <v>0.69691459053161187</v>
      </c>
      <c r="M38" s="637">
        <f>'HOU_Deta Boil'!M56</f>
        <v>0.17507500000000001</v>
      </c>
      <c r="N38" s="628">
        <v>5.96E-2</v>
      </c>
      <c r="O38" s="636">
        <f t="shared" si="4"/>
        <v>0.65957446808510634</v>
      </c>
      <c r="P38" s="638">
        <f>'HOU_Deta Boil'!N56</f>
        <v>0</v>
      </c>
      <c r="Q38" s="628">
        <v>14.9</v>
      </c>
      <c r="R38" s="653" t="e">
        <f t="shared" si="5"/>
        <v>#DIV/0!</v>
      </c>
    </row>
    <row r="39" spans="2:18">
      <c r="B39" s="781"/>
      <c r="C39" s="656">
        <f>'HOU_Deta Boil'!H57</f>
        <v>2050</v>
      </c>
      <c r="D39" s="657">
        <f>'HOU_Deta Boil'!AA57</f>
        <v>1.7</v>
      </c>
      <c r="E39" s="658">
        <v>1.7</v>
      </c>
      <c r="F39" s="659">
        <f t="shared" si="1"/>
        <v>0</v>
      </c>
      <c r="G39" s="657">
        <f t="shared" si="12"/>
        <v>20</v>
      </c>
      <c r="H39" s="658">
        <f t="shared" si="12"/>
        <v>22</v>
      </c>
      <c r="I39" s="659">
        <f t="shared" si="2"/>
        <v>-0.10000000000000009</v>
      </c>
      <c r="J39" s="660">
        <f>'HOU_Deta Boil'!L57</f>
        <v>7.3741589999999997</v>
      </c>
      <c r="K39" s="661">
        <v>2.4833333333333334</v>
      </c>
      <c r="L39" s="659">
        <f t="shared" si="3"/>
        <v>0.66323843392401316</v>
      </c>
      <c r="M39" s="662">
        <f>'HOU_Deta Boil'!M57</f>
        <v>0.17507500000000001</v>
      </c>
      <c r="N39" s="663">
        <v>5.96E-2</v>
      </c>
      <c r="O39" s="659">
        <f t="shared" si="4"/>
        <v>0.65957446808510634</v>
      </c>
      <c r="P39" s="660">
        <f>'HOU_Deta Boil'!N57</f>
        <v>0</v>
      </c>
      <c r="Q39" s="628">
        <v>14.9</v>
      </c>
      <c r="R39" s="664" t="e">
        <f t="shared" si="5"/>
        <v>#DIV/0!</v>
      </c>
    </row>
    <row r="40" spans="2:18">
      <c r="B40" s="736" t="s">
        <v>653</v>
      </c>
      <c r="C40" s="643">
        <f>'HOU_Deta Boil'!H58</f>
        <v>2012</v>
      </c>
      <c r="D40" s="644">
        <f>'HOU_Deta Boil'!AA58</f>
        <v>1.35</v>
      </c>
      <c r="E40" s="645">
        <v>1.35</v>
      </c>
      <c r="F40" s="646">
        <f t="shared" si="1"/>
        <v>0</v>
      </c>
      <c r="G40" s="644">
        <f>'HOU_Deta Boil'!K58</f>
        <v>20</v>
      </c>
      <c r="H40" s="645">
        <v>22</v>
      </c>
      <c r="I40" s="646">
        <f t="shared" si="2"/>
        <v>-0.10000000000000009</v>
      </c>
      <c r="J40" s="647">
        <f>'HOU_Deta Boil'!L58</f>
        <v>11.622</v>
      </c>
      <c r="K40" s="648">
        <v>6.456666666666667</v>
      </c>
      <c r="L40" s="646">
        <f t="shared" si="3"/>
        <v>0.44444444444444442</v>
      </c>
      <c r="M40" s="649">
        <f>'HOU_Deta Boil'!M58</f>
        <v>0.17507500000000001</v>
      </c>
      <c r="N40" s="650">
        <v>5.5875000000000001E-2</v>
      </c>
      <c r="O40" s="646">
        <f t="shared" si="4"/>
        <v>0.68085106382978722</v>
      </c>
      <c r="P40" s="647">
        <f>'HOU_Deta Boil'!N58</f>
        <v>0</v>
      </c>
      <c r="Q40" s="628">
        <v>6.3871742112482854</v>
      </c>
      <c r="R40" s="651" t="e">
        <f t="shared" si="5"/>
        <v>#DIV/0!</v>
      </c>
    </row>
    <row r="41" spans="2:18">
      <c r="B41" s="736"/>
      <c r="C41" s="626">
        <f>'HOU_Deta Boil'!H59</f>
        <v>2020</v>
      </c>
      <c r="D41" s="635">
        <f>'HOU_Deta Boil'!AA59</f>
        <v>1.45</v>
      </c>
      <c r="E41" s="627">
        <v>1.45</v>
      </c>
      <c r="F41" s="636">
        <f t="shared" si="1"/>
        <v>0</v>
      </c>
      <c r="G41" s="635">
        <f t="shared" ref="G41:H43" si="13">G40</f>
        <v>20</v>
      </c>
      <c r="H41" s="627">
        <f t="shared" si="13"/>
        <v>22</v>
      </c>
      <c r="I41" s="636">
        <f t="shared" si="2"/>
        <v>-0.10000000000000009</v>
      </c>
      <c r="J41" s="638">
        <f>'HOU_Deta Boil'!L59</f>
        <v>10.951499999999999</v>
      </c>
      <c r="K41" s="629">
        <v>3.6256666666666666</v>
      </c>
      <c r="L41" s="636">
        <f t="shared" si="3"/>
        <v>0.66893424036281179</v>
      </c>
      <c r="M41" s="637">
        <f>'HOU_Deta Boil'!M59</f>
        <v>0.17507500000000001</v>
      </c>
      <c r="N41" s="628">
        <v>3.3524999999999999E-2</v>
      </c>
      <c r="O41" s="636">
        <f t="shared" si="4"/>
        <v>0.8085106382978724</v>
      </c>
      <c r="P41" s="638">
        <f>'HOU_Deta Boil'!N59</f>
        <v>0</v>
      </c>
      <c r="Q41" s="628">
        <v>3.8323045267489713</v>
      </c>
      <c r="R41" s="653" t="e">
        <f t="shared" si="5"/>
        <v>#DIV/0!</v>
      </c>
    </row>
    <row r="42" spans="2:18">
      <c r="B42" s="736"/>
      <c r="C42" s="626">
        <f>'HOU_Deta Boil'!H60</f>
        <v>2030</v>
      </c>
      <c r="D42" s="635">
        <f>'HOU_Deta Boil'!AA60</f>
        <v>1.7</v>
      </c>
      <c r="E42" s="627">
        <v>1.7</v>
      </c>
      <c r="F42" s="636">
        <f t="shared" si="1"/>
        <v>0</v>
      </c>
      <c r="G42" s="635">
        <f t="shared" si="13"/>
        <v>20</v>
      </c>
      <c r="H42" s="627">
        <f t="shared" si="13"/>
        <v>22</v>
      </c>
      <c r="I42" s="636">
        <f t="shared" si="2"/>
        <v>-0.10000000000000009</v>
      </c>
      <c r="J42" s="638">
        <f>'HOU_Deta Boil'!L60</f>
        <v>9.8339999999999996</v>
      </c>
      <c r="K42" s="629">
        <v>3.129</v>
      </c>
      <c r="L42" s="636">
        <f t="shared" si="3"/>
        <v>0.68181818181818188</v>
      </c>
      <c r="M42" s="637">
        <f>'HOU_Deta Boil'!M60</f>
        <v>0.17507500000000001</v>
      </c>
      <c r="N42" s="628">
        <v>3.3524999999999999E-2</v>
      </c>
      <c r="O42" s="636">
        <f t="shared" si="4"/>
        <v>0.8085106382978724</v>
      </c>
      <c r="P42" s="638">
        <f>'HOU_Deta Boil'!N60</f>
        <v>0</v>
      </c>
      <c r="Q42" s="628">
        <v>3.8323045267489713</v>
      </c>
      <c r="R42" s="653" t="e">
        <f t="shared" si="5"/>
        <v>#DIV/0!</v>
      </c>
    </row>
    <row r="43" spans="2:18">
      <c r="B43" s="781"/>
      <c r="C43" s="656">
        <f>'HOU_Deta Boil'!H61</f>
        <v>2050</v>
      </c>
      <c r="D43" s="657">
        <f>'HOU_Deta Boil'!AA61</f>
        <v>1.7</v>
      </c>
      <c r="E43" s="658">
        <v>1.7</v>
      </c>
      <c r="F43" s="659">
        <f>1-E43/D43</f>
        <v>0</v>
      </c>
      <c r="G43" s="657">
        <f t="shared" si="13"/>
        <v>20</v>
      </c>
      <c r="H43" s="658">
        <f t="shared" si="13"/>
        <v>22</v>
      </c>
      <c r="I43" s="659">
        <f>1-H43/G43</f>
        <v>-0.10000000000000009</v>
      </c>
      <c r="J43" s="660">
        <f>'HOU_Deta Boil'!L61</f>
        <v>8.865499999999999</v>
      </c>
      <c r="K43" s="661">
        <v>3.129</v>
      </c>
      <c r="L43" s="659">
        <f>1-K43/J43</f>
        <v>0.64705882352941169</v>
      </c>
      <c r="M43" s="662">
        <f>'HOU_Deta Boil'!M61</f>
        <v>0.17507500000000001</v>
      </c>
      <c r="N43" s="663">
        <v>3.3524999999999999E-2</v>
      </c>
      <c r="O43" s="659">
        <f>1-N43/M43</f>
        <v>0.8085106382978724</v>
      </c>
      <c r="P43" s="660">
        <f>'HOU_Deta Boil'!N61</f>
        <v>0</v>
      </c>
      <c r="Q43" s="628">
        <v>3.8323045267489713</v>
      </c>
      <c r="R43" s="664" t="e">
        <f>1-Q43/P43</f>
        <v>#DIV/0!</v>
      </c>
    </row>
    <row r="44" spans="2:18">
      <c r="B44" s="783" t="s">
        <v>654</v>
      </c>
      <c r="C44" s="643"/>
      <c r="D44" s="644"/>
      <c r="E44" s="645"/>
      <c r="F44" s="646"/>
      <c r="G44" s="644"/>
      <c r="H44" s="645"/>
      <c r="I44" s="646"/>
      <c r="J44" s="647"/>
      <c r="K44" s="648"/>
      <c r="L44" s="646"/>
      <c r="M44" s="649"/>
      <c r="N44" s="650"/>
      <c r="O44" s="646"/>
      <c r="P44" s="647"/>
      <c r="Q44" s="648"/>
      <c r="R44" s="651"/>
    </row>
    <row r="45" spans="2:18">
      <c r="B45" s="783" t="s">
        <v>658</v>
      </c>
      <c r="C45" s="626"/>
      <c r="D45" s="635"/>
      <c r="E45" s="627"/>
      <c r="F45" s="636"/>
      <c r="G45" s="635"/>
      <c r="H45" s="627"/>
      <c r="I45" s="636"/>
      <c r="J45" s="638"/>
      <c r="K45" s="629"/>
      <c r="L45" s="636"/>
      <c r="M45" s="637"/>
      <c r="N45" s="628"/>
      <c r="O45" s="636"/>
      <c r="P45" s="638"/>
      <c r="Q45" s="629"/>
      <c r="R45" s="653"/>
    </row>
    <row r="46" spans="2:18">
      <c r="B46" s="783"/>
      <c r="C46" s="626"/>
      <c r="D46" s="635"/>
      <c r="E46" s="627"/>
      <c r="F46" s="636"/>
      <c r="G46" s="635"/>
      <c r="H46" s="627"/>
      <c r="I46" s="636"/>
      <c r="J46" s="638"/>
      <c r="K46" s="629"/>
      <c r="L46" s="636"/>
      <c r="M46" s="637"/>
      <c r="N46" s="628"/>
      <c r="O46" s="636"/>
      <c r="P46" s="638"/>
      <c r="Q46" s="629"/>
      <c r="R46" s="653"/>
    </row>
    <row r="47" spans="2:18">
      <c r="B47" s="784"/>
      <c r="C47" s="656"/>
      <c r="D47" s="657"/>
      <c r="E47" s="658"/>
      <c r="F47" s="659"/>
      <c r="G47" s="657"/>
      <c r="H47" s="658"/>
      <c r="I47" s="659"/>
      <c r="J47" s="660"/>
      <c r="K47" s="661"/>
      <c r="L47" s="659"/>
      <c r="M47" s="662"/>
      <c r="N47" s="663"/>
      <c r="O47" s="659"/>
      <c r="P47" s="660"/>
      <c r="Q47" s="661"/>
      <c r="R47" s="664"/>
    </row>
    <row r="48" spans="2:18">
      <c r="B48" s="783" t="s">
        <v>655</v>
      </c>
      <c r="C48" s="643"/>
      <c r="D48" s="644"/>
      <c r="E48" s="645"/>
      <c r="F48" s="646"/>
      <c r="G48" s="644"/>
      <c r="H48" s="645"/>
      <c r="I48" s="646"/>
      <c r="J48" s="647"/>
      <c r="K48" s="648"/>
      <c r="L48" s="646"/>
      <c r="M48" s="649"/>
      <c r="N48" s="650"/>
      <c r="O48" s="646"/>
      <c r="P48" s="647"/>
      <c r="Q48" s="648"/>
      <c r="R48" s="651"/>
    </row>
    <row r="49" spans="2:19">
      <c r="B49" s="783" t="s">
        <v>658</v>
      </c>
      <c r="C49" s="626"/>
      <c r="D49" s="635"/>
      <c r="E49" s="627"/>
      <c r="F49" s="636"/>
      <c r="G49" s="635"/>
      <c r="H49" s="627"/>
      <c r="I49" s="636"/>
      <c r="J49" s="638"/>
      <c r="K49" s="629"/>
      <c r="L49" s="636"/>
      <c r="M49" s="637"/>
      <c r="N49" s="628"/>
      <c r="O49" s="636"/>
      <c r="P49" s="638"/>
      <c r="Q49" s="629"/>
      <c r="R49" s="653"/>
    </row>
    <row r="50" spans="2:19">
      <c r="B50" s="783"/>
      <c r="C50" s="626"/>
      <c r="D50" s="635"/>
      <c r="E50" s="627"/>
      <c r="F50" s="636"/>
      <c r="G50" s="635"/>
      <c r="H50" s="627"/>
      <c r="I50" s="636"/>
      <c r="J50" s="638"/>
      <c r="K50" s="629"/>
      <c r="L50" s="636"/>
      <c r="M50" s="637"/>
      <c r="N50" s="628"/>
      <c r="O50" s="636"/>
      <c r="P50" s="638"/>
      <c r="Q50" s="629"/>
      <c r="R50" s="653"/>
    </row>
    <row r="51" spans="2:19">
      <c r="B51" s="784"/>
      <c r="C51" s="656"/>
      <c r="D51" s="657"/>
      <c r="E51" s="658"/>
      <c r="F51" s="659"/>
      <c r="G51" s="657"/>
      <c r="H51" s="658"/>
      <c r="I51" s="659"/>
      <c r="J51" s="660"/>
      <c r="K51" s="661"/>
      <c r="L51" s="659"/>
      <c r="M51" s="662"/>
      <c r="N51" s="663"/>
      <c r="O51" s="659"/>
      <c r="P51" s="660"/>
      <c r="Q51" s="661"/>
      <c r="R51" s="664"/>
    </row>
    <row r="52" spans="2:19">
      <c r="B52" s="736" t="s">
        <v>656</v>
      </c>
      <c r="C52" s="643">
        <f>'HOU_Deta Boil'!H70</f>
        <v>2012</v>
      </c>
      <c r="D52" s="644">
        <f>'HOU_Deta Boil'!AA70</f>
        <v>1.35</v>
      </c>
      <c r="E52" s="645">
        <v>1.35</v>
      </c>
      <c r="F52" s="646">
        <f t="shared" ref="F52:F59" si="14">1-E52/D52</f>
        <v>0</v>
      </c>
      <c r="G52" s="644">
        <f>'HOU_Deta Boil'!K70</f>
        <v>20</v>
      </c>
      <c r="H52" s="645">
        <v>20</v>
      </c>
      <c r="I52" s="646">
        <f t="shared" ref="I52:I59" si="15">1-H52/G52</f>
        <v>0</v>
      </c>
      <c r="J52" s="647">
        <f>'HOU_Deta Boil'!L70</f>
        <v>10.43</v>
      </c>
      <c r="K52" s="648">
        <v>13.0375</v>
      </c>
      <c r="L52" s="646">
        <f t="shared" ref="L52:L59" si="16">1-K52/J52</f>
        <v>-0.25</v>
      </c>
      <c r="M52" s="649">
        <f>'HOU_Deta Boil'!M70</f>
        <v>0.17507500000000001</v>
      </c>
      <c r="N52" s="650">
        <v>1.0057499999999999</v>
      </c>
      <c r="O52" s="646">
        <f t="shared" ref="O52:O59" si="17">1-N52/M52</f>
        <v>-4.744680851063829</v>
      </c>
      <c r="P52" s="647">
        <f>'HOU_Deta Boil'!N70</f>
        <v>0</v>
      </c>
      <c r="Q52" s="648">
        <v>206.94444444444443</v>
      </c>
      <c r="R52" s="651" t="e">
        <f t="shared" ref="R52:R59" si="18">1-Q52/P52</f>
        <v>#DIV/0!</v>
      </c>
    </row>
    <row r="53" spans="2:19">
      <c r="B53" s="736"/>
      <c r="C53" s="626">
        <f>'HOU_Deta Boil'!H71</f>
        <v>2020</v>
      </c>
      <c r="D53" s="635">
        <f>'HOU_Deta Boil'!AA71</f>
        <v>1.35</v>
      </c>
      <c r="E53" s="627">
        <v>1.35</v>
      </c>
      <c r="F53" s="636">
        <f t="shared" si="14"/>
        <v>0</v>
      </c>
      <c r="G53" s="635">
        <f t="shared" ref="G53:H55" si="19">G52</f>
        <v>20</v>
      </c>
      <c r="H53" s="627">
        <f t="shared" si="19"/>
        <v>20</v>
      </c>
      <c r="I53" s="636">
        <f t="shared" si="15"/>
        <v>0</v>
      </c>
      <c r="J53" s="638">
        <f>'HOU_Deta Boil'!L71</f>
        <v>9.8041999999999998</v>
      </c>
      <c r="K53" s="629">
        <v>13.0375</v>
      </c>
      <c r="L53" s="636">
        <f t="shared" si="16"/>
        <v>-0.32978723404255317</v>
      </c>
      <c r="M53" s="637">
        <f>'HOU_Deta Boil'!M71</f>
        <v>0.17507500000000001</v>
      </c>
      <c r="N53" s="628">
        <v>1.0057499999999999</v>
      </c>
      <c r="O53" s="636">
        <f t="shared" si="17"/>
        <v>-4.744680851063829</v>
      </c>
      <c r="P53" s="638">
        <f>'HOU_Deta Boil'!N71</f>
        <v>0</v>
      </c>
      <c r="Q53" s="629">
        <v>206.94444444444443</v>
      </c>
      <c r="R53" s="653" t="e">
        <f t="shared" si="18"/>
        <v>#DIV/0!</v>
      </c>
    </row>
    <row r="54" spans="2:19">
      <c r="B54" s="736"/>
      <c r="C54" s="626">
        <f>'HOU_Deta Boil'!H72</f>
        <v>2030</v>
      </c>
      <c r="D54" s="635">
        <f>'HOU_Deta Boil'!AA72</f>
        <v>1.35</v>
      </c>
      <c r="E54" s="627">
        <v>1.35</v>
      </c>
      <c r="F54" s="636">
        <f t="shared" si="14"/>
        <v>0</v>
      </c>
      <c r="G54" s="635">
        <f t="shared" si="19"/>
        <v>20</v>
      </c>
      <c r="H54" s="627">
        <f t="shared" si="19"/>
        <v>20</v>
      </c>
      <c r="I54" s="636">
        <f t="shared" si="15"/>
        <v>0</v>
      </c>
      <c r="J54" s="638">
        <f>'HOU_Deta Boil'!L72</f>
        <v>8.8237800000000011</v>
      </c>
      <c r="K54" s="629">
        <v>13.0375</v>
      </c>
      <c r="L54" s="636">
        <f t="shared" si="16"/>
        <v>-0.47754137115839224</v>
      </c>
      <c r="M54" s="637">
        <f>'HOU_Deta Boil'!M72</f>
        <v>0.17507500000000001</v>
      </c>
      <c r="N54" s="628">
        <v>1.0057499999999999</v>
      </c>
      <c r="O54" s="636">
        <f t="shared" si="17"/>
        <v>-4.744680851063829</v>
      </c>
      <c r="P54" s="638">
        <f>'HOU_Deta Boil'!N72</f>
        <v>0</v>
      </c>
      <c r="Q54" s="629">
        <v>206.94444444444443</v>
      </c>
      <c r="R54" s="653" t="e">
        <f t="shared" si="18"/>
        <v>#DIV/0!</v>
      </c>
    </row>
    <row r="55" spans="2:19">
      <c r="B55" s="781"/>
      <c r="C55" s="656">
        <f>'HOU_Deta Boil'!H73</f>
        <v>2050</v>
      </c>
      <c r="D55" s="657">
        <f>'HOU_Deta Boil'!AA73</f>
        <v>1.35</v>
      </c>
      <c r="E55" s="658">
        <v>1.35</v>
      </c>
      <c r="F55" s="659">
        <f t="shared" si="14"/>
        <v>0</v>
      </c>
      <c r="G55" s="657">
        <f t="shared" si="19"/>
        <v>20</v>
      </c>
      <c r="H55" s="658">
        <f t="shared" si="19"/>
        <v>20</v>
      </c>
      <c r="I55" s="659">
        <f t="shared" si="15"/>
        <v>0</v>
      </c>
      <c r="J55" s="660">
        <f>'HOU_Deta Boil'!L73</f>
        <v>7.9414020000000001</v>
      </c>
      <c r="K55" s="661">
        <v>13.0375</v>
      </c>
      <c r="L55" s="659">
        <f t="shared" si="16"/>
        <v>-0.64171263462043604</v>
      </c>
      <c r="M55" s="662">
        <f>'HOU_Deta Boil'!M73</f>
        <v>0.17507500000000001</v>
      </c>
      <c r="N55" s="663">
        <v>1.0057499999999999</v>
      </c>
      <c r="O55" s="659">
        <f t="shared" si="17"/>
        <v>-4.744680851063829</v>
      </c>
      <c r="P55" s="660">
        <f>'HOU_Deta Boil'!N73</f>
        <v>0</v>
      </c>
      <c r="Q55" s="661">
        <v>206.94444444444443</v>
      </c>
      <c r="R55" s="664" t="e">
        <f t="shared" si="18"/>
        <v>#DIV/0!</v>
      </c>
    </row>
    <row r="56" spans="2:19">
      <c r="B56" s="736" t="s">
        <v>657</v>
      </c>
      <c r="C56" s="643">
        <f>'HOU_Deta Boil'!H74</f>
        <v>2012</v>
      </c>
      <c r="D56" s="644">
        <f>'HOU_Deta Boil'!J74</f>
        <v>0.97</v>
      </c>
      <c r="E56" s="645">
        <v>0.96</v>
      </c>
      <c r="F56" s="646">
        <f t="shared" si="14"/>
        <v>1.0309278350515427E-2</v>
      </c>
      <c r="G56" s="644">
        <f>'HOU_Deta Boil'!K74</f>
        <v>25</v>
      </c>
      <c r="H56" s="645">
        <v>30</v>
      </c>
      <c r="I56" s="646">
        <f t="shared" si="15"/>
        <v>-0.19999999999999996</v>
      </c>
      <c r="J56" s="647">
        <f>'HOU_Deta Boil'!L74</f>
        <v>1.4155</v>
      </c>
      <c r="K56" s="648">
        <v>1.3843185398189326</v>
      </c>
      <c r="L56" s="646">
        <f t="shared" si="16"/>
        <v>2.2028583667302981E-2</v>
      </c>
      <c r="M56" s="649">
        <f>'HOU_Deta Boil'!M74</f>
        <v>3.5015000000000004E-2</v>
      </c>
      <c r="N56" s="650">
        <v>9.5546249999999999E-2</v>
      </c>
      <c r="O56" s="646">
        <f t="shared" si="17"/>
        <v>-1.7287234042553186</v>
      </c>
      <c r="P56" s="647">
        <f>'HOU_Deta Boil'!N74</f>
        <v>0</v>
      </c>
      <c r="Q56" s="648">
        <v>14.154999999999999</v>
      </c>
      <c r="R56" s="651" t="e">
        <f t="shared" si="18"/>
        <v>#DIV/0!</v>
      </c>
    </row>
    <row r="57" spans="2:19">
      <c r="B57" s="736"/>
      <c r="C57" s="626">
        <f>'HOU_Deta Boil'!H75</f>
        <v>2020</v>
      </c>
      <c r="D57" s="635">
        <f>'HOU_Deta Boil'!J75</f>
        <v>0.97</v>
      </c>
      <c r="E57" s="627">
        <v>0.96</v>
      </c>
      <c r="F57" s="636">
        <f t="shared" si="14"/>
        <v>1.0309278350515427E-2</v>
      </c>
      <c r="G57" s="635">
        <f>'HOU_Deta Boil'!K75</f>
        <v>25</v>
      </c>
      <c r="H57" s="627">
        <v>30</v>
      </c>
      <c r="I57" s="636">
        <f t="shared" si="15"/>
        <v>-0.19999999999999996</v>
      </c>
      <c r="J57" s="638">
        <f>'HOU_Deta Boil'!L75</f>
        <v>1.3804646100440141</v>
      </c>
      <c r="K57" s="629">
        <v>1.1834865368967082</v>
      </c>
      <c r="L57" s="636">
        <f t="shared" si="16"/>
        <v>0.14268969426244504</v>
      </c>
      <c r="M57" s="637">
        <f>'HOU_Deta Boil'!M75</f>
        <v>3.4148335090562455E-2</v>
      </c>
      <c r="N57" s="628">
        <v>9.5546249999999999E-2</v>
      </c>
      <c r="O57" s="636">
        <f t="shared" si="17"/>
        <v>-1.7979768192682997</v>
      </c>
      <c r="P57" s="638">
        <f>'HOU_Deta Boil'!N75</f>
        <v>0</v>
      </c>
      <c r="Q57" s="629">
        <v>14.154999999999999</v>
      </c>
      <c r="R57" s="653" t="e">
        <f t="shared" si="18"/>
        <v>#DIV/0!</v>
      </c>
    </row>
    <row r="58" spans="2:19">
      <c r="B58" s="736"/>
      <c r="C58" s="626">
        <f>'HOU_Deta Boil'!H76</f>
        <v>2030</v>
      </c>
      <c r="D58" s="635">
        <f>'HOU_Deta Boil'!J76</f>
        <v>0.97</v>
      </c>
      <c r="E58" s="627">
        <v>0</v>
      </c>
      <c r="F58" s="636">
        <f t="shared" si="14"/>
        <v>1</v>
      </c>
      <c r="G58" s="635">
        <f>'HOU_Deta Boil'!K76</f>
        <v>25</v>
      </c>
      <c r="H58" s="627">
        <v>0</v>
      </c>
      <c r="I58" s="636">
        <f t="shared" si="15"/>
        <v>1</v>
      </c>
      <c r="J58" s="638">
        <f>'HOU_Deta Boil'!L76</f>
        <v>1.3129738753623432</v>
      </c>
      <c r="K58" s="629">
        <v>0</v>
      </c>
      <c r="L58" s="636">
        <f t="shared" si="16"/>
        <v>1</v>
      </c>
      <c r="M58" s="637">
        <f>'HOU_Deta Boil'!M76</f>
        <v>3.2478827443173756E-2</v>
      </c>
      <c r="N58" s="628">
        <v>0</v>
      </c>
      <c r="O58" s="636">
        <f t="shared" si="17"/>
        <v>1</v>
      </c>
      <c r="P58" s="638">
        <f>'HOU_Deta Boil'!N76</f>
        <v>0</v>
      </c>
      <c r="Q58" s="629">
        <v>0</v>
      </c>
      <c r="R58" s="653" t="e">
        <f t="shared" si="18"/>
        <v>#DIV/0!</v>
      </c>
    </row>
    <row r="59" spans="2:19">
      <c r="B59" s="655"/>
      <c r="C59" s="656">
        <f>'HOU_Deta Boil'!H77</f>
        <v>2050</v>
      </c>
      <c r="D59" s="657">
        <f>'HOU_Deta Boil'!J77</f>
        <v>0.97</v>
      </c>
      <c r="E59" s="658">
        <v>0</v>
      </c>
      <c r="F59" s="659">
        <f t="shared" si="14"/>
        <v>1</v>
      </c>
      <c r="G59" s="657">
        <f>'HOU_Deta Boil'!K77</f>
        <v>25</v>
      </c>
      <c r="H59" s="658">
        <v>0</v>
      </c>
      <c r="I59" s="659">
        <f t="shared" si="15"/>
        <v>1</v>
      </c>
      <c r="J59" s="660">
        <f>'HOU_Deta Boil'!L77</f>
        <v>1.1877299279795555</v>
      </c>
      <c r="K59" s="661">
        <v>0</v>
      </c>
      <c r="L59" s="659">
        <f t="shared" si="16"/>
        <v>1</v>
      </c>
      <c r="M59" s="662">
        <f>'HOU_Deta Boil'!M77</f>
        <v>2.9380687692125845E-2</v>
      </c>
      <c r="N59" s="663">
        <v>0</v>
      </c>
      <c r="O59" s="659">
        <f t="shared" si="17"/>
        <v>1</v>
      </c>
      <c r="P59" s="660">
        <f>'HOU_Deta Boil'!N77</f>
        <v>0</v>
      </c>
      <c r="Q59" s="661">
        <v>0</v>
      </c>
      <c r="R59" s="664" t="e">
        <f t="shared" si="18"/>
        <v>#DIV/0!</v>
      </c>
    </row>
    <row r="60" spans="2:19">
      <c r="B60" s="150"/>
      <c r="C60" s="150"/>
      <c r="D60" s="150"/>
      <c r="E60" s="562"/>
      <c r="F60" s="624"/>
      <c r="G60" s="150"/>
      <c r="H60" s="562"/>
      <c r="I60" s="624"/>
      <c r="J60" s="150"/>
      <c r="K60" s="562"/>
      <c r="L60" s="624"/>
      <c r="M60" s="150"/>
      <c r="N60" s="562"/>
      <c r="O60" s="624"/>
      <c r="P60" s="150"/>
      <c r="Q60" s="562"/>
      <c r="R60" s="624"/>
    </row>
    <row r="61" spans="2:19">
      <c r="S61" s="629"/>
    </row>
  </sheetData>
  <autoFilter ref="A2:U45" xr:uid="{00000000-0009-0000-0000-00001C000000}"/>
  <conditionalFormatting sqref="F4:F59">
    <cfRule type="colorScale" priority="5">
      <colorScale>
        <cfvo type="min"/>
        <cfvo type="percentile" val="50"/>
        <cfvo type="max"/>
        <color rgb="FFF8696B"/>
        <color rgb="FFFFEB84"/>
        <color rgb="FF63BE7B"/>
      </colorScale>
    </cfRule>
  </conditionalFormatting>
  <conditionalFormatting sqref="I4:I59">
    <cfRule type="colorScale" priority="4">
      <colorScale>
        <cfvo type="min"/>
        <cfvo type="percentile" val="50"/>
        <cfvo type="max"/>
        <color rgb="FFF8696B"/>
        <color rgb="FFFFEB84"/>
        <color rgb="FF63BE7B"/>
      </colorScale>
    </cfRule>
  </conditionalFormatting>
  <conditionalFormatting sqref="L4:L59">
    <cfRule type="colorScale" priority="3">
      <colorScale>
        <cfvo type="min"/>
        <cfvo type="percentile" val="50"/>
        <cfvo type="max"/>
        <color rgb="FFF8696B"/>
        <color rgb="FFFFEB84"/>
        <color rgb="FF63BE7B"/>
      </colorScale>
    </cfRule>
  </conditionalFormatting>
  <conditionalFormatting sqref="O4:O59">
    <cfRule type="colorScale" priority="2">
      <colorScale>
        <cfvo type="min"/>
        <cfvo type="percentile" val="50"/>
        <cfvo type="max"/>
        <color rgb="FFF8696B"/>
        <color rgb="FFFFEB84"/>
        <color rgb="FF63BE7B"/>
      </colorScale>
    </cfRule>
  </conditionalFormatting>
  <conditionalFormatting sqref="R4:R5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S59"/>
  <sheetViews>
    <sheetView topLeftCell="B1" workbookViewId="0">
      <pane xSplit="2" ySplit="3" topLeftCell="D4" activePane="bottomRight" state="frozen"/>
      <selection activeCell="B1" sqref="B1"/>
      <selection pane="topRight" activeCell="D1" sqref="D1"/>
      <selection pane="bottomLeft" activeCell="B4" sqref="B4"/>
      <selection pane="bottomRight" activeCell="L12" sqref="L12:L15"/>
    </sheetView>
  </sheetViews>
  <sheetFormatPr baseColWidth="10" defaultColWidth="9.1640625" defaultRowHeight="15"/>
  <cols>
    <col min="1" max="1" width="9.1640625" style="562"/>
    <col min="2" max="2" width="43.5" style="562" customWidth="1"/>
    <col min="3" max="11" width="9.33203125" style="562" bestFit="1" customWidth="1"/>
    <col min="12" max="12" width="9.83203125" style="562" bestFit="1" customWidth="1"/>
    <col min="13" max="13" width="9.5" style="562" bestFit="1" customWidth="1"/>
    <col min="14" max="14" width="10.6640625" style="562" bestFit="1" customWidth="1"/>
    <col min="15" max="18" width="9.33203125" style="562" bestFit="1" customWidth="1"/>
    <col min="19" max="16384" width="9.1640625" style="562"/>
  </cols>
  <sheetData>
    <row r="1" spans="1:19" ht="16" thickBot="1">
      <c r="B1" s="27" t="str">
        <f>'HOU_Deta Boil'!D3</f>
        <v>*TechDesc</v>
      </c>
      <c r="C1" s="27" t="str">
        <f>'HOU_Deta Boil'!H3</f>
        <v>YEAR</v>
      </c>
      <c r="D1" s="27" t="str">
        <f>'HOU_Deta Boil'!J3</f>
        <v>EFF</v>
      </c>
      <c r="E1" s="27"/>
      <c r="F1" s="27"/>
      <c r="G1" s="630" t="str">
        <f>'HOU_Deta Boil'!K3</f>
        <v>LIFE</v>
      </c>
      <c r="H1" s="631"/>
      <c r="I1" s="632"/>
      <c r="J1" s="630" t="str">
        <f>'HOU_Deta Boil'!L3</f>
        <v>INVCOST</v>
      </c>
      <c r="K1" s="631"/>
      <c r="L1" s="632"/>
      <c r="M1" s="630" t="str">
        <f>'HOU_Deta Boil'!M3</f>
        <v>FIXOM</v>
      </c>
      <c r="N1" s="631"/>
      <c r="O1" s="632"/>
      <c r="P1" s="630" t="str">
        <f>'HOU_Deta Boil'!N3</f>
        <v>VAROM</v>
      </c>
      <c r="Q1" s="631"/>
      <c r="R1" s="632"/>
    </row>
    <row r="2" spans="1:19" ht="12.75" customHeight="1">
      <c r="C2" s="38"/>
      <c r="D2" s="639" t="s">
        <v>662</v>
      </c>
      <c r="E2" s="640"/>
      <c r="F2" s="641"/>
      <c r="G2" s="633"/>
      <c r="H2" s="38"/>
      <c r="I2" s="634"/>
      <c r="J2" s="633" t="str">
        <f>'HOU_Deta Boil'!L5</f>
        <v>Mkr/MW</v>
      </c>
      <c r="K2" s="38"/>
      <c r="L2" s="634"/>
      <c r="M2" s="633" t="str">
        <f>'HOU_Deta Boil'!M5</f>
        <v>Mkr/MW/year</v>
      </c>
      <c r="N2" s="38"/>
      <c r="O2" s="634"/>
      <c r="P2" s="633" t="str">
        <f>'HOU_Deta Boil'!N5</f>
        <v>Mkr/PJ</v>
      </c>
      <c r="Q2" s="38"/>
      <c r="R2" s="634"/>
      <c r="S2" s="113"/>
    </row>
    <row r="3" spans="1:19" ht="16" thickBot="1">
      <c r="B3" s="31"/>
      <c r="C3" s="31"/>
      <c r="D3" s="31" t="s">
        <v>617</v>
      </c>
      <c r="E3" s="31" t="s">
        <v>615</v>
      </c>
      <c r="F3" s="31" t="s">
        <v>616</v>
      </c>
      <c r="G3" s="31" t="s">
        <v>617</v>
      </c>
      <c r="H3" s="31" t="s">
        <v>615</v>
      </c>
      <c r="I3" s="31" t="s">
        <v>616</v>
      </c>
      <c r="J3" s="31" t="s">
        <v>617</v>
      </c>
      <c r="K3" s="31" t="s">
        <v>615</v>
      </c>
      <c r="L3" s="31" t="s">
        <v>616</v>
      </c>
      <c r="M3" s="31" t="s">
        <v>617</v>
      </c>
      <c r="N3" s="31" t="s">
        <v>615</v>
      </c>
      <c r="O3" s="31" t="s">
        <v>616</v>
      </c>
      <c r="P3" s="31" t="s">
        <v>617</v>
      </c>
      <c r="Q3" s="31" t="s">
        <v>615</v>
      </c>
      <c r="R3" s="31" t="s">
        <v>616</v>
      </c>
    </row>
    <row r="4" spans="1:19">
      <c r="B4" s="622" t="s">
        <v>643</v>
      </c>
      <c r="C4" s="626">
        <f>'HOU_Multi Boil'!H6</f>
        <v>2012</v>
      </c>
      <c r="D4" s="635">
        <f>'HOU_Multi Boil'!J6</f>
        <v>0.99</v>
      </c>
      <c r="E4" s="627">
        <v>1.02</v>
      </c>
      <c r="F4" s="636">
        <f>1-E4/D4</f>
        <v>-3.0303030303030276E-2</v>
      </c>
      <c r="G4" s="635">
        <f>'HOU_Multi Boil'!K6</f>
        <v>22</v>
      </c>
      <c r="H4" s="627">
        <v>25</v>
      </c>
      <c r="I4" s="636">
        <f>1-H4/G4</f>
        <v>-0.13636363636363646</v>
      </c>
      <c r="J4" s="638">
        <f>'HOU_Multi Boil'!L6</f>
        <v>0.60531250000000003</v>
      </c>
      <c r="K4" s="629">
        <v>0.94366666666666676</v>
      </c>
      <c r="L4" s="636">
        <f>1-K4/J4</f>
        <v>-0.55897435897435899</v>
      </c>
      <c r="M4" s="637">
        <f>'HOU_Multi Boil'!M6</f>
        <v>2.0941062932194495E-2</v>
      </c>
      <c r="N4" s="628">
        <v>2.98E-2</v>
      </c>
      <c r="O4" s="636">
        <f>1-N4/M4</f>
        <v>-0.42304142327875338</v>
      </c>
      <c r="P4" s="635">
        <f>'HOU_Multi Boil'!N6</f>
        <v>0</v>
      </c>
      <c r="Q4" s="627">
        <v>14.9</v>
      </c>
      <c r="R4" s="636" t="e">
        <f t="shared" ref="R4:R58" si="0">1-Q4/P4</f>
        <v>#DIV/0!</v>
      </c>
      <c r="S4" s="623"/>
    </row>
    <row r="5" spans="1:19">
      <c r="B5" s="622"/>
      <c r="C5" s="626">
        <f>'HOU_Multi Boil'!H7</f>
        <v>2020</v>
      </c>
      <c r="D5" s="635">
        <f>'HOU_Multi Boil'!J7</f>
        <v>1</v>
      </c>
      <c r="E5" s="627">
        <v>1.02</v>
      </c>
      <c r="F5" s="636">
        <f>1-E5/D5</f>
        <v>-2.0000000000000018E-2</v>
      </c>
      <c r="G5" s="635">
        <f t="shared" ref="G5:H7" si="1">G4</f>
        <v>22</v>
      </c>
      <c r="H5" s="627">
        <f t="shared" si="1"/>
        <v>25</v>
      </c>
      <c r="I5" s="636">
        <f>1-H5/G5</f>
        <v>-0.13636363636363646</v>
      </c>
      <c r="J5" s="638">
        <f>'HOU_Multi Boil'!L7</f>
        <v>0.60531250000000003</v>
      </c>
      <c r="K5" s="629">
        <v>0.91883333333333339</v>
      </c>
      <c r="L5" s="636">
        <f>1-K5/J5</f>
        <v>-0.51794871794871788</v>
      </c>
      <c r="M5" s="637">
        <f>'HOU_Multi Boil'!M7</f>
        <v>2.0265903545184247E-2</v>
      </c>
      <c r="N5" s="628">
        <v>2.98E-2</v>
      </c>
      <c r="O5" s="636">
        <f>1-N5/M5</f>
        <v>-0.47045010520053143</v>
      </c>
      <c r="P5" s="635">
        <f>'HOU_Multi Boil'!N7</f>
        <v>0</v>
      </c>
      <c r="Q5" s="627">
        <v>14.9</v>
      </c>
      <c r="R5" s="636" t="e">
        <f t="shared" si="0"/>
        <v>#DIV/0!</v>
      </c>
      <c r="S5" s="148"/>
    </row>
    <row r="6" spans="1:19">
      <c r="B6" s="622"/>
      <c r="C6" s="626">
        <f>'HOU_Multi Boil'!H8</f>
        <v>2030</v>
      </c>
      <c r="D6" s="635">
        <f>'HOU_Multi Boil'!J8</f>
        <v>1.01</v>
      </c>
      <c r="E6" s="627">
        <v>1.02</v>
      </c>
      <c r="F6" s="636">
        <f>1-E6/D6</f>
        <v>-9.9009900990099098E-3</v>
      </c>
      <c r="G6" s="635">
        <f t="shared" si="1"/>
        <v>22</v>
      </c>
      <c r="H6" s="627">
        <f t="shared" si="1"/>
        <v>25</v>
      </c>
      <c r="I6" s="636">
        <f>1-H6/G6</f>
        <v>-0.13636363636363646</v>
      </c>
      <c r="J6" s="638">
        <f>'HOU_Multi Boil'!L8</f>
        <v>0.55874999999999997</v>
      </c>
      <c r="K6" s="629">
        <v>0.89400000000000013</v>
      </c>
      <c r="L6" s="636">
        <f>1-K6/J6</f>
        <v>-0.60000000000000031</v>
      </c>
      <c r="M6" s="637">
        <f>'HOU_Multi Boil'!M8</f>
        <v>1.9296778092332878E-2</v>
      </c>
      <c r="N6" s="628">
        <v>2.98E-2</v>
      </c>
      <c r="O6" s="636">
        <f>1-N6/M6</f>
        <v>-0.54429925334739337</v>
      </c>
      <c r="P6" s="635">
        <f>'HOU_Multi Boil'!N8</f>
        <v>0</v>
      </c>
      <c r="Q6" s="627">
        <v>14.9</v>
      </c>
      <c r="R6" s="636" t="e">
        <f t="shared" si="0"/>
        <v>#DIV/0!</v>
      </c>
      <c r="S6" s="150"/>
    </row>
    <row r="7" spans="1:19">
      <c r="B7" s="622"/>
      <c r="C7" s="626">
        <f>'HOU_Multi Boil'!H9</f>
        <v>2050</v>
      </c>
      <c r="D7" s="635">
        <f>'HOU_Multi Boil'!J9</f>
        <v>1.01</v>
      </c>
      <c r="E7" s="627">
        <v>1.02</v>
      </c>
      <c r="F7" s="636">
        <f>1-E7/D7</f>
        <v>-9.9009900990099098E-3</v>
      </c>
      <c r="G7" s="635">
        <f t="shared" si="1"/>
        <v>22</v>
      </c>
      <c r="H7" s="627">
        <f t="shared" si="1"/>
        <v>25</v>
      </c>
      <c r="I7" s="636">
        <f>1-H7/G7</f>
        <v>-0.13636363636363646</v>
      </c>
      <c r="J7" s="638">
        <f>'HOU_Multi Boil'!L9</f>
        <v>0.51218750000000002</v>
      </c>
      <c r="K7" s="629">
        <v>0.89400000000000013</v>
      </c>
      <c r="L7" s="636">
        <f>1-K7/J7</f>
        <v>-0.74545454545454559</v>
      </c>
      <c r="M7" s="637">
        <f>'HOU_Multi Boil'!M9</f>
        <v>1.8184017586492435E-2</v>
      </c>
      <c r="N7" s="628">
        <v>2.98E-2</v>
      </c>
      <c r="O7" s="636">
        <f>1-N7/M7</f>
        <v>-0.63880175864635236</v>
      </c>
      <c r="P7" s="635">
        <f>'HOU_Multi Boil'!N9</f>
        <v>0</v>
      </c>
      <c r="Q7" s="627">
        <v>14.9</v>
      </c>
      <c r="R7" s="636" t="e">
        <f t="shared" si="0"/>
        <v>#DIV/0!</v>
      </c>
      <c r="S7" s="623"/>
    </row>
    <row r="8" spans="1:19">
      <c r="B8" s="622" t="s">
        <v>644</v>
      </c>
      <c r="C8" s="643">
        <f>'HOU_Multi Boil'!H10</f>
        <v>2012</v>
      </c>
      <c r="D8" s="644">
        <f>'HOU_Multi Boil'!J10</f>
        <v>0.89</v>
      </c>
      <c r="E8" s="645">
        <v>0.96</v>
      </c>
      <c r="F8" s="646">
        <f t="shared" ref="F8:F58" si="2">1-E8/D8</f>
        <v>-7.8651685393258397E-2</v>
      </c>
      <c r="G8" s="644">
        <f>'HOU_Multi Boil'!K10</f>
        <v>20</v>
      </c>
      <c r="H8" s="645">
        <v>20</v>
      </c>
      <c r="I8" s="646">
        <f t="shared" ref="I8:I58" si="3">1-H8/G8</f>
        <v>0</v>
      </c>
      <c r="J8" s="647">
        <f>'HOU_Multi Boil'!L10</f>
        <v>0.91262499999999991</v>
      </c>
      <c r="K8" s="648">
        <v>0.59599999999999997</v>
      </c>
      <c r="L8" s="646">
        <f t="shared" ref="L8:L58" si="4">1-K8/J8</f>
        <v>0.34693877551020402</v>
      </c>
      <c r="M8" s="649">
        <f>'HOU_Multi Boil'!M10</f>
        <v>2.8172485131340366E-2</v>
      </c>
      <c r="N8" s="650">
        <v>9.3124999999999996E-3</v>
      </c>
      <c r="O8" s="646">
        <f t="shared" ref="O8:O58" si="5">1-N8/M8</f>
        <v>0.66944698145779313</v>
      </c>
      <c r="P8" s="644">
        <f>'HOU_Multi Boil'!N10</f>
        <v>36.504999999999995</v>
      </c>
      <c r="Q8" s="645">
        <v>0</v>
      </c>
      <c r="R8" s="646">
        <f t="shared" si="0"/>
        <v>1</v>
      </c>
    </row>
    <row r="9" spans="1:19">
      <c r="A9" s="652"/>
      <c r="B9" s="622"/>
      <c r="C9" s="626">
        <f>'HOU_Multi Boil'!H11</f>
        <v>2020</v>
      </c>
      <c r="D9" s="635">
        <f>'HOU_Multi Boil'!J11</f>
        <v>0.89</v>
      </c>
      <c r="E9" s="627">
        <v>0.96</v>
      </c>
      <c r="F9" s="636">
        <f t="shared" si="2"/>
        <v>-7.8651685393258397E-2</v>
      </c>
      <c r="G9" s="635">
        <f t="shared" ref="G9:H11" si="6">G8</f>
        <v>20</v>
      </c>
      <c r="H9" s="627">
        <f t="shared" si="6"/>
        <v>20</v>
      </c>
      <c r="I9" s="636">
        <f t="shared" si="3"/>
        <v>0</v>
      </c>
      <c r="J9" s="638">
        <f>'HOU_Multi Boil'!L11</f>
        <v>0.89003639331785134</v>
      </c>
      <c r="K9" s="629">
        <v>0.59599999999999997</v>
      </c>
      <c r="L9" s="636">
        <f t="shared" si="4"/>
        <v>0.33036446096518723</v>
      </c>
      <c r="M9" s="637">
        <f>'HOU_Multi Boil'!M11</f>
        <v>2.750657118253981E-2</v>
      </c>
      <c r="N9" s="628">
        <v>9.3124999999999996E-3</v>
      </c>
      <c r="O9" s="636">
        <f t="shared" si="5"/>
        <v>0.66144453490040078</v>
      </c>
      <c r="P9" s="635">
        <f>'HOU_Multi Boil'!N11</f>
        <v>31.29</v>
      </c>
      <c r="Q9" s="627">
        <v>0</v>
      </c>
      <c r="R9" s="636">
        <f t="shared" si="0"/>
        <v>1</v>
      </c>
    </row>
    <row r="10" spans="1:19">
      <c r="A10" s="652"/>
      <c r="B10" s="622"/>
      <c r="C10" s="626">
        <f>'HOU_Multi Boil'!H12</f>
        <v>2030</v>
      </c>
      <c r="D10" s="635">
        <f>'HOU_Multi Boil'!J12</f>
        <v>1.01</v>
      </c>
      <c r="E10" s="627">
        <v>0.96</v>
      </c>
      <c r="F10" s="636">
        <f t="shared" si="2"/>
        <v>4.9504950495049549E-2</v>
      </c>
      <c r="G10" s="635">
        <f t="shared" si="6"/>
        <v>20</v>
      </c>
      <c r="H10" s="627">
        <f t="shared" si="6"/>
        <v>20</v>
      </c>
      <c r="I10" s="636">
        <f t="shared" si="3"/>
        <v>0</v>
      </c>
      <c r="J10" s="638">
        <f>'HOU_Multi Boil'!L12</f>
        <v>0.8465226301678267</v>
      </c>
      <c r="K10" s="629">
        <v>0.59599999999999997</v>
      </c>
      <c r="L10" s="636">
        <f t="shared" si="4"/>
        <v>0.29594321668418899</v>
      </c>
      <c r="M10" s="637">
        <f>'HOU_Multi Boil'!M12</f>
        <v>2.5917459489983731E-2</v>
      </c>
      <c r="N10" s="628">
        <v>9.3124999999999996E-3</v>
      </c>
      <c r="O10" s="636">
        <f t="shared" si="5"/>
        <v>0.64068623301604921</v>
      </c>
      <c r="P10" s="635">
        <f>'HOU_Multi Boil'!N12</f>
        <v>26.074999999999999</v>
      </c>
      <c r="Q10" s="627">
        <v>0</v>
      </c>
      <c r="R10" s="636">
        <f t="shared" si="0"/>
        <v>1</v>
      </c>
    </row>
    <row r="11" spans="1:19">
      <c r="A11" s="654"/>
      <c r="B11" s="655"/>
      <c r="C11" s="656">
        <f>'HOU_Multi Boil'!H13</f>
        <v>2050</v>
      </c>
      <c r="D11" s="657">
        <f>'HOU_Multi Boil'!J13</f>
        <v>1.02</v>
      </c>
      <c r="E11" s="658">
        <v>0.96</v>
      </c>
      <c r="F11" s="659">
        <f t="shared" si="2"/>
        <v>5.8823529411764719E-2</v>
      </c>
      <c r="G11" s="657">
        <f t="shared" si="6"/>
        <v>20</v>
      </c>
      <c r="H11" s="658">
        <f t="shared" si="6"/>
        <v>20</v>
      </c>
      <c r="I11" s="659">
        <f t="shared" si="3"/>
        <v>0</v>
      </c>
      <c r="J11" s="660">
        <f>'HOU_Multi Boil'!L13</f>
        <v>0.76577324303945027</v>
      </c>
      <c r="K11" s="661">
        <v>0.59599999999999997</v>
      </c>
      <c r="L11" s="659">
        <f t="shared" si="4"/>
        <v>0.22170171729374999</v>
      </c>
      <c r="M11" s="662">
        <f>'HOU_Multi Boil'!M13</f>
        <v>2.4465234606027449E-2</v>
      </c>
      <c r="N11" s="663">
        <v>9.3124999999999996E-3</v>
      </c>
      <c r="O11" s="659">
        <f t="shared" si="5"/>
        <v>0.61935782959114971</v>
      </c>
      <c r="P11" s="657">
        <f>'HOU_Multi Boil'!N13</f>
        <v>20.86</v>
      </c>
      <c r="Q11" s="658">
        <v>0</v>
      </c>
      <c r="R11" s="659">
        <f t="shared" si="0"/>
        <v>1</v>
      </c>
    </row>
    <row r="12" spans="1:19">
      <c r="A12" s="642"/>
      <c r="B12" s="622" t="s">
        <v>645</v>
      </c>
      <c r="C12" s="643">
        <f>'HOU_Multi Boil'!H14</f>
        <v>2012</v>
      </c>
      <c r="D12" s="649">
        <f>'HOU_Multi Boil'!J14</f>
        <v>0.82</v>
      </c>
      <c r="E12" s="645">
        <v>0.85</v>
      </c>
      <c r="F12" s="646">
        <f t="shared" si="2"/>
        <v>-3.6585365853658569E-2</v>
      </c>
      <c r="G12" s="644">
        <f>'HOU_Multi Boil'!K14</f>
        <v>20</v>
      </c>
      <c r="H12" s="645">
        <v>20</v>
      </c>
      <c r="I12" s="646">
        <f t="shared" si="3"/>
        <v>0</v>
      </c>
      <c r="J12" s="647">
        <f>'HOU_Multi Boil'!L14</f>
        <v>1.7600625000000001</v>
      </c>
      <c r="K12" s="648">
        <v>1.4900000000000002</v>
      </c>
      <c r="L12" s="646">
        <f t="shared" si="4"/>
        <v>0.15343915343915338</v>
      </c>
      <c r="M12" s="649">
        <f>'HOU_Multi Boil'!M14</f>
        <v>3.0989733644474406E-2</v>
      </c>
      <c r="N12" s="650">
        <v>4.6935000000000004E-2</v>
      </c>
      <c r="O12" s="646">
        <f t="shared" si="5"/>
        <v>-0.51453383041156608</v>
      </c>
      <c r="P12" s="644">
        <f>'HOU_Multi Boil'!N14</f>
        <v>40.155499999999996</v>
      </c>
      <c r="Q12" s="645">
        <v>0</v>
      </c>
      <c r="R12" s="646">
        <f t="shared" si="0"/>
        <v>1</v>
      </c>
    </row>
    <row r="13" spans="1:19">
      <c r="A13" s="652"/>
      <c r="B13" s="622"/>
      <c r="C13" s="626">
        <f>'HOU_Multi Boil'!H15</f>
        <v>2020</v>
      </c>
      <c r="D13" s="637">
        <f>'HOU_Multi Boil'!J15</f>
        <v>0.84</v>
      </c>
      <c r="E13" s="627">
        <v>0.87</v>
      </c>
      <c r="F13" s="636">
        <f t="shared" si="2"/>
        <v>-3.5714285714285809E-2</v>
      </c>
      <c r="G13" s="635">
        <f t="shared" ref="G13:H15" si="7">G12</f>
        <v>20</v>
      </c>
      <c r="H13" s="627">
        <f t="shared" si="7"/>
        <v>20</v>
      </c>
      <c r="I13" s="636">
        <f t="shared" si="3"/>
        <v>0</v>
      </c>
      <c r="J13" s="638">
        <f>'HOU_Multi Boil'!L15</f>
        <v>1.7164987585415703</v>
      </c>
      <c r="K13" s="629">
        <v>1.4900000000000002</v>
      </c>
      <c r="L13" s="636">
        <f t="shared" si="4"/>
        <v>0.1319539308807981</v>
      </c>
      <c r="M13" s="637">
        <f>'HOU_Multi Boil'!M15</f>
        <v>3.0257228300793793E-2</v>
      </c>
      <c r="N13" s="628">
        <v>4.6935000000000004E-2</v>
      </c>
      <c r="O13" s="636">
        <f t="shared" si="5"/>
        <v>-0.5511995855472549</v>
      </c>
      <c r="P13" s="635">
        <f>'HOU_Multi Boil'!N15</f>
        <v>34.419000000000004</v>
      </c>
      <c r="Q13" s="627">
        <v>0</v>
      </c>
      <c r="R13" s="636">
        <f t="shared" si="0"/>
        <v>1</v>
      </c>
    </row>
    <row r="14" spans="1:19">
      <c r="A14" s="652"/>
      <c r="B14" s="622"/>
      <c r="C14" s="626">
        <f>'HOU_Multi Boil'!H16</f>
        <v>2030</v>
      </c>
      <c r="D14" s="637">
        <f>'HOU_Multi Boil'!J16</f>
        <v>0.88</v>
      </c>
      <c r="E14" s="627">
        <v>0.91</v>
      </c>
      <c r="F14" s="636">
        <f t="shared" si="2"/>
        <v>-3.4090909090909172E-2</v>
      </c>
      <c r="G14" s="635">
        <f t="shared" si="7"/>
        <v>20</v>
      </c>
      <c r="H14" s="627">
        <f t="shared" si="7"/>
        <v>20</v>
      </c>
      <c r="I14" s="636">
        <f t="shared" si="3"/>
        <v>0</v>
      </c>
      <c r="J14" s="638">
        <f>'HOU_Multi Boil'!L16</f>
        <v>1.6325793581808086</v>
      </c>
      <c r="K14" s="629">
        <v>1.4900000000000002</v>
      </c>
      <c r="L14" s="636">
        <f t="shared" si="4"/>
        <v>8.7333799405429957E-2</v>
      </c>
      <c r="M14" s="637">
        <f>'HOU_Multi Boil'!M16</f>
        <v>2.8509205438982107E-2</v>
      </c>
      <c r="N14" s="628">
        <v>5.2150000000000002E-2</v>
      </c>
      <c r="O14" s="636">
        <f t="shared" si="5"/>
        <v>-0.82923372282738605</v>
      </c>
      <c r="P14" s="635">
        <f>'HOU_Multi Boil'!N16</f>
        <v>28.682500000000001</v>
      </c>
      <c r="Q14" s="627">
        <v>0</v>
      </c>
      <c r="R14" s="636">
        <f t="shared" si="0"/>
        <v>1</v>
      </c>
    </row>
    <row r="15" spans="1:19">
      <c r="A15" s="654"/>
      <c r="B15" s="655"/>
      <c r="C15" s="656">
        <f>'HOU_Multi Boil'!H17</f>
        <v>2050</v>
      </c>
      <c r="D15" s="662">
        <f>'HOU_Multi Boil'!J17</f>
        <v>0.91999999999999993</v>
      </c>
      <c r="E15" s="658">
        <v>0.95</v>
      </c>
      <c r="F15" s="659">
        <f t="shared" si="2"/>
        <v>-3.2608695652173836E-2</v>
      </c>
      <c r="G15" s="657">
        <f t="shared" si="7"/>
        <v>20</v>
      </c>
      <c r="H15" s="658">
        <f t="shared" si="7"/>
        <v>20</v>
      </c>
      <c r="I15" s="659">
        <f t="shared" si="3"/>
        <v>0</v>
      </c>
      <c r="J15" s="660">
        <f>'HOU_Multi Boil'!L17</f>
        <v>1.4768483972903685</v>
      </c>
      <c r="K15" s="661">
        <v>1.4900000000000002</v>
      </c>
      <c r="L15" s="659">
        <f t="shared" si="4"/>
        <v>-8.9051812858798041E-3</v>
      </c>
      <c r="M15" s="662">
        <f>'HOU_Multi Boil'!M17</f>
        <v>2.6911758066630195E-2</v>
      </c>
      <c r="N15" s="663">
        <v>5.96E-2</v>
      </c>
      <c r="O15" s="659">
        <f t="shared" si="5"/>
        <v>-1.2146453551060374</v>
      </c>
      <c r="P15" s="657">
        <f>'HOU_Multi Boil'!N17</f>
        <v>22.946000000000002</v>
      </c>
      <c r="Q15" s="658">
        <v>0</v>
      </c>
      <c r="R15" s="659">
        <f t="shared" si="0"/>
        <v>1</v>
      </c>
    </row>
    <row r="16" spans="1:19">
      <c r="A16" s="642"/>
      <c r="B16" s="622" t="s">
        <v>646</v>
      </c>
      <c r="C16" s="643">
        <f>'HOU_Multi Boil'!H18</f>
        <v>2012</v>
      </c>
      <c r="D16" s="649">
        <f>'HOU_Multi Boil'!J18</f>
        <v>0.97</v>
      </c>
      <c r="E16" s="645">
        <v>0.95</v>
      </c>
      <c r="F16" s="646">
        <f t="shared" si="2"/>
        <v>2.0618556701030966E-2</v>
      </c>
      <c r="G16" s="644">
        <f>'HOU_Multi Boil'!K18</f>
        <v>30</v>
      </c>
      <c r="H16" s="645">
        <v>30</v>
      </c>
      <c r="I16" s="646">
        <f t="shared" si="3"/>
        <v>0</v>
      </c>
      <c r="J16" s="647">
        <f>'HOU_Multi Boil'!L18</f>
        <v>0.54478124999999999</v>
      </c>
      <c r="K16" s="648">
        <v>4.95425</v>
      </c>
      <c r="L16" s="646">
        <f t="shared" si="4"/>
        <v>-8.0940170940170937</v>
      </c>
      <c r="M16" s="649">
        <f>'HOU_Multi Boil'!M18</f>
        <v>4.6394875E-3</v>
      </c>
      <c r="N16" s="650">
        <v>7.4499999999999997E-2</v>
      </c>
      <c r="O16" s="646">
        <f t="shared" si="5"/>
        <v>-15.057808109193093</v>
      </c>
      <c r="P16" s="644">
        <f>'HOU_Multi Boil'!N18</f>
        <v>0</v>
      </c>
      <c r="Q16" s="645">
        <v>0</v>
      </c>
      <c r="R16" s="646" t="e">
        <f t="shared" si="0"/>
        <v>#DIV/0!</v>
      </c>
    </row>
    <row r="17" spans="1:18">
      <c r="A17" s="652"/>
      <c r="B17" s="622"/>
      <c r="C17" s="626">
        <f>'HOU_Multi Boil'!H19</f>
        <v>2020</v>
      </c>
      <c r="D17" s="637">
        <f>'HOU_Multi Boil'!J19</f>
        <v>0.97</v>
      </c>
      <c r="E17" s="627">
        <v>0.95</v>
      </c>
      <c r="F17" s="636">
        <f t="shared" si="2"/>
        <v>2.0618556701030966E-2</v>
      </c>
      <c r="G17" s="635">
        <f t="shared" ref="G17:H19" si="8">G16</f>
        <v>30</v>
      </c>
      <c r="H17" s="627">
        <f t="shared" si="8"/>
        <v>30</v>
      </c>
      <c r="I17" s="636">
        <f t="shared" si="3"/>
        <v>0</v>
      </c>
      <c r="J17" s="638">
        <f>'HOU_Multi Boil'!L19</f>
        <v>0.54478124999999999</v>
      </c>
      <c r="K17" s="629">
        <v>4.95425</v>
      </c>
      <c r="L17" s="636">
        <f t="shared" si="4"/>
        <v>-8.0940170940170937</v>
      </c>
      <c r="M17" s="637">
        <f>'HOU_Multi Boil'!M19</f>
        <v>4.5300656250000012E-3</v>
      </c>
      <c r="N17" s="628">
        <v>7.4499999999999997E-2</v>
      </c>
      <c r="O17" s="636">
        <f t="shared" si="5"/>
        <v>-15.445677870284712</v>
      </c>
      <c r="P17" s="635">
        <f>'HOU_Multi Boil'!N19</f>
        <v>0</v>
      </c>
      <c r="Q17" s="627">
        <v>0</v>
      </c>
      <c r="R17" s="636" t="e">
        <f t="shared" si="0"/>
        <v>#DIV/0!</v>
      </c>
    </row>
    <row r="18" spans="1:18">
      <c r="A18" s="652"/>
      <c r="B18" s="622"/>
      <c r="C18" s="626">
        <f>'HOU_Multi Boil'!H20</f>
        <v>2030</v>
      </c>
      <c r="D18" s="637">
        <f>'HOU_Multi Boil'!J20</f>
        <v>0.97</v>
      </c>
      <c r="E18" s="627">
        <v>0.95</v>
      </c>
      <c r="F18" s="636">
        <f t="shared" si="2"/>
        <v>2.0618556701030966E-2</v>
      </c>
      <c r="G18" s="635">
        <f t="shared" si="8"/>
        <v>30</v>
      </c>
      <c r="H18" s="627">
        <f t="shared" si="8"/>
        <v>30</v>
      </c>
      <c r="I18" s="636">
        <f t="shared" si="3"/>
        <v>0</v>
      </c>
      <c r="J18" s="638">
        <f>'HOU_Multi Boil'!L20</f>
        <v>0.50287499999999996</v>
      </c>
      <c r="K18" s="629">
        <v>4.95425</v>
      </c>
      <c r="L18" s="636">
        <f t="shared" si="4"/>
        <v>-8.851851851851853</v>
      </c>
      <c r="M18" s="637">
        <f>'HOU_Multi Boil'!M20</f>
        <v>4.311221875E-3</v>
      </c>
      <c r="N18" s="628">
        <v>7.4499999999999997E-2</v>
      </c>
      <c r="O18" s="636">
        <f t="shared" si="5"/>
        <v>-16.280483853547899</v>
      </c>
      <c r="P18" s="635">
        <f>'HOU_Multi Boil'!N20</f>
        <v>0</v>
      </c>
      <c r="Q18" s="627">
        <v>0</v>
      </c>
      <c r="R18" s="636" t="e">
        <f t="shared" si="0"/>
        <v>#DIV/0!</v>
      </c>
    </row>
    <row r="19" spans="1:18">
      <c r="A19" s="654"/>
      <c r="B19" s="655"/>
      <c r="C19" s="656">
        <f>'HOU_Multi Boil'!H21</f>
        <v>2050</v>
      </c>
      <c r="D19" s="662">
        <f>'HOU_Multi Boil'!J21</f>
        <v>0.97</v>
      </c>
      <c r="E19" s="658">
        <v>0.95</v>
      </c>
      <c r="F19" s="659">
        <f t="shared" si="2"/>
        <v>2.0618556701030966E-2</v>
      </c>
      <c r="G19" s="657">
        <f t="shared" si="8"/>
        <v>30</v>
      </c>
      <c r="H19" s="658">
        <f t="shared" si="8"/>
        <v>30</v>
      </c>
      <c r="I19" s="659">
        <f t="shared" si="3"/>
        <v>0</v>
      </c>
      <c r="J19" s="660">
        <f>'HOU_Multi Boil'!L21</f>
        <v>0.46096875000000004</v>
      </c>
      <c r="K19" s="661">
        <v>4.95425</v>
      </c>
      <c r="L19" s="659">
        <f t="shared" si="4"/>
        <v>-9.7474747474747474</v>
      </c>
      <c r="M19" s="662">
        <f>'HOU_Multi Boil'!M21</f>
        <v>4.0923781249999997E-3</v>
      </c>
      <c r="N19" s="663">
        <v>7.4499999999999997E-2</v>
      </c>
      <c r="O19" s="659">
        <f t="shared" si="5"/>
        <v>-17.204573899192173</v>
      </c>
      <c r="P19" s="657">
        <f>'HOU_Multi Boil'!N21</f>
        <v>0</v>
      </c>
      <c r="Q19" s="658">
        <v>0</v>
      </c>
      <c r="R19" s="659" t="e">
        <f t="shared" si="0"/>
        <v>#DIV/0!</v>
      </c>
    </row>
    <row r="20" spans="1:18">
      <c r="B20" s="150" t="s">
        <v>647</v>
      </c>
      <c r="C20" s="626"/>
      <c r="D20" s="637"/>
      <c r="E20" s="628"/>
      <c r="F20" s="636"/>
      <c r="G20" s="668"/>
      <c r="H20" s="665"/>
      <c r="I20" s="636"/>
      <c r="J20" s="638"/>
      <c r="K20" s="629"/>
      <c r="L20" s="636"/>
      <c r="M20" s="637"/>
      <c r="N20" s="628"/>
      <c r="O20" s="636"/>
      <c r="P20" s="638"/>
      <c r="Q20" s="628"/>
      <c r="R20" s="636"/>
    </row>
    <row r="21" spans="1:18">
      <c r="B21" s="622" t="s">
        <v>650</v>
      </c>
      <c r="C21" s="626"/>
      <c r="D21" s="637"/>
      <c r="E21" s="628"/>
      <c r="F21" s="636"/>
      <c r="G21" s="668"/>
      <c r="H21" s="665"/>
      <c r="I21" s="636"/>
      <c r="J21" s="638"/>
      <c r="K21" s="629"/>
      <c r="L21" s="636"/>
      <c r="M21" s="637"/>
      <c r="N21" s="628"/>
      <c r="O21" s="636"/>
      <c r="P21" s="638"/>
      <c r="Q21" s="628"/>
      <c r="R21" s="636"/>
    </row>
    <row r="22" spans="1:18">
      <c r="B22" s="622"/>
      <c r="C22" s="626"/>
      <c r="D22" s="637"/>
      <c r="E22" s="628"/>
      <c r="F22" s="636"/>
      <c r="G22" s="668"/>
      <c r="H22" s="665"/>
      <c r="I22" s="636"/>
      <c r="J22" s="638"/>
      <c r="K22" s="629"/>
      <c r="L22" s="636"/>
      <c r="M22" s="637"/>
      <c r="N22" s="628"/>
      <c r="O22" s="636"/>
      <c r="P22" s="638"/>
      <c r="Q22" s="628"/>
      <c r="R22" s="636"/>
    </row>
    <row r="23" spans="1:18">
      <c r="B23" s="622"/>
      <c r="C23" s="626"/>
      <c r="D23" s="637"/>
      <c r="E23" s="628"/>
      <c r="F23" s="636"/>
      <c r="G23" s="668"/>
      <c r="H23" s="665"/>
      <c r="I23" s="636"/>
      <c r="J23" s="638"/>
      <c r="K23" s="629"/>
      <c r="L23" s="636"/>
      <c r="M23" s="637"/>
      <c r="N23" s="628"/>
      <c r="O23" s="636"/>
      <c r="P23" s="638"/>
      <c r="Q23" s="628"/>
      <c r="R23" s="636"/>
    </row>
    <row r="24" spans="1:18">
      <c r="A24" s="642"/>
      <c r="B24" s="622" t="s">
        <v>648</v>
      </c>
      <c r="C24" s="643">
        <f>'HOU_Multi Boil'!H26</f>
        <v>2012</v>
      </c>
      <c r="D24" s="649">
        <f>'HOU_Multi Boil'!AA26</f>
        <v>3.875</v>
      </c>
      <c r="E24" s="650">
        <v>3</v>
      </c>
      <c r="F24" s="646">
        <f t="shared" si="2"/>
        <v>0.22580645161290325</v>
      </c>
      <c r="G24" s="669">
        <f>'HOU_Multi Boil'!K26</f>
        <v>15</v>
      </c>
      <c r="H24" s="666">
        <v>20</v>
      </c>
      <c r="I24" s="646">
        <f t="shared" si="3"/>
        <v>-0.33333333333333326</v>
      </c>
      <c r="J24" s="647">
        <f>'HOU_Multi Boil'!L26</f>
        <v>2.7937500000000002</v>
      </c>
      <c r="K24" s="648">
        <v>7.45</v>
      </c>
      <c r="L24" s="646">
        <f t="shared" si="4"/>
        <v>-1.6666666666666665</v>
      </c>
      <c r="M24" s="649">
        <f>'HOU_Multi Boil'!M26</f>
        <v>3.0544999999999996E-2</v>
      </c>
      <c r="N24" s="650">
        <v>7.45E-3</v>
      </c>
      <c r="O24" s="646">
        <f t="shared" si="5"/>
        <v>0.75609756097560976</v>
      </c>
      <c r="P24" s="647">
        <f>'HOU_Multi Boil'!N26</f>
        <v>1.0347222222222223</v>
      </c>
      <c r="Q24" s="650">
        <v>0</v>
      </c>
      <c r="R24" s="646">
        <f t="shared" si="0"/>
        <v>1</v>
      </c>
    </row>
    <row r="25" spans="1:18">
      <c r="A25" s="652"/>
      <c r="B25" s="622"/>
      <c r="C25" s="626">
        <f>'HOU_Multi Boil'!H27</f>
        <v>2020</v>
      </c>
      <c r="D25" s="637">
        <f>'HOU_Multi Boil'!AA27</f>
        <v>3.9750000000000001</v>
      </c>
      <c r="E25" s="628">
        <v>3.3</v>
      </c>
      <c r="F25" s="636">
        <f t="shared" si="2"/>
        <v>0.16981132075471705</v>
      </c>
      <c r="G25" s="668">
        <f t="shared" ref="G25:H27" si="9">G24</f>
        <v>15</v>
      </c>
      <c r="H25" s="665">
        <f t="shared" si="9"/>
        <v>20</v>
      </c>
      <c r="I25" s="636">
        <f t="shared" si="3"/>
        <v>-0.33333333333333326</v>
      </c>
      <c r="J25" s="638">
        <f>'HOU_Multi Boil'!L27</f>
        <v>2.626125</v>
      </c>
      <c r="K25" s="629">
        <v>7.45</v>
      </c>
      <c r="L25" s="636">
        <f t="shared" si="4"/>
        <v>-1.8368794326241136</v>
      </c>
      <c r="M25" s="637">
        <f>'HOU_Multi Boil'!M27</f>
        <v>3.0731250000000002E-2</v>
      </c>
      <c r="N25" s="628">
        <v>7.45E-3</v>
      </c>
      <c r="O25" s="636">
        <f t="shared" si="5"/>
        <v>0.75757575757575757</v>
      </c>
      <c r="P25" s="638">
        <f>'HOU_Multi Boil'!N27</f>
        <v>0.97263888888888872</v>
      </c>
      <c r="Q25" s="628">
        <v>0</v>
      </c>
      <c r="R25" s="636">
        <f t="shared" si="0"/>
        <v>1</v>
      </c>
    </row>
    <row r="26" spans="1:18">
      <c r="A26" s="652"/>
      <c r="B26" s="622"/>
      <c r="C26" s="626">
        <f>'HOU_Multi Boil'!H28</f>
        <v>2030</v>
      </c>
      <c r="D26" s="637">
        <f>'HOU_Multi Boil'!AA28</f>
        <v>4.0999999999999996</v>
      </c>
      <c r="E26" s="628">
        <v>3.7</v>
      </c>
      <c r="F26" s="636">
        <f t="shared" si="2"/>
        <v>9.7560975609755962E-2</v>
      </c>
      <c r="G26" s="668">
        <f t="shared" si="9"/>
        <v>15</v>
      </c>
      <c r="H26" s="665">
        <f t="shared" si="9"/>
        <v>20</v>
      </c>
      <c r="I26" s="636">
        <f t="shared" si="3"/>
        <v>-0.33333333333333326</v>
      </c>
      <c r="J26" s="638">
        <f>'HOU_Multi Boil'!L28</f>
        <v>2.3653750000000002</v>
      </c>
      <c r="K26" s="629">
        <v>6.7050000000000001</v>
      </c>
      <c r="L26" s="636">
        <f t="shared" si="4"/>
        <v>-1.8346456692913384</v>
      </c>
      <c r="M26" s="637">
        <f>'HOU_Multi Boil'!M28</f>
        <v>3.475425E-2</v>
      </c>
      <c r="N26" s="628">
        <v>7.45E-3</v>
      </c>
      <c r="O26" s="636">
        <f t="shared" si="5"/>
        <v>0.78563772775991425</v>
      </c>
      <c r="P26" s="638">
        <f>'HOU_Multi Boil'!N28</f>
        <v>0.86916666666666664</v>
      </c>
      <c r="Q26" s="628">
        <v>0</v>
      </c>
      <c r="R26" s="636">
        <f t="shared" si="0"/>
        <v>1</v>
      </c>
    </row>
    <row r="27" spans="1:18">
      <c r="A27" s="654"/>
      <c r="B27" s="655"/>
      <c r="C27" s="656">
        <f>'HOU_Multi Boil'!H29</f>
        <v>2050</v>
      </c>
      <c r="D27" s="662">
        <f>'HOU_Multi Boil'!AA29</f>
        <v>4.3250000000000002</v>
      </c>
      <c r="E27" s="663">
        <v>4</v>
      </c>
      <c r="F27" s="659">
        <f t="shared" si="2"/>
        <v>7.5144508670520249E-2</v>
      </c>
      <c r="G27" s="670">
        <f t="shared" si="9"/>
        <v>15</v>
      </c>
      <c r="H27" s="667">
        <f t="shared" si="9"/>
        <v>20</v>
      </c>
      <c r="I27" s="659">
        <f t="shared" si="3"/>
        <v>-0.33333333333333326</v>
      </c>
      <c r="J27" s="660">
        <f>'HOU_Multi Boil'!L29</f>
        <v>2.1232500000000001</v>
      </c>
      <c r="K27" s="661">
        <v>6.7050000000000001</v>
      </c>
      <c r="L27" s="659">
        <f t="shared" si="4"/>
        <v>-2.1578947368421053</v>
      </c>
      <c r="M27" s="662">
        <f>'HOU_Multi Boil'!M29</f>
        <v>4.4904874999999997E-2</v>
      </c>
      <c r="N27" s="663">
        <v>7.45E-3</v>
      </c>
      <c r="O27" s="659">
        <f t="shared" si="5"/>
        <v>0.83409373703857326</v>
      </c>
      <c r="P27" s="660">
        <f>'HOU_Multi Boil'!N29</f>
        <v>0.78638888888888892</v>
      </c>
      <c r="Q27" s="663">
        <v>0</v>
      </c>
      <c r="R27" s="659">
        <f t="shared" si="0"/>
        <v>1</v>
      </c>
    </row>
    <row r="28" spans="1:18">
      <c r="A28" s="642"/>
      <c r="B28" s="622" t="s">
        <v>649</v>
      </c>
      <c r="C28" s="643">
        <f>'HOU_Multi Boil'!H30</f>
        <v>2012</v>
      </c>
      <c r="D28" s="649">
        <f>'HOU_Multi Boil'!AA30</f>
        <v>4</v>
      </c>
      <c r="E28" s="650">
        <v>3.3</v>
      </c>
      <c r="F28" s="646">
        <f t="shared" si="2"/>
        <v>0.17500000000000004</v>
      </c>
      <c r="G28" s="669">
        <f>'HOU_Multi Boil'!K30</f>
        <v>15</v>
      </c>
      <c r="H28" s="666">
        <v>30</v>
      </c>
      <c r="I28" s="646">
        <f t="shared" si="3"/>
        <v>-1</v>
      </c>
      <c r="J28" s="647">
        <f>'HOU_Multi Boil'!L30</f>
        <v>4.9356249999999999</v>
      </c>
      <c r="K28" s="648">
        <v>8.1950000000000003</v>
      </c>
      <c r="L28" s="646">
        <f t="shared" si="4"/>
        <v>-0.66037735849056611</v>
      </c>
      <c r="M28" s="649">
        <f>'HOU_Multi Boil'!M30</f>
        <v>3.0544999999999996E-2</v>
      </c>
      <c r="N28" s="650">
        <v>7.45E-3</v>
      </c>
      <c r="O28" s="646">
        <f t="shared" si="5"/>
        <v>0.75609756097560976</v>
      </c>
      <c r="P28" s="647">
        <f>'HOU_Multi Boil'!N30</f>
        <v>1.341E-2</v>
      </c>
      <c r="Q28" s="650">
        <v>0</v>
      </c>
      <c r="R28" s="646">
        <f t="shared" si="0"/>
        <v>1</v>
      </c>
    </row>
    <row r="29" spans="1:18">
      <c r="A29" s="652"/>
      <c r="B29" s="622"/>
      <c r="C29" s="626">
        <f>'HOU_Multi Boil'!H31</f>
        <v>2020</v>
      </c>
      <c r="D29" s="637">
        <f>'HOU_Multi Boil'!AA31</f>
        <v>4.0999999999999996</v>
      </c>
      <c r="E29" s="628">
        <v>3.5</v>
      </c>
      <c r="F29" s="636">
        <f t="shared" si="2"/>
        <v>0.14634146341463405</v>
      </c>
      <c r="G29" s="668">
        <f t="shared" ref="G29:H31" si="10">G28</f>
        <v>15</v>
      </c>
      <c r="H29" s="665">
        <f t="shared" si="10"/>
        <v>30</v>
      </c>
      <c r="I29" s="636">
        <f t="shared" si="3"/>
        <v>-1</v>
      </c>
      <c r="J29" s="638">
        <f>'HOU_Multi Boil'!L31</f>
        <v>4.6376250000000008</v>
      </c>
      <c r="K29" s="629">
        <v>8.1950000000000003</v>
      </c>
      <c r="L29" s="636">
        <f t="shared" si="4"/>
        <v>-0.76706827309236925</v>
      </c>
      <c r="M29" s="637">
        <f>'HOU_Multi Boil'!M31</f>
        <v>3.0731250000000002E-2</v>
      </c>
      <c r="N29" s="628">
        <v>7.45E-3</v>
      </c>
      <c r="O29" s="636">
        <f t="shared" si="5"/>
        <v>0.75757575757575757</v>
      </c>
      <c r="P29" s="638">
        <f>'HOU_Multi Boil'!N31</f>
        <v>1.2605399999999999E-2</v>
      </c>
      <c r="Q29" s="628">
        <v>0</v>
      </c>
      <c r="R29" s="636">
        <f t="shared" si="0"/>
        <v>1</v>
      </c>
    </row>
    <row r="30" spans="1:18">
      <c r="A30" s="652"/>
      <c r="B30" s="622"/>
      <c r="C30" s="626">
        <f>'HOU_Multi Boil'!H32</f>
        <v>2030</v>
      </c>
      <c r="D30" s="637">
        <f>'HOU_Multi Boil'!AA32</f>
        <v>4.2</v>
      </c>
      <c r="E30" s="628">
        <v>4</v>
      </c>
      <c r="F30" s="636">
        <f t="shared" si="2"/>
        <v>4.7619047619047672E-2</v>
      </c>
      <c r="G30" s="668">
        <f t="shared" si="10"/>
        <v>15</v>
      </c>
      <c r="H30" s="665">
        <f t="shared" si="10"/>
        <v>30</v>
      </c>
      <c r="I30" s="636">
        <f t="shared" si="3"/>
        <v>-1</v>
      </c>
      <c r="J30" s="638">
        <f>'HOU_Multi Boil'!L32</f>
        <v>4.1720000000000006</v>
      </c>
      <c r="K30" s="629">
        <v>7.45</v>
      </c>
      <c r="L30" s="636">
        <f t="shared" si="4"/>
        <v>-0.78571428571428559</v>
      </c>
      <c r="M30" s="637">
        <f>'HOU_Multi Boil'!M32</f>
        <v>3.475425E-2</v>
      </c>
      <c r="N30" s="628">
        <v>7.45E-3</v>
      </c>
      <c r="O30" s="636">
        <f t="shared" si="5"/>
        <v>0.78563772775991425</v>
      </c>
      <c r="P30" s="638">
        <f>'HOU_Multi Boil'!N32</f>
        <v>1.1264400000000001E-2</v>
      </c>
      <c r="Q30" s="628">
        <v>0</v>
      </c>
      <c r="R30" s="636">
        <f t="shared" si="0"/>
        <v>1</v>
      </c>
    </row>
    <row r="31" spans="1:18">
      <c r="A31" s="654"/>
      <c r="B31" s="655"/>
      <c r="C31" s="656">
        <f>'HOU_Multi Boil'!H33</f>
        <v>2050</v>
      </c>
      <c r="D31" s="662">
        <f>'HOU_Multi Boil'!AA33</f>
        <v>4.4000000000000004</v>
      </c>
      <c r="E31" s="663">
        <v>4.5</v>
      </c>
      <c r="F31" s="659">
        <f t="shared" si="2"/>
        <v>-2.2727272727272707E-2</v>
      </c>
      <c r="G31" s="670">
        <f t="shared" si="10"/>
        <v>15</v>
      </c>
      <c r="H31" s="667">
        <f t="shared" si="10"/>
        <v>30</v>
      </c>
      <c r="I31" s="659">
        <f t="shared" si="3"/>
        <v>-1</v>
      </c>
      <c r="J31" s="660">
        <f>'HOU_Multi Boil'!L33</f>
        <v>3.7622500000000003</v>
      </c>
      <c r="K31" s="661">
        <v>6.7050000000000001</v>
      </c>
      <c r="L31" s="659">
        <f t="shared" si="4"/>
        <v>-0.78217821782178198</v>
      </c>
      <c r="M31" s="662">
        <f>'HOU_Multi Boil'!M33</f>
        <v>4.4904874999999997E-2</v>
      </c>
      <c r="N31" s="663">
        <v>7.45E-3</v>
      </c>
      <c r="O31" s="659">
        <f t="shared" si="5"/>
        <v>0.83409373703857326</v>
      </c>
      <c r="P31" s="660">
        <f>'HOU_Multi Boil'!N33</f>
        <v>1.01916E-2</v>
      </c>
      <c r="Q31" s="663">
        <v>0</v>
      </c>
      <c r="R31" s="659">
        <f t="shared" si="0"/>
        <v>1</v>
      </c>
    </row>
    <row r="32" spans="1:18">
      <c r="A32" s="642"/>
      <c r="B32" s="622" t="s">
        <v>651</v>
      </c>
      <c r="C32" s="643">
        <f>'HOU_Multi Boil'!H42</f>
        <v>2012</v>
      </c>
      <c r="D32" s="644">
        <f>'HOU_Multi Boil'!J42</f>
        <v>0.97</v>
      </c>
      <c r="E32" s="645">
        <v>1</v>
      </c>
      <c r="F32" s="646">
        <f t="shared" si="2"/>
        <v>-3.0927835051546504E-2</v>
      </c>
      <c r="G32" s="644">
        <f>'HOU_Multi Boil'!K42</f>
        <v>20</v>
      </c>
      <c r="H32" s="645">
        <v>20</v>
      </c>
      <c r="I32" s="646">
        <f t="shared" si="3"/>
        <v>0</v>
      </c>
      <c r="J32" s="647">
        <f>'HOU_Multi Boil'!L42</f>
        <v>4.5714285714285721</v>
      </c>
      <c r="K32" s="648">
        <v>4.7892857142857146</v>
      </c>
      <c r="L32" s="646">
        <f t="shared" si="4"/>
        <v>-4.7656249999999956E-2</v>
      </c>
      <c r="M32" s="786">
        <f>'HOU_Multi Boil'!M42</f>
        <v>1.0642857142857143E-2</v>
      </c>
      <c r="N32" s="787">
        <v>5.3214285714285716E-3</v>
      </c>
      <c r="O32" s="646">
        <f t="shared" si="5"/>
        <v>0.5</v>
      </c>
      <c r="P32" s="647">
        <f>'HOU_Multi Boil'!N42</f>
        <v>4.9940122174770618</v>
      </c>
      <c r="Q32" s="648">
        <v>44.648208078628784</v>
      </c>
      <c r="R32" s="646">
        <f t="shared" si="0"/>
        <v>-7.9403481878513968</v>
      </c>
    </row>
    <row r="33" spans="1:18">
      <c r="A33" s="652"/>
      <c r="B33" s="622"/>
      <c r="C33" s="626">
        <f>'HOU_Multi Boil'!H43</f>
        <v>2020</v>
      </c>
      <c r="D33" s="635">
        <f>'HOU_Multi Boil'!J43</f>
        <v>0.97</v>
      </c>
      <c r="E33" s="627">
        <v>1</v>
      </c>
      <c r="F33" s="636">
        <f t="shared" si="2"/>
        <v>-3.0927835051546504E-2</v>
      </c>
      <c r="G33" s="635">
        <f>'HOU_Multi Boil'!K43</f>
        <v>25</v>
      </c>
      <c r="H33" s="627">
        <v>25</v>
      </c>
      <c r="I33" s="636">
        <f t="shared" si="3"/>
        <v>0</v>
      </c>
      <c r="J33" s="638">
        <f>'HOU_Multi Boil'!L43</f>
        <v>4.2857142857142856</v>
      </c>
      <c r="K33" s="629">
        <v>4.7892857142857146</v>
      </c>
      <c r="L33" s="636">
        <f t="shared" si="4"/>
        <v>-0.11750000000000016</v>
      </c>
      <c r="M33" s="788">
        <f>'HOU_Multi Boil'!M43</f>
        <v>1.0379433158225671E-2</v>
      </c>
      <c r="N33" s="789">
        <v>5.3214285714285716E-3</v>
      </c>
      <c r="O33" s="636">
        <f t="shared" si="5"/>
        <v>0.48731029042647145</v>
      </c>
      <c r="P33" s="638">
        <f>'HOU_Multi Boil'!N43</f>
        <v>5.1713910859307095</v>
      </c>
      <c r="Q33" s="629">
        <v>44.648208078628784</v>
      </c>
      <c r="R33" s="636">
        <f t="shared" si="0"/>
        <v>-7.6336939784149624</v>
      </c>
    </row>
    <row r="34" spans="1:18">
      <c r="A34" s="652"/>
      <c r="B34" s="622"/>
      <c r="C34" s="626">
        <f>'HOU_Multi Boil'!H44</f>
        <v>2030</v>
      </c>
      <c r="D34" s="635">
        <f>'HOU_Multi Boil'!J44</f>
        <v>0.97</v>
      </c>
      <c r="E34" s="627">
        <v>1</v>
      </c>
      <c r="F34" s="636">
        <f t="shared" si="2"/>
        <v>-3.0927835051546504E-2</v>
      </c>
      <c r="G34" s="635">
        <f>'HOU_Multi Boil'!K44</f>
        <v>30</v>
      </c>
      <c r="H34" s="627">
        <v>30</v>
      </c>
      <c r="I34" s="636">
        <f t="shared" si="3"/>
        <v>0</v>
      </c>
      <c r="J34" s="638">
        <f>'HOU_Multi Boil'!L44</f>
        <v>3.9285714285714284</v>
      </c>
      <c r="K34" s="629">
        <v>4.7892857142857146</v>
      </c>
      <c r="L34" s="636">
        <f t="shared" si="4"/>
        <v>-0.21909090909090922</v>
      </c>
      <c r="M34" s="788">
        <f>'HOU_Multi Boil'!M44</f>
        <v>9.8446428571428574E-3</v>
      </c>
      <c r="N34" s="789">
        <v>5.3214285714285716E-3</v>
      </c>
      <c r="O34" s="636">
        <f t="shared" si="5"/>
        <v>0.45945945945945943</v>
      </c>
      <c r="P34" s="638">
        <f>'HOU_Multi Boil'!N44</f>
        <v>7.0455784617250172</v>
      </c>
      <c r="Q34" s="629">
        <v>44.648208078628784</v>
      </c>
      <c r="R34" s="636">
        <f t="shared" si="0"/>
        <v>-5.3370535607799132</v>
      </c>
    </row>
    <row r="35" spans="1:18">
      <c r="A35" s="654"/>
      <c r="B35" s="655"/>
      <c r="C35" s="656">
        <f>'HOU_Multi Boil'!H45</f>
        <v>2050</v>
      </c>
      <c r="D35" s="657">
        <f>'HOU_Multi Boil'!J45</f>
        <v>0.97</v>
      </c>
      <c r="E35" s="658">
        <v>1</v>
      </c>
      <c r="F35" s="659">
        <f t="shared" si="2"/>
        <v>-3.0927835051546504E-2</v>
      </c>
      <c r="G35" s="657">
        <f>'HOU_Multi Boil'!K45</f>
        <v>30</v>
      </c>
      <c r="H35" s="658">
        <v>30</v>
      </c>
      <c r="I35" s="659">
        <f t="shared" si="3"/>
        <v>0</v>
      </c>
      <c r="J35" s="660">
        <f>'HOU_Multi Boil'!L45</f>
        <v>3.5714285714285716</v>
      </c>
      <c r="K35" s="661">
        <v>4.7892857142857146</v>
      </c>
      <c r="L35" s="659">
        <f t="shared" si="4"/>
        <v>-0.34099999999999997</v>
      </c>
      <c r="M35" s="790">
        <f>'HOU_Multi Boil'!M45</f>
        <v>9.0464285714285716E-3</v>
      </c>
      <c r="N35" s="791">
        <v>5.3214285714285716E-3</v>
      </c>
      <c r="O35" s="659">
        <f t="shared" si="5"/>
        <v>0.41176470588235292</v>
      </c>
      <c r="P35" s="660">
        <f>'HOU_Multi Boil'!N45</f>
        <v>10.261901153232486</v>
      </c>
      <c r="Q35" s="661">
        <v>44.648208078628784</v>
      </c>
      <c r="R35" s="659">
        <f t="shared" si="0"/>
        <v>-3.3508709947537012</v>
      </c>
    </row>
    <row r="36" spans="1:18">
      <c r="A36" s="642"/>
      <c r="B36" s="622" t="s">
        <v>652</v>
      </c>
      <c r="C36" s="643">
        <f>'HOU_Multi Boil'!H46</f>
        <v>2012</v>
      </c>
      <c r="D36" s="644">
        <f>'HOU_Multi Boil'!AA46</f>
        <v>1.35</v>
      </c>
      <c r="E36" s="645">
        <v>1.35</v>
      </c>
      <c r="F36" s="646">
        <f t="shared" si="2"/>
        <v>0</v>
      </c>
      <c r="G36" s="644">
        <f>'HOU_Multi Boil'!K46</f>
        <v>20</v>
      </c>
      <c r="H36" s="645">
        <v>22</v>
      </c>
      <c r="I36" s="646">
        <f t="shared" si="3"/>
        <v>-0.10000000000000009</v>
      </c>
      <c r="J36" s="647">
        <f>'HOU_Multi Boil'!L46</f>
        <v>3.0477272727272728</v>
      </c>
      <c r="K36" s="648">
        <v>3.0477272727272724</v>
      </c>
      <c r="L36" s="646">
        <f t="shared" si="4"/>
        <v>0</v>
      </c>
      <c r="M36" s="649">
        <f>'HOU_Multi Boil'!M46</f>
        <v>3.9789772727272729E-2</v>
      </c>
      <c r="N36" s="650">
        <v>2.2857954545454546E-2</v>
      </c>
      <c r="O36" s="646">
        <f t="shared" si="5"/>
        <v>0.42553191489361708</v>
      </c>
      <c r="P36" s="647">
        <f>'HOU_Multi Boil'!N46</f>
        <v>0</v>
      </c>
      <c r="Q36" s="648">
        <v>1.2934027777777777</v>
      </c>
      <c r="R36" s="646" t="e">
        <f t="shared" si="0"/>
        <v>#DIV/0!</v>
      </c>
    </row>
    <row r="37" spans="1:18">
      <c r="A37" s="652"/>
      <c r="B37" s="622"/>
      <c r="C37" s="626">
        <f>'HOU_Multi Boil'!H47</f>
        <v>2020</v>
      </c>
      <c r="D37" s="635">
        <f>'HOU_Multi Boil'!AA47</f>
        <v>1.45</v>
      </c>
      <c r="E37" s="627">
        <v>1.45</v>
      </c>
      <c r="F37" s="636">
        <f t="shared" si="2"/>
        <v>0</v>
      </c>
      <c r="G37" s="635">
        <f t="shared" ref="G37:H39" si="11">G36</f>
        <v>20</v>
      </c>
      <c r="H37" s="627">
        <f t="shared" si="11"/>
        <v>22</v>
      </c>
      <c r="I37" s="636">
        <f t="shared" si="3"/>
        <v>-0.10000000000000009</v>
      </c>
      <c r="J37" s="638">
        <f>'HOU_Multi Boil'!L47</f>
        <v>1.5831249999999999</v>
      </c>
      <c r="K37" s="629">
        <v>1.67625</v>
      </c>
      <c r="L37" s="636">
        <f t="shared" si="4"/>
        <v>-5.8823529411764719E-2</v>
      </c>
      <c r="M37" s="637">
        <f>'HOU_Multi Boil'!M47</f>
        <v>2.1884375000000001E-2</v>
      </c>
      <c r="N37" s="628">
        <v>1.2571875E-2</v>
      </c>
      <c r="O37" s="636">
        <f t="shared" si="5"/>
        <v>0.42553191489361708</v>
      </c>
      <c r="P37" s="638">
        <f>'HOU_Multi Boil'!N47</f>
        <v>0</v>
      </c>
      <c r="Q37" s="629">
        <v>1.2934027777777777</v>
      </c>
      <c r="R37" s="636" t="e">
        <f t="shared" si="0"/>
        <v>#DIV/0!</v>
      </c>
    </row>
    <row r="38" spans="1:18">
      <c r="A38" s="652"/>
      <c r="B38" s="622"/>
      <c r="C38" s="626">
        <f>'HOU_Multi Boil'!H48</f>
        <v>2030</v>
      </c>
      <c r="D38" s="635">
        <f>'HOU_Multi Boil'!AA48</f>
        <v>1.7</v>
      </c>
      <c r="E38" s="627">
        <v>1.7</v>
      </c>
      <c r="F38" s="636">
        <f t="shared" si="2"/>
        <v>0</v>
      </c>
      <c r="G38" s="635">
        <f t="shared" si="11"/>
        <v>20</v>
      </c>
      <c r="H38" s="627">
        <f t="shared" si="11"/>
        <v>22</v>
      </c>
      <c r="I38" s="636">
        <f t="shared" si="3"/>
        <v>-0.10000000000000009</v>
      </c>
      <c r="J38" s="638">
        <f>'HOU_Multi Boil'!L48</f>
        <v>1.3968750000000001</v>
      </c>
      <c r="K38" s="629">
        <v>1.5831249999999999</v>
      </c>
      <c r="L38" s="636">
        <f t="shared" si="4"/>
        <v>-0.13333333333333308</v>
      </c>
      <c r="M38" s="637">
        <f>'HOU_Multi Boil'!M48</f>
        <v>2.1884375000000001E-2</v>
      </c>
      <c r="N38" s="628">
        <v>1.2571875E-2</v>
      </c>
      <c r="O38" s="636">
        <f t="shared" si="5"/>
        <v>0.42553191489361708</v>
      </c>
      <c r="P38" s="638">
        <f>'HOU_Multi Boil'!N48</f>
        <v>0</v>
      </c>
      <c r="Q38" s="629">
        <v>1.2934027777777777</v>
      </c>
      <c r="R38" s="636" t="e">
        <f t="shared" si="0"/>
        <v>#DIV/0!</v>
      </c>
    </row>
    <row r="39" spans="1:18">
      <c r="A39" s="654"/>
      <c r="B39" s="655"/>
      <c r="C39" s="656">
        <f>'HOU_Multi Boil'!H49</f>
        <v>2050</v>
      </c>
      <c r="D39" s="657">
        <f>'HOU_Multi Boil'!AA49</f>
        <v>1.7</v>
      </c>
      <c r="E39" s="658">
        <v>1.7</v>
      </c>
      <c r="F39" s="659">
        <f t="shared" si="2"/>
        <v>0</v>
      </c>
      <c r="G39" s="657">
        <f t="shared" si="11"/>
        <v>20</v>
      </c>
      <c r="H39" s="658">
        <f t="shared" si="11"/>
        <v>22</v>
      </c>
      <c r="I39" s="659">
        <f t="shared" si="3"/>
        <v>-0.10000000000000009</v>
      </c>
      <c r="J39" s="660">
        <f>'HOU_Multi Boil'!L49</f>
        <v>1.30375</v>
      </c>
      <c r="K39" s="661">
        <v>1.5831249999999999</v>
      </c>
      <c r="L39" s="659">
        <f t="shared" si="4"/>
        <v>-0.21428571428571419</v>
      </c>
      <c r="M39" s="662">
        <f>'HOU_Multi Boil'!M49</f>
        <v>2.1884375000000001E-2</v>
      </c>
      <c r="N39" s="663">
        <v>1.2571875E-2</v>
      </c>
      <c r="O39" s="659">
        <f t="shared" si="5"/>
        <v>0.42553191489361708</v>
      </c>
      <c r="P39" s="660">
        <f>'HOU_Multi Boil'!N49</f>
        <v>0</v>
      </c>
      <c r="Q39" s="661">
        <v>1.2934027777777777</v>
      </c>
      <c r="R39" s="659" t="e">
        <f t="shared" si="0"/>
        <v>#DIV/0!</v>
      </c>
    </row>
    <row r="40" spans="1:18">
      <c r="A40" s="642"/>
      <c r="B40" s="622" t="s">
        <v>653</v>
      </c>
      <c r="C40" s="643">
        <f>'HOU_Multi Boil'!H50</f>
        <v>2012</v>
      </c>
      <c r="D40" s="644">
        <f>'HOU_Multi Boil'!AA50</f>
        <v>1.35</v>
      </c>
      <c r="E40" s="645">
        <v>1.35</v>
      </c>
      <c r="F40" s="646">
        <f t="shared" si="2"/>
        <v>0</v>
      </c>
      <c r="G40" s="644">
        <f>'HOU_Multi Boil'!K50</f>
        <v>20</v>
      </c>
      <c r="H40" s="645">
        <v>22</v>
      </c>
      <c r="I40" s="646">
        <f t="shared" si="3"/>
        <v>-0.10000000000000009</v>
      </c>
      <c r="J40" s="647">
        <f>'HOU_Multi Boil'!L50</f>
        <v>5.5875000000000004</v>
      </c>
      <c r="K40" s="648">
        <v>5.5875000000000004</v>
      </c>
      <c r="L40" s="646">
        <f t="shared" si="4"/>
        <v>0</v>
      </c>
      <c r="M40" s="649">
        <f>'HOU_Multi Boil'!M50</f>
        <v>3.9789772727272729E-2</v>
      </c>
      <c r="N40" s="650">
        <v>2.2857954545454546E-2</v>
      </c>
      <c r="O40" s="646">
        <f t="shared" si="5"/>
        <v>0.42553191489361708</v>
      </c>
      <c r="P40" s="647">
        <f>'HOU_Multi Boil'!N50</f>
        <v>0</v>
      </c>
      <c r="Q40" s="648">
        <v>2.6129349046015711</v>
      </c>
      <c r="R40" s="646" t="e">
        <f t="shared" si="0"/>
        <v>#DIV/0!</v>
      </c>
    </row>
    <row r="41" spans="1:18">
      <c r="A41" s="652"/>
      <c r="B41" s="622"/>
      <c r="C41" s="626">
        <f>'HOU_Multi Boil'!H51</f>
        <v>2020</v>
      </c>
      <c r="D41" s="635">
        <f>'HOU_Multi Boil'!AA51</f>
        <v>1.45</v>
      </c>
      <c r="E41" s="627">
        <v>1.45</v>
      </c>
      <c r="F41" s="636">
        <f t="shared" si="2"/>
        <v>0</v>
      </c>
      <c r="G41" s="635">
        <f t="shared" ref="G41:H43" si="12">G40</f>
        <v>20</v>
      </c>
      <c r="H41" s="627">
        <f t="shared" si="12"/>
        <v>22</v>
      </c>
      <c r="I41" s="636">
        <f t="shared" si="3"/>
        <v>-0.10000000000000009</v>
      </c>
      <c r="J41" s="638">
        <f>'HOU_Multi Boil'!L51</f>
        <v>2.8887375</v>
      </c>
      <c r="K41" s="629">
        <v>3.0731250000000001</v>
      </c>
      <c r="L41" s="636">
        <f t="shared" si="4"/>
        <v>-6.3829787234042534E-2</v>
      </c>
      <c r="M41" s="637">
        <f>'HOU_Multi Boil'!M51</f>
        <v>2.1884375000000001E-2</v>
      </c>
      <c r="N41" s="628">
        <v>1.2571875E-2</v>
      </c>
      <c r="O41" s="636">
        <f t="shared" si="5"/>
        <v>0.42553191489361708</v>
      </c>
      <c r="P41" s="638">
        <f>'HOU_Multi Boil'!N51</f>
        <v>0</v>
      </c>
      <c r="Q41" s="629">
        <v>1.4371141975308643</v>
      </c>
      <c r="R41" s="636" t="e">
        <f t="shared" si="0"/>
        <v>#DIV/0!</v>
      </c>
    </row>
    <row r="42" spans="1:18">
      <c r="A42" s="652"/>
      <c r="B42" s="622"/>
      <c r="C42" s="626">
        <f>'HOU_Multi Boil'!H52</f>
        <v>2030</v>
      </c>
      <c r="D42" s="635">
        <f>'HOU_Multi Boil'!AA52</f>
        <v>1.7</v>
      </c>
      <c r="E42" s="627">
        <v>1.7</v>
      </c>
      <c r="F42" s="636">
        <f t="shared" si="2"/>
        <v>0</v>
      </c>
      <c r="G42" s="635">
        <f t="shared" si="12"/>
        <v>20</v>
      </c>
      <c r="H42" s="627">
        <f t="shared" si="12"/>
        <v>22</v>
      </c>
      <c r="I42" s="636">
        <f t="shared" si="3"/>
        <v>-0.10000000000000009</v>
      </c>
      <c r="J42" s="638">
        <f>'HOU_Multi Boil'!L52</f>
        <v>2.5998637499999999</v>
      </c>
      <c r="K42" s="629">
        <v>2.98</v>
      </c>
      <c r="L42" s="636">
        <f t="shared" si="4"/>
        <v>-0.14621391217135904</v>
      </c>
      <c r="M42" s="637">
        <f>'HOU_Multi Boil'!M52</f>
        <v>2.1884375000000001E-2</v>
      </c>
      <c r="N42" s="628">
        <v>1.2571875E-2</v>
      </c>
      <c r="O42" s="636">
        <f t="shared" si="5"/>
        <v>0.42553191489361708</v>
      </c>
      <c r="P42" s="638">
        <f>'HOU_Multi Boil'!N52</f>
        <v>0</v>
      </c>
      <c r="Q42" s="629">
        <v>1.4371141975308643</v>
      </c>
      <c r="R42" s="636" t="e">
        <f t="shared" si="0"/>
        <v>#DIV/0!</v>
      </c>
    </row>
    <row r="43" spans="1:18">
      <c r="A43" s="654"/>
      <c r="B43" s="655"/>
      <c r="C43" s="656">
        <f>'HOU_Multi Boil'!H53</f>
        <v>2050</v>
      </c>
      <c r="D43" s="657">
        <f>'HOU_Multi Boil'!AA53</f>
        <v>1.7</v>
      </c>
      <c r="E43" s="658">
        <v>1.7</v>
      </c>
      <c r="F43" s="659">
        <f t="shared" si="2"/>
        <v>0</v>
      </c>
      <c r="G43" s="657">
        <f t="shared" si="12"/>
        <v>20</v>
      </c>
      <c r="H43" s="658">
        <f t="shared" si="12"/>
        <v>22</v>
      </c>
      <c r="I43" s="659">
        <f t="shared" si="3"/>
        <v>-0.10000000000000009</v>
      </c>
      <c r="J43" s="660">
        <f>'HOU_Multi Boil'!L53</f>
        <v>2.3398773749999999</v>
      </c>
      <c r="K43" s="661">
        <v>2.98</v>
      </c>
      <c r="L43" s="659">
        <f t="shared" si="4"/>
        <v>-0.27357101352373214</v>
      </c>
      <c r="M43" s="662">
        <f>'HOU_Multi Boil'!M53</f>
        <v>2.1884375000000001E-2</v>
      </c>
      <c r="N43" s="663">
        <v>1.2571875E-2</v>
      </c>
      <c r="O43" s="659">
        <f t="shared" si="5"/>
        <v>0.42553191489361708</v>
      </c>
      <c r="P43" s="660">
        <f>'HOU_Multi Boil'!N53</f>
        <v>0</v>
      </c>
      <c r="Q43" s="661">
        <v>1.4371141975308643</v>
      </c>
      <c r="R43" s="659" t="e">
        <f t="shared" si="0"/>
        <v>#DIV/0!</v>
      </c>
    </row>
    <row r="44" spans="1:18">
      <c r="A44" s="642"/>
      <c r="B44" s="622" t="s">
        <v>654</v>
      </c>
      <c r="C44" s="643">
        <f>'HOU_Multi Boil'!H54</f>
        <v>2015</v>
      </c>
      <c r="D44" s="644">
        <f>'HOU_Multi Boil'!AA54</f>
        <v>1.5</v>
      </c>
      <c r="E44" s="645">
        <v>1.5</v>
      </c>
      <c r="F44" s="646">
        <f t="shared" si="2"/>
        <v>0</v>
      </c>
      <c r="G44" s="644">
        <f>'HOU_Multi Boil'!K54</f>
        <v>15</v>
      </c>
      <c r="H44" s="645">
        <v>12.5</v>
      </c>
      <c r="I44" s="646">
        <f t="shared" si="3"/>
        <v>0.16666666666666663</v>
      </c>
      <c r="J44" s="647">
        <f>'HOU_Multi Boil'!L54</f>
        <v>2.831</v>
      </c>
      <c r="K44" s="648">
        <v>8.0459999999999994</v>
      </c>
      <c r="L44" s="646">
        <f t="shared" si="4"/>
        <v>-1.8421052631578947</v>
      </c>
      <c r="M44" s="649">
        <f>'HOU_Multi Boil'!M54</f>
        <v>3.5015000000000004E-2</v>
      </c>
      <c r="N44" s="650">
        <v>2.0114999999999997E-2</v>
      </c>
      <c r="O44" s="646">
        <f t="shared" si="5"/>
        <v>0.42553191489361719</v>
      </c>
      <c r="P44" s="647">
        <f>'HOU_Multi Boil'!N54</f>
        <v>0</v>
      </c>
      <c r="Q44" s="648">
        <v>2.2993827160493829</v>
      </c>
      <c r="R44" s="646" t="e">
        <f t="shared" si="0"/>
        <v>#DIV/0!</v>
      </c>
    </row>
    <row r="45" spans="1:18">
      <c r="A45" s="652"/>
      <c r="B45" s="622"/>
      <c r="C45" s="626">
        <f>'HOU_Multi Boil'!H55</f>
        <v>2020</v>
      </c>
      <c r="D45" s="635">
        <f>'HOU_Multi Boil'!AA55</f>
        <v>1.55</v>
      </c>
      <c r="E45" s="627">
        <v>1.55</v>
      </c>
      <c r="F45" s="636">
        <f t="shared" si="2"/>
        <v>0</v>
      </c>
      <c r="G45" s="635">
        <f t="shared" ref="G45:H47" si="13">G44</f>
        <v>15</v>
      </c>
      <c r="H45" s="627">
        <f t="shared" si="13"/>
        <v>12.5</v>
      </c>
      <c r="I45" s="636">
        <f t="shared" si="3"/>
        <v>0.16666666666666663</v>
      </c>
      <c r="J45" s="638">
        <f>'HOU_Multi Boil'!L55</f>
        <v>2.6611399999999996</v>
      </c>
      <c r="K45" s="629">
        <v>8.0459999999999994</v>
      </c>
      <c r="L45" s="636">
        <f t="shared" si="4"/>
        <v>-2.0235162374020157</v>
      </c>
      <c r="M45" s="637">
        <f>'HOU_Multi Boil'!M55</f>
        <v>3.5015000000000004E-2</v>
      </c>
      <c r="N45" s="628">
        <v>2.0114999999999997E-2</v>
      </c>
      <c r="O45" s="636">
        <f t="shared" si="5"/>
        <v>0.42553191489361719</v>
      </c>
      <c r="P45" s="638">
        <f>'HOU_Multi Boil'!N55</f>
        <v>0</v>
      </c>
      <c r="Q45" s="629">
        <v>2.2993827160493829</v>
      </c>
      <c r="R45" s="636" t="e">
        <f t="shared" si="0"/>
        <v>#DIV/0!</v>
      </c>
    </row>
    <row r="46" spans="1:18">
      <c r="A46" s="652"/>
      <c r="B46" s="622"/>
      <c r="C46" s="626">
        <f>'HOU_Multi Boil'!H56</f>
        <v>2030</v>
      </c>
      <c r="D46" s="635">
        <f>'HOU_Multi Boil'!AA56</f>
        <v>1.55</v>
      </c>
      <c r="E46" s="627">
        <v>1.55</v>
      </c>
      <c r="F46" s="636">
        <f t="shared" si="2"/>
        <v>0</v>
      </c>
      <c r="G46" s="635">
        <f t="shared" si="13"/>
        <v>15</v>
      </c>
      <c r="H46" s="627">
        <f t="shared" si="13"/>
        <v>12.5</v>
      </c>
      <c r="I46" s="636">
        <f t="shared" si="3"/>
        <v>0.16666666666666663</v>
      </c>
      <c r="J46" s="638">
        <f>'HOU_Multi Boil'!L56</f>
        <v>2.3950260000000005</v>
      </c>
      <c r="K46" s="629">
        <v>8.0459999999999994</v>
      </c>
      <c r="L46" s="636">
        <f t="shared" si="4"/>
        <v>-2.3594624860022386</v>
      </c>
      <c r="M46" s="637">
        <f>'HOU_Multi Boil'!M56</f>
        <v>3.5015000000000004E-2</v>
      </c>
      <c r="N46" s="628">
        <v>2.0114999999999997E-2</v>
      </c>
      <c r="O46" s="636">
        <f t="shared" si="5"/>
        <v>0.42553191489361719</v>
      </c>
      <c r="P46" s="638">
        <f>'HOU_Multi Boil'!N56</f>
        <v>0</v>
      </c>
      <c r="Q46" s="629">
        <v>2.2993827160493829</v>
      </c>
      <c r="R46" s="636" t="e">
        <f t="shared" si="0"/>
        <v>#DIV/0!</v>
      </c>
    </row>
    <row r="47" spans="1:18">
      <c r="A47" s="654"/>
      <c r="B47" s="655"/>
      <c r="C47" s="656">
        <f>'HOU_Multi Boil'!H57</f>
        <v>2050</v>
      </c>
      <c r="D47" s="657">
        <f>'HOU_Multi Boil'!AA57</f>
        <v>1.6</v>
      </c>
      <c r="E47" s="658">
        <v>1.6</v>
      </c>
      <c r="F47" s="659">
        <f t="shared" si="2"/>
        <v>0</v>
      </c>
      <c r="G47" s="657">
        <f t="shared" si="13"/>
        <v>15</v>
      </c>
      <c r="H47" s="658">
        <f t="shared" si="13"/>
        <v>12.5</v>
      </c>
      <c r="I47" s="659">
        <f t="shared" si="3"/>
        <v>0.16666666666666663</v>
      </c>
      <c r="J47" s="660">
        <f>'HOU_Multi Boil'!L57</f>
        <v>2.1555234000000003</v>
      </c>
      <c r="K47" s="661">
        <v>8.0459999999999994</v>
      </c>
      <c r="L47" s="659">
        <f t="shared" si="4"/>
        <v>-2.7327360955580433</v>
      </c>
      <c r="M47" s="662">
        <f>'HOU_Multi Boil'!M57</f>
        <v>3.5015000000000004E-2</v>
      </c>
      <c r="N47" s="663">
        <v>2.0114999999999997E-2</v>
      </c>
      <c r="O47" s="659">
        <f t="shared" si="5"/>
        <v>0.42553191489361719</v>
      </c>
      <c r="P47" s="660">
        <f>'HOU_Multi Boil'!N57</f>
        <v>0</v>
      </c>
      <c r="Q47" s="661">
        <v>2.2993827160493829</v>
      </c>
      <c r="R47" s="659" t="e">
        <f t="shared" si="0"/>
        <v>#DIV/0!</v>
      </c>
    </row>
    <row r="48" spans="1:18">
      <c r="A48" s="642"/>
      <c r="B48" s="622" t="s">
        <v>655</v>
      </c>
      <c r="C48" s="643">
        <f>'HOU_Multi Boil'!H58</f>
        <v>2015</v>
      </c>
      <c r="D48" s="644">
        <f>'HOU_Multi Boil'!AA58</f>
        <v>1.5</v>
      </c>
      <c r="E48" s="645">
        <v>1.5</v>
      </c>
      <c r="F48" s="646">
        <f t="shared" si="2"/>
        <v>0</v>
      </c>
      <c r="G48" s="644">
        <f>'HOU_Multi Boil'!K58</f>
        <v>15</v>
      </c>
      <c r="H48" s="645">
        <v>12.5</v>
      </c>
      <c r="I48" s="646">
        <f t="shared" si="3"/>
        <v>0.16666666666666663</v>
      </c>
      <c r="J48" s="647">
        <f>'HOU_Multi Boil'!L58</f>
        <v>2.831</v>
      </c>
      <c r="K48" s="648">
        <v>10.281000000000001</v>
      </c>
      <c r="L48" s="646">
        <f t="shared" si="4"/>
        <v>-2.6315789473684212</v>
      </c>
      <c r="M48" s="649">
        <f>'HOU_Multi Boil'!M58</f>
        <v>3.5015000000000004E-2</v>
      </c>
      <c r="N48" s="650">
        <v>2.0114999999999997E-2</v>
      </c>
      <c r="O48" s="646">
        <f t="shared" si="5"/>
        <v>0.42553191489361719</v>
      </c>
      <c r="P48" s="647">
        <f>'HOU_Multi Boil'!N58</f>
        <v>0</v>
      </c>
      <c r="Q48" s="648">
        <v>2.2993827160493829</v>
      </c>
      <c r="R48" s="646" t="e">
        <f t="shared" si="0"/>
        <v>#DIV/0!</v>
      </c>
    </row>
    <row r="49" spans="1:18">
      <c r="A49" s="652"/>
      <c r="B49" s="622"/>
      <c r="C49" s="626">
        <f>'HOU_Multi Boil'!H59</f>
        <v>2020</v>
      </c>
      <c r="D49" s="635">
        <f>'HOU_Multi Boil'!AA59</f>
        <v>1.55</v>
      </c>
      <c r="E49" s="627">
        <v>1.55</v>
      </c>
      <c r="F49" s="636">
        <f t="shared" si="2"/>
        <v>0</v>
      </c>
      <c r="G49" s="635">
        <f t="shared" ref="G49:H51" si="14">G48</f>
        <v>15</v>
      </c>
      <c r="H49" s="627">
        <f t="shared" si="14"/>
        <v>12.5</v>
      </c>
      <c r="I49" s="636">
        <f t="shared" si="3"/>
        <v>0.16666666666666663</v>
      </c>
      <c r="J49" s="638">
        <f>'HOU_Multi Boil'!L59</f>
        <v>2.6611399999999996</v>
      </c>
      <c r="K49" s="629">
        <v>10.281000000000001</v>
      </c>
      <c r="L49" s="636">
        <f t="shared" si="4"/>
        <v>-2.8633818589025766</v>
      </c>
      <c r="M49" s="637">
        <f>'HOU_Multi Boil'!M59</f>
        <v>3.5015000000000004E-2</v>
      </c>
      <c r="N49" s="628">
        <v>2.0114999999999997E-2</v>
      </c>
      <c r="O49" s="636">
        <f t="shared" si="5"/>
        <v>0.42553191489361719</v>
      </c>
      <c r="P49" s="638">
        <f>'HOU_Multi Boil'!N59</f>
        <v>0</v>
      </c>
      <c r="Q49" s="629">
        <v>2.2993827160493829</v>
      </c>
      <c r="R49" s="636" t="e">
        <f t="shared" si="0"/>
        <v>#DIV/0!</v>
      </c>
    </row>
    <row r="50" spans="1:18">
      <c r="A50" s="652"/>
      <c r="B50" s="622"/>
      <c r="C50" s="626">
        <f>'HOU_Multi Boil'!H60</f>
        <v>2030</v>
      </c>
      <c r="D50" s="635">
        <f>'HOU_Multi Boil'!AA60</f>
        <v>1.55</v>
      </c>
      <c r="E50" s="627">
        <v>1.55</v>
      </c>
      <c r="F50" s="636">
        <f t="shared" si="2"/>
        <v>0</v>
      </c>
      <c r="G50" s="635">
        <f t="shared" si="14"/>
        <v>15</v>
      </c>
      <c r="H50" s="627">
        <f t="shared" si="14"/>
        <v>12.5</v>
      </c>
      <c r="I50" s="636">
        <f t="shared" si="3"/>
        <v>0.16666666666666663</v>
      </c>
      <c r="J50" s="638">
        <f>'HOU_Multi Boil'!L60</f>
        <v>2.3950260000000005</v>
      </c>
      <c r="K50" s="629">
        <v>10.281000000000001</v>
      </c>
      <c r="L50" s="636">
        <f t="shared" si="4"/>
        <v>-3.2926465098917497</v>
      </c>
      <c r="M50" s="637">
        <f>'HOU_Multi Boil'!M60</f>
        <v>3.5015000000000004E-2</v>
      </c>
      <c r="N50" s="628">
        <v>2.0114999999999997E-2</v>
      </c>
      <c r="O50" s="636">
        <f t="shared" si="5"/>
        <v>0.42553191489361719</v>
      </c>
      <c r="P50" s="638">
        <f>'HOU_Multi Boil'!N60</f>
        <v>0</v>
      </c>
      <c r="Q50" s="629">
        <v>2.2993827160493829</v>
      </c>
      <c r="R50" s="636" t="e">
        <f t="shared" si="0"/>
        <v>#DIV/0!</v>
      </c>
    </row>
    <row r="51" spans="1:18">
      <c r="A51" s="654"/>
      <c r="B51" s="655"/>
      <c r="C51" s="656">
        <f>'HOU_Multi Boil'!H61</f>
        <v>2050</v>
      </c>
      <c r="D51" s="657">
        <f>'HOU_Multi Boil'!AA61</f>
        <v>1.6</v>
      </c>
      <c r="E51" s="658">
        <v>1.6</v>
      </c>
      <c r="F51" s="659">
        <f t="shared" si="2"/>
        <v>0</v>
      </c>
      <c r="G51" s="657">
        <f t="shared" si="14"/>
        <v>15</v>
      </c>
      <c r="H51" s="658">
        <f t="shared" si="14"/>
        <v>12.5</v>
      </c>
      <c r="I51" s="659">
        <f t="shared" si="3"/>
        <v>0.16666666666666663</v>
      </c>
      <c r="J51" s="660">
        <f>'HOU_Multi Boil'!L61</f>
        <v>2.1555234000000003</v>
      </c>
      <c r="K51" s="661">
        <v>10.281000000000001</v>
      </c>
      <c r="L51" s="659">
        <f t="shared" si="4"/>
        <v>-3.7696072332130557</v>
      </c>
      <c r="M51" s="662">
        <f>'HOU_Multi Boil'!M61</f>
        <v>3.5015000000000004E-2</v>
      </c>
      <c r="N51" s="663">
        <v>2.0114999999999997E-2</v>
      </c>
      <c r="O51" s="659">
        <f t="shared" si="5"/>
        <v>0.42553191489361719</v>
      </c>
      <c r="P51" s="660">
        <f>'HOU_Multi Boil'!N61</f>
        <v>0</v>
      </c>
      <c r="Q51" s="661">
        <v>2.2993827160493829</v>
      </c>
      <c r="R51" s="659" t="e">
        <f t="shared" si="0"/>
        <v>#DIV/0!</v>
      </c>
    </row>
    <row r="52" spans="1:18">
      <c r="A52" s="642"/>
      <c r="B52" s="622" t="s">
        <v>656</v>
      </c>
      <c r="C52" s="643">
        <f>'HOU_Multi Boil'!H62</f>
        <v>0</v>
      </c>
      <c r="D52" s="644">
        <f>'HOU_Multi Boil'!AA62</f>
        <v>0</v>
      </c>
      <c r="E52" s="645">
        <v>1.35</v>
      </c>
      <c r="F52" s="646" t="e">
        <f t="shared" si="2"/>
        <v>#DIV/0!</v>
      </c>
      <c r="G52" s="644">
        <f>'HOU_Multi Boil'!K62</f>
        <v>0</v>
      </c>
      <c r="H52" s="645">
        <v>20</v>
      </c>
      <c r="I52" s="646" t="e">
        <f t="shared" si="3"/>
        <v>#DIV/0!</v>
      </c>
      <c r="J52" s="647">
        <f>'HOU_Multi Boil'!L62</f>
        <v>0</v>
      </c>
      <c r="K52" s="648">
        <v>13.0375</v>
      </c>
      <c r="L52" s="646" t="e">
        <f t="shared" si="4"/>
        <v>#DIV/0!</v>
      </c>
      <c r="M52" s="649">
        <f>'HOU_Multi Boil'!M62</f>
        <v>0</v>
      </c>
      <c r="N52" s="650">
        <v>1.0057499999999999</v>
      </c>
      <c r="O52" s="646" t="e">
        <f t="shared" si="5"/>
        <v>#DIV/0!</v>
      </c>
      <c r="P52" s="647">
        <f>'HOU_Multi Boil'!N62</f>
        <v>0</v>
      </c>
      <c r="Q52" s="648">
        <v>206.94444444444443</v>
      </c>
      <c r="R52" s="646" t="e">
        <f t="shared" si="0"/>
        <v>#DIV/0!</v>
      </c>
    </row>
    <row r="53" spans="1:18">
      <c r="A53" s="652"/>
      <c r="B53" s="622"/>
      <c r="C53" s="626">
        <f>'HOU_Multi Boil'!H63</f>
        <v>0</v>
      </c>
      <c r="D53" s="635">
        <f>'HOU_Multi Boil'!AA63</f>
        <v>0</v>
      </c>
      <c r="E53" s="627">
        <v>1.35</v>
      </c>
      <c r="F53" s="636" t="e">
        <f t="shared" si="2"/>
        <v>#DIV/0!</v>
      </c>
      <c r="G53" s="635">
        <f t="shared" ref="G53:H55" si="15">G52</f>
        <v>0</v>
      </c>
      <c r="H53" s="627">
        <f t="shared" si="15"/>
        <v>20</v>
      </c>
      <c r="I53" s="636" t="e">
        <f t="shared" si="3"/>
        <v>#DIV/0!</v>
      </c>
      <c r="J53" s="638">
        <f>'HOU_Multi Boil'!L63</f>
        <v>0</v>
      </c>
      <c r="K53" s="629">
        <v>13.0375</v>
      </c>
      <c r="L53" s="636" t="e">
        <f t="shared" si="4"/>
        <v>#DIV/0!</v>
      </c>
      <c r="M53" s="637">
        <f>'HOU_Multi Boil'!M63</f>
        <v>0</v>
      </c>
      <c r="N53" s="628">
        <v>1.0057499999999999</v>
      </c>
      <c r="O53" s="636" t="e">
        <f t="shared" si="5"/>
        <v>#DIV/0!</v>
      </c>
      <c r="P53" s="638">
        <f>'HOU_Multi Boil'!N63</f>
        <v>0</v>
      </c>
      <c r="Q53" s="629">
        <v>206.94444444444443</v>
      </c>
      <c r="R53" s="636" t="e">
        <f t="shared" si="0"/>
        <v>#DIV/0!</v>
      </c>
    </row>
    <row r="54" spans="1:18">
      <c r="A54" s="652"/>
      <c r="B54" s="622"/>
      <c r="C54" s="626">
        <f>'HOU_Multi Boil'!H64</f>
        <v>0</v>
      </c>
      <c r="D54" s="635">
        <f>'HOU_Multi Boil'!AA64</f>
        <v>0</v>
      </c>
      <c r="E54" s="627">
        <v>1.35</v>
      </c>
      <c r="F54" s="636" t="e">
        <f t="shared" si="2"/>
        <v>#DIV/0!</v>
      </c>
      <c r="G54" s="635">
        <f t="shared" si="15"/>
        <v>0</v>
      </c>
      <c r="H54" s="627">
        <f t="shared" si="15"/>
        <v>20</v>
      </c>
      <c r="I54" s="636" t="e">
        <f t="shared" si="3"/>
        <v>#DIV/0!</v>
      </c>
      <c r="J54" s="638">
        <f>'HOU_Multi Boil'!L64</f>
        <v>0</v>
      </c>
      <c r="K54" s="629">
        <v>13.0375</v>
      </c>
      <c r="L54" s="636" t="e">
        <f t="shared" si="4"/>
        <v>#DIV/0!</v>
      </c>
      <c r="M54" s="637">
        <f>'HOU_Multi Boil'!M64</f>
        <v>0</v>
      </c>
      <c r="N54" s="628">
        <v>1.0057499999999999</v>
      </c>
      <c r="O54" s="636" t="e">
        <f t="shared" si="5"/>
        <v>#DIV/0!</v>
      </c>
      <c r="P54" s="638">
        <f>'HOU_Multi Boil'!N64</f>
        <v>0</v>
      </c>
      <c r="Q54" s="629">
        <v>206.94444444444443</v>
      </c>
      <c r="R54" s="636" t="e">
        <f t="shared" si="0"/>
        <v>#DIV/0!</v>
      </c>
    </row>
    <row r="55" spans="1:18">
      <c r="A55" s="654"/>
      <c r="B55" s="655"/>
      <c r="C55" s="656">
        <f>'HOU_Multi Boil'!H65</f>
        <v>0</v>
      </c>
      <c r="D55" s="657">
        <f>'HOU_Multi Boil'!AA65</f>
        <v>0</v>
      </c>
      <c r="E55" s="658">
        <v>1.35</v>
      </c>
      <c r="F55" s="659" t="e">
        <f t="shared" si="2"/>
        <v>#DIV/0!</v>
      </c>
      <c r="G55" s="657">
        <f t="shared" si="15"/>
        <v>0</v>
      </c>
      <c r="H55" s="658">
        <f t="shared" si="15"/>
        <v>20</v>
      </c>
      <c r="I55" s="659" t="e">
        <f t="shared" si="3"/>
        <v>#DIV/0!</v>
      </c>
      <c r="J55" s="660">
        <f>'HOU_Multi Boil'!L65</f>
        <v>0</v>
      </c>
      <c r="K55" s="661">
        <v>13.0375</v>
      </c>
      <c r="L55" s="659" t="e">
        <f t="shared" si="4"/>
        <v>#DIV/0!</v>
      </c>
      <c r="M55" s="662">
        <f>'HOU_Multi Boil'!M65</f>
        <v>0</v>
      </c>
      <c r="N55" s="663">
        <v>1.0057499999999999</v>
      </c>
      <c r="O55" s="659" t="e">
        <f t="shared" si="5"/>
        <v>#DIV/0!</v>
      </c>
      <c r="P55" s="660">
        <f>'HOU_Multi Boil'!N65</f>
        <v>0</v>
      </c>
      <c r="Q55" s="661">
        <v>206.94444444444443</v>
      </c>
      <c r="R55" s="659" t="e">
        <f t="shared" si="0"/>
        <v>#DIV/0!</v>
      </c>
    </row>
    <row r="56" spans="1:18">
      <c r="A56" s="652"/>
      <c r="B56" s="622" t="s">
        <v>657</v>
      </c>
      <c r="C56" s="626">
        <f>'HOU_Multi Boil'!H66</f>
        <v>2012</v>
      </c>
      <c r="D56" s="637">
        <f>'HOU_Multi Boil'!J66</f>
        <v>0.97</v>
      </c>
      <c r="E56" s="627">
        <v>0.96</v>
      </c>
      <c r="F56" s="636">
        <f t="shared" si="2"/>
        <v>1.0309278350515427E-2</v>
      </c>
      <c r="G56" s="635">
        <f>'HOU_Multi Boil'!K66</f>
        <v>20</v>
      </c>
      <c r="H56" s="627">
        <v>30</v>
      </c>
      <c r="I56" s="636">
        <f t="shared" si="3"/>
        <v>-0.5</v>
      </c>
      <c r="J56" s="638">
        <f>'HOU_Multi Boil'!L66</f>
        <v>0.52149999999999996</v>
      </c>
      <c r="K56" s="629">
        <v>1.172850091888054</v>
      </c>
      <c r="L56" s="636">
        <f t="shared" si="4"/>
        <v>-1.2489934647901326</v>
      </c>
      <c r="M56" s="637">
        <f>'HOU_Multi Boil'!M66</f>
        <v>4.6394875E-3</v>
      </c>
      <c r="N56" s="628">
        <v>2.8309999999999998E-2</v>
      </c>
      <c r="O56" s="636">
        <f t="shared" si="5"/>
        <v>-5.1019670814933757</v>
      </c>
      <c r="P56" s="638">
        <f>'HOU_Multi Boil'!N66</f>
        <v>0</v>
      </c>
      <c r="Q56" s="629">
        <v>14.154999999999999</v>
      </c>
      <c r="R56" s="636" t="e">
        <f t="shared" si="0"/>
        <v>#DIV/0!</v>
      </c>
    </row>
    <row r="57" spans="1:18">
      <c r="A57" s="652"/>
      <c r="B57" s="622"/>
      <c r="C57" s="626">
        <f>'HOU_Multi Boil'!H67</f>
        <v>2020</v>
      </c>
      <c r="D57" s="637">
        <f>'HOU_Multi Boil'!J67</f>
        <v>0.97</v>
      </c>
      <c r="E57" s="627">
        <v>0.96</v>
      </c>
      <c r="F57" s="636">
        <f t="shared" si="2"/>
        <v>1.0309278350515427E-2</v>
      </c>
      <c r="G57" s="635">
        <f t="shared" ref="G57:H59" si="16">G56</f>
        <v>20</v>
      </c>
      <c r="H57" s="627">
        <f t="shared" si="16"/>
        <v>30</v>
      </c>
      <c r="I57" s="636">
        <f t="shared" si="3"/>
        <v>-0.5</v>
      </c>
      <c r="J57" s="638">
        <f>'HOU_Multi Boil'!L67</f>
        <v>0.50859222475305776</v>
      </c>
      <c r="K57" s="629">
        <v>1.2476677376768484</v>
      </c>
      <c r="L57" s="636">
        <f t="shared" si="4"/>
        <v>-1.4531789456330007</v>
      </c>
      <c r="M57" s="637">
        <f>'HOU_Multi Boil'!M67</f>
        <v>4.5300656250000012E-3</v>
      </c>
      <c r="N57" s="628">
        <v>2.8309999999999998E-2</v>
      </c>
      <c r="O57" s="636">
        <f t="shared" si="5"/>
        <v>-5.2493575907081897</v>
      </c>
      <c r="P57" s="638">
        <f>'HOU_Multi Boil'!N67</f>
        <v>0</v>
      </c>
      <c r="Q57" s="629">
        <v>14.154999999999999</v>
      </c>
      <c r="R57" s="636" t="e">
        <f t="shared" si="0"/>
        <v>#DIV/0!</v>
      </c>
    </row>
    <row r="58" spans="1:18">
      <c r="A58" s="654"/>
      <c r="B58" s="655"/>
      <c r="C58" s="626">
        <f>'HOU_Multi Boil'!H68</f>
        <v>2030</v>
      </c>
      <c r="D58" s="637">
        <f>'HOU_Multi Boil'!J68</f>
        <v>0.97</v>
      </c>
      <c r="E58" s="658">
        <v>0</v>
      </c>
      <c r="F58" s="659">
        <f t="shared" si="2"/>
        <v>1</v>
      </c>
      <c r="G58" s="657">
        <f t="shared" si="16"/>
        <v>20</v>
      </c>
      <c r="H58" s="658">
        <f t="shared" si="16"/>
        <v>30</v>
      </c>
      <c r="I58" s="659">
        <f t="shared" si="3"/>
        <v>-0.5</v>
      </c>
      <c r="J58" s="638">
        <f>'HOU_Multi Boil'!L68</f>
        <v>0.48372721723875806</v>
      </c>
      <c r="K58" s="661">
        <v>0</v>
      </c>
      <c r="L58" s="659">
        <f t="shared" si="4"/>
        <v>1</v>
      </c>
      <c r="M58" s="637">
        <f>'HOU_Multi Boil'!M68</f>
        <v>4.311221875E-3</v>
      </c>
      <c r="N58" s="663">
        <v>0</v>
      </c>
      <c r="O58" s="659">
        <f t="shared" si="5"/>
        <v>1</v>
      </c>
      <c r="P58" s="660">
        <f>'HOU_Multi Boil'!N68</f>
        <v>0</v>
      </c>
      <c r="Q58" s="661">
        <v>0</v>
      </c>
      <c r="R58" s="659" t="e">
        <f t="shared" si="0"/>
        <v>#DIV/0!</v>
      </c>
    </row>
    <row r="59" spans="1:18">
      <c r="B59" s="150"/>
      <c r="C59" s="626">
        <f>'HOU_Multi Boil'!H69</f>
        <v>2050</v>
      </c>
      <c r="D59" s="637">
        <f>'HOU_Multi Boil'!J69</f>
        <v>0.97</v>
      </c>
      <c r="E59" s="658">
        <v>0</v>
      </c>
      <c r="F59" s="659">
        <f>1-E59/D59</f>
        <v>1</v>
      </c>
      <c r="G59" s="657">
        <f t="shared" si="16"/>
        <v>20</v>
      </c>
      <c r="H59" s="658">
        <f t="shared" si="16"/>
        <v>30</v>
      </c>
      <c r="I59" s="659">
        <f>1-H59/G59</f>
        <v>-0.5</v>
      </c>
      <c r="J59" s="638">
        <f>'HOU_Multi Boil'!L69</f>
        <v>0.43758471030825735</v>
      </c>
      <c r="K59" s="661">
        <v>0</v>
      </c>
      <c r="L59" s="659">
        <f>1-K59/J59</f>
        <v>1</v>
      </c>
      <c r="M59" s="637">
        <f>'HOU_Multi Boil'!M69</f>
        <v>4.0923781249999997E-3</v>
      </c>
      <c r="N59" s="663">
        <v>0</v>
      </c>
      <c r="O59" s="659">
        <f>1-N59/M59</f>
        <v>1</v>
      </c>
      <c r="P59" s="660">
        <f>'HOU_Multi Boil'!N69</f>
        <v>0</v>
      </c>
      <c r="Q59" s="661">
        <v>0</v>
      </c>
      <c r="R59" s="659" t="e">
        <f>1-Q59/P59</f>
        <v>#DIV/0!</v>
      </c>
    </row>
  </sheetData>
  <conditionalFormatting sqref="R4:R59">
    <cfRule type="colorScale" priority="8">
      <colorScale>
        <cfvo type="min"/>
        <cfvo type="percentile" val="50"/>
        <cfvo type="max"/>
        <color rgb="FFF8696B"/>
        <color rgb="FFFFEB84"/>
        <color rgb="FF63BE7B"/>
      </colorScale>
    </cfRule>
  </conditionalFormatting>
  <conditionalFormatting sqref="F4:F59">
    <cfRule type="colorScale" priority="10">
      <colorScale>
        <cfvo type="min"/>
        <cfvo type="percentile" val="50"/>
        <cfvo type="max"/>
        <color rgb="FFF8696B"/>
        <color rgb="FFFFEB84"/>
        <color rgb="FF63BE7B"/>
      </colorScale>
    </cfRule>
  </conditionalFormatting>
  <conditionalFormatting sqref="I4:I59">
    <cfRule type="colorScale" priority="12">
      <colorScale>
        <cfvo type="min"/>
        <cfvo type="percentile" val="50"/>
        <cfvo type="max"/>
        <color rgb="FFF8696B"/>
        <color rgb="FFFFEB84"/>
        <color rgb="FF63BE7B"/>
      </colorScale>
    </cfRule>
  </conditionalFormatting>
  <conditionalFormatting sqref="L4:L59">
    <cfRule type="colorScale" priority="14">
      <colorScale>
        <cfvo type="min"/>
        <cfvo type="percentile" val="50"/>
        <cfvo type="max"/>
        <color rgb="FFF8696B"/>
        <color rgb="FFFFEB84"/>
        <color rgb="FF63BE7B"/>
      </colorScale>
    </cfRule>
  </conditionalFormatting>
  <conditionalFormatting sqref="O4:O59">
    <cfRule type="colorScale" priority="16">
      <colorScale>
        <cfvo type="min"/>
        <cfvo type="percentile" val="50"/>
        <cfvo type="max"/>
        <color rgb="FFF8696B"/>
        <color rgb="FFFFEB84"/>
        <color rgb="FF63BE7B"/>
      </colorScale>
    </cfRule>
  </conditionalFormatting>
  <pageMargins left="0.7" right="0.7" top="0.75" bottom="0.75" header="0.3" footer="0.3"/>
  <pageSetup paperSize="9"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848600-2E8A-4836-874B-3D5E5B443EC6}">
  <ds:schemaRefs>
    <ds:schemaRef ds:uri="http://schemas.microsoft.com/sharepoint/v3/contenttype/forms"/>
  </ds:schemaRefs>
</ds:datastoreItem>
</file>

<file path=customXml/itemProps2.xml><?xml version="1.0" encoding="utf-8"?>
<ds:datastoreItem xmlns:ds="http://schemas.openxmlformats.org/officeDocument/2006/customXml" ds:itemID="{AE784753-1928-4D6F-83BC-1FAE29BA76C6}">
  <ds:schemaRefs>
    <ds:schemaRef ds:uri="http://purl.org/dc/terms/"/>
    <ds:schemaRef ds:uri="http://schemas.microsoft.com/sharepoint/v3/fields"/>
    <ds:schemaRef ds:uri="http://purl.org/dc/dcmitype/"/>
    <ds:schemaRef ds:uri="http://www.w3.org/XML/1998/namespace"/>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3.xml><?xml version="1.0" encoding="utf-8"?>
<ds:datastoreItem xmlns:ds="http://schemas.openxmlformats.org/officeDocument/2006/customXml" ds:itemID="{DDA60A50-DACF-4195-882E-54078EB44E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35</vt:i4>
      </vt:variant>
      <vt:variant>
        <vt:lpstr>Named Ranges</vt:lpstr>
      </vt:variant>
      <vt:variant>
        <vt:i4>3</vt:i4>
      </vt:variant>
    </vt:vector>
  </HeadingPairs>
  <TitlesOfParts>
    <vt:vector size="38" baseType="lpstr">
      <vt:lpstr>LOG</vt:lpstr>
      <vt:lpstr>Intro</vt:lpstr>
      <vt:lpstr>READ THIS</vt:lpstr>
      <vt:lpstr>Commodity</vt:lpstr>
      <vt:lpstr>Processes</vt:lpstr>
      <vt:lpstr>Appliances&amp;Cooking</vt:lpstr>
      <vt:lpstr>Cooling</vt:lpstr>
      <vt:lpstr>HOU_Deta Boil</vt:lpstr>
      <vt:lpstr>HOU_Multi Boil</vt:lpstr>
      <vt:lpstr>Commodities_VT</vt:lpstr>
      <vt:lpstr>HP, gas absorption,air-to-water</vt:lpstr>
      <vt:lpstr>HP, gas absorpt,brine-to-water</vt:lpstr>
      <vt:lpstr>HP, gas adsorpt,brine to water</vt:lpstr>
      <vt:lpstr>Heat pump, air-to-air</vt:lpstr>
      <vt:lpstr>Oil-fired boiler</vt:lpstr>
      <vt:lpstr>Natural gas boiler</vt:lpstr>
      <vt:lpstr>DH substation</vt:lpstr>
      <vt:lpstr>Biomass boiler, automatic</vt:lpstr>
      <vt:lpstr>Electric heating</vt:lpstr>
      <vt:lpstr>Solar heating</vt:lpstr>
      <vt:lpstr>Heat pump, air-to-water</vt:lpstr>
      <vt:lpstr>Heat pump, ground source</vt:lpstr>
      <vt:lpstr>Biomass boiler, manual</vt:lpstr>
      <vt:lpstr>Wood stove</vt:lpstr>
      <vt:lpstr>Heat pump, gas engine air-water</vt:lpstr>
      <vt:lpstr>Heat pump, gas engine Brine-wat</vt:lpstr>
      <vt:lpstr>Heat pump, ventilation</vt:lpstr>
      <vt:lpstr>Micro CHP, natural gas FC</vt:lpstr>
      <vt:lpstr>Micro CHP, hydrogen FC</vt:lpstr>
      <vt:lpstr>Micro CHP - Stirling engine</vt:lpstr>
      <vt:lpstr>Micro CHP - Gas engine</vt:lpstr>
      <vt:lpstr>DH network</vt:lpstr>
      <vt:lpstr>Electrical grid</vt:lpstr>
      <vt:lpstr>DBcompar after new tech ka sept</vt:lpstr>
      <vt:lpstr>MBcompar after new tech ka sept</vt:lpstr>
      <vt:lpstr>'Micro CHP - Stirling engine'!_ftn1</vt:lpstr>
      <vt:lpstr>'Biomass boiler, automatic'!_Toc305146851</vt:lpstr>
      <vt:lpstr>Euro</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Jonathan Vincents Eriksen</cp:lastModifiedBy>
  <dcterms:created xsi:type="dcterms:W3CDTF">2012-05-21T08:38:35Z</dcterms:created>
  <dcterms:modified xsi:type="dcterms:W3CDTF">2022-05-04T15:05:28Z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661581695079803</vt:r8>
  </property>
</Properties>
</file>